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K:\Google Drive\Python Projects\CAM\"/>
    </mc:Choice>
  </mc:AlternateContent>
  <bookViews>
    <workbookView xWindow="0" yWindow="0" windowWidth="28800" windowHeight="15900" tabRatio="500" activeTab="1"/>
  </bookViews>
  <sheets>
    <sheet name="TOWORLD" sheetId="8" r:id="rId1"/>
    <sheet name="Stats" sheetId="1" r:id="rId2"/>
    <sheet name="Govt" sheetId="7" r:id="rId3"/>
    <sheet name="Univ" sheetId="6" r:id="rId4"/>
    <sheet name="Regions" sheetId="2" r:id="rId5"/>
    <sheet name="Tech" sheetId="3" r:id="rId6"/>
    <sheet name="Military" sheetId="5" r:id="rId7"/>
    <sheet name="Modifiers" sheetId="4" r:id="rId8"/>
  </sheets>
  <definedNames>
    <definedName name="_xlnm._FilterDatabase" localSheetId="1" hidden="1">Stats!$A$2:$W$80</definedName>
    <definedName name="CC">Regions!$I:$I</definedName>
    <definedName name="Dev">Stats!$AA:$AA</definedName>
    <definedName name="DomDis">Tech!$M:$M</definedName>
    <definedName name="DomTech">Tech!$L:$L</definedName>
    <definedName name="GovernmentGrowth">Univ!$K$27</definedName>
    <definedName name="Gro">Stats!$Z:$Z</definedName>
    <definedName name="IC">Stats!$E:$E</definedName>
    <definedName name="InfCap">Tech!$S:$S</definedName>
    <definedName name="Infrastructure">Regions!#REF!</definedName>
    <definedName name="MobSize">Tech!$T:$T</definedName>
    <definedName name="ModAP">Modifiers!$H:$H</definedName>
    <definedName name="ModEP">Modifiers!$O:$O</definedName>
    <definedName name="ModEprinE">Modifiers!$Q:$Q</definedName>
    <definedName name="ModIC">Modifiers!$P:$P</definedName>
    <definedName name="ModIGR">Modifiers!$S:$S</definedName>
    <definedName name="ModIT">Modifiers!$L:$L</definedName>
    <definedName name="ModMilit">Modifiers!$M:$M</definedName>
    <definedName name="ModMP">Modifiers!$K:$K</definedName>
    <definedName name="ModMS">Modifiers!$T:$T</definedName>
    <definedName name="ModPGR">Modifiers!$R:$R</definedName>
    <definedName name="ModSci">Modifiers!$N:$N</definedName>
    <definedName name="ModSTAB">Modifiers!$I:$I</definedName>
    <definedName name="ModTags">Modifiers!$A:$A</definedName>
    <definedName name="ModTXP">Modifiers!$J:$J</definedName>
    <definedName name="O1P">Regions!#REF!</definedName>
    <definedName name="O2P">Regions!#REF!</definedName>
    <definedName name="O3P">Regions!#REF!</definedName>
    <definedName name="O4P">Regions!#REF!</definedName>
    <definedName name="O5P">Regions!#REF!</definedName>
    <definedName name="Owner">Regions!$K:$K</definedName>
    <definedName name="Owner1">Regions!$K:$K</definedName>
    <definedName name="Owner2">Regions!#REF!</definedName>
    <definedName name="Owner3">Regions!#REF!</definedName>
    <definedName name="Owner4">Regions!#REF!</definedName>
    <definedName name="Owner5">Regions!#REF!</definedName>
    <definedName name="PrivateGrowth">Univ!$K$3</definedName>
    <definedName name="SCIENCE">Stats!$J:$J</definedName>
    <definedName name="StartInfCap">Stats!$AJ:$AJ</definedName>
    <definedName name="Tags">Stats!$A:$A</definedName>
    <definedName name="TechEP">Tech!$Q:$Q</definedName>
    <definedName name="TechESL">Tech!$O:$O</definedName>
    <definedName name="TechGrowth">Tech!$R:$R</definedName>
    <definedName name="TechIC">Tech!#REF!</definedName>
    <definedName name="TechMxMP">Tech!$P:$P</definedName>
    <definedName name="TechUrbaniztn">Tech!#REF!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O2" i="2"/>
  <c r="E2" i="2"/>
  <c r="Z3" i="8" l="1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2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99" i="8"/>
  <c r="U100" i="8"/>
  <c r="U101" i="8"/>
  <c r="U102" i="8"/>
  <c r="U103" i="8"/>
  <c r="U104" i="8"/>
  <c r="U105" i="8"/>
  <c r="U106" i="8"/>
  <c r="U107" i="8"/>
  <c r="U108" i="8"/>
  <c r="U109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59" i="8"/>
  <c r="U60" i="8"/>
  <c r="U61" i="8"/>
  <c r="U62" i="8"/>
  <c r="U63" i="8"/>
  <c r="U64" i="8"/>
  <c r="U65" i="8"/>
  <c r="U66" i="8"/>
  <c r="U53" i="8"/>
  <c r="U54" i="8"/>
  <c r="U55" i="8"/>
  <c r="U56" i="8"/>
  <c r="U57" i="8"/>
  <c r="U58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59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58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57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56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55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54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53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52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51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50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49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48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47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46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45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44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43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42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41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40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39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38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37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36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35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34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33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32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31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30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29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28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27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26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25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24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23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22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21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20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19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18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17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16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15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14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13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12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11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10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9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8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7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6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5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4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3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  <c r="K27" i="6"/>
  <c r="S3" i="1"/>
  <c r="O3" i="1"/>
  <c r="F2" i="2" l="1"/>
  <c r="S3" i="7"/>
  <c r="H3" i="7"/>
  <c r="F3" i="1"/>
  <c r="R3" i="1"/>
  <c r="D3" i="6"/>
  <c r="T3" i="7"/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3" i="1"/>
  <c r="AA4" i="1"/>
  <c r="Y4" i="1"/>
  <c r="W4" i="1"/>
  <c r="AA5" i="1"/>
  <c r="Y5" i="1"/>
  <c r="AA6" i="1"/>
  <c r="Y6" i="1"/>
  <c r="W6" i="1"/>
  <c r="AA7" i="1"/>
  <c r="Y7" i="1"/>
  <c r="W7" i="1"/>
  <c r="AA8" i="1"/>
  <c r="Y8" i="1"/>
  <c r="W8" i="1"/>
  <c r="AA9" i="1"/>
  <c r="Y9" i="1"/>
  <c r="W9" i="1"/>
  <c r="AA10" i="1"/>
  <c r="Y10" i="1"/>
  <c r="W10" i="1"/>
  <c r="AA11" i="1"/>
  <c r="Y11" i="1"/>
  <c r="W11" i="1"/>
  <c r="AA12" i="1"/>
  <c r="Y12" i="1"/>
  <c r="AA13" i="1"/>
  <c r="Y13" i="1"/>
  <c r="W13" i="1"/>
  <c r="AA14" i="1"/>
  <c r="Y14" i="1"/>
  <c r="W14" i="1"/>
  <c r="AA15" i="1"/>
  <c r="Y15" i="1"/>
  <c r="W15" i="1"/>
  <c r="AA16" i="1"/>
  <c r="Y16" i="1"/>
  <c r="AA17" i="1"/>
  <c r="Y17" i="1"/>
  <c r="W17" i="1"/>
  <c r="AA18" i="1"/>
  <c r="Y18" i="1"/>
  <c r="W18" i="1"/>
  <c r="AA19" i="1"/>
  <c r="Y19" i="1"/>
  <c r="W19" i="1"/>
  <c r="AA20" i="1"/>
  <c r="Y20" i="1"/>
  <c r="W20" i="1"/>
  <c r="AA21" i="1"/>
  <c r="Y21" i="1"/>
  <c r="W21" i="1"/>
  <c r="AA22" i="1"/>
  <c r="Y22" i="1"/>
  <c r="W22" i="1"/>
  <c r="AA23" i="1"/>
  <c r="Y23" i="1"/>
  <c r="W23" i="1"/>
  <c r="AA24" i="1"/>
  <c r="Y24" i="1"/>
  <c r="W24" i="1"/>
  <c r="AA25" i="1"/>
  <c r="Y25" i="1"/>
  <c r="W25" i="1"/>
  <c r="AA26" i="1"/>
  <c r="Y26" i="1"/>
  <c r="W26" i="1"/>
  <c r="AA27" i="1"/>
  <c r="Y27" i="1"/>
  <c r="W27" i="1"/>
  <c r="AA28" i="1"/>
  <c r="Y28" i="1"/>
  <c r="W28" i="1"/>
  <c r="AA29" i="1"/>
  <c r="Y29" i="1"/>
  <c r="W29" i="1"/>
  <c r="AA30" i="1"/>
  <c r="Y30" i="1"/>
  <c r="W30" i="1"/>
  <c r="AA31" i="1"/>
  <c r="Y31" i="1"/>
  <c r="W31" i="1"/>
  <c r="AA32" i="1"/>
  <c r="Y32" i="1"/>
  <c r="W32" i="1"/>
  <c r="AA33" i="1"/>
  <c r="Y33" i="1"/>
  <c r="W33" i="1"/>
  <c r="AA34" i="1"/>
  <c r="Y34" i="1"/>
  <c r="W34" i="1"/>
  <c r="AA35" i="1"/>
  <c r="Y35" i="1"/>
  <c r="W35" i="1"/>
  <c r="AA36" i="1"/>
  <c r="Y36" i="1"/>
  <c r="W36" i="1"/>
  <c r="AA37" i="1"/>
  <c r="Y37" i="1"/>
  <c r="W37" i="1"/>
  <c r="AA38" i="1"/>
  <c r="Y38" i="1"/>
  <c r="W38" i="1"/>
  <c r="AA39" i="1"/>
  <c r="Y39" i="1"/>
  <c r="W39" i="1"/>
  <c r="AA40" i="1"/>
  <c r="Y40" i="1"/>
  <c r="W40" i="1"/>
  <c r="AA41" i="1"/>
  <c r="Y41" i="1"/>
  <c r="W41" i="1"/>
  <c r="AA42" i="1"/>
  <c r="Y42" i="1"/>
  <c r="W42" i="1"/>
  <c r="AA43" i="1"/>
  <c r="Y43" i="1"/>
  <c r="W43" i="1"/>
  <c r="AA44" i="1"/>
  <c r="Y44" i="1"/>
  <c r="W44" i="1"/>
  <c r="AA45" i="1"/>
  <c r="Y45" i="1"/>
  <c r="W45" i="1"/>
  <c r="AA46" i="1"/>
  <c r="Y46" i="1"/>
  <c r="W46" i="1"/>
  <c r="AA47" i="1"/>
  <c r="Y47" i="1"/>
  <c r="W47" i="1"/>
  <c r="AA48" i="1"/>
  <c r="Y48" i="1"/>
  <c r="W48" i="1"/>
  <c r="AA49" i="1"/>
  <c r="Y49" i="1"/>
  <c r="W49" i="1"/>
  <c r="AA50" i="1"/>
  <c r="Y50" i="1"/>
  <c r="W50" i="1"/>
  <c r="AA51" i="1"/>
  <c r="Y51" i="1"/>
  <c r="W51" i="1"/>
  <c r="AA52" i="1"/>
  <c r="Y52" i="1"/>
  <c r="W52" i="1"/>
  <c r="AA53" i="1"/>
  <c r="Y53" i="1"/>
  <c r="W53" i="1"/>
  <c r="AA54" i="1"/>
  <c r="Y54" i="1"/>
  <c r="W54" i="1"/>
  <c r="AA55" i="1"/>
  <c r="Y55" i="1"/>
  <c r="W55" i="1"/>
  <c r="AA56" i="1"/>
  <c r="Y56" i="1"/>
  <c r="W56" i="1"/>
  <c r="AA57" i="1"/>
  <c r="Y57" i="1"/>
  <c r="W57" i="1"/>
  <c r="AA58" i="1"/>
  <c r="Y58" i="1"/>
  <c r="W58" i="1"/>
  <c r="AA59" i="1"/>
  <c r="Y59" i="1"/>
  <c r="W59" i="1"/>
  <c r="AA60" i="1"/>
  <c r="Y60" i="1"/>
  <c r="W60" i="1"/>
  <c r="AA3" i="1"/>
  <c r="Y3" i="1"/>
  <c r="D8" i="4"/>
  <c r="AB3" i="1"/>
  <c r="V3" i="1"/>
  <c r="AB4" i="1"/>
  <c r="V4" i="1"/>
  <c r="AB5" i="1"/>
  <c r="V5" i="1"/>
  <c r="AB6" i="1"/>
  <c r="V6" i="1" s="1"/>
  <c r="AB7" i="1"/>
  <c r="V7" i="1"/>
  <c r="AB8" i="1"/>
  <c r="V8" i="1" s="1"/>
  <c r="AB9" i="1"/>
  <c r="V9" i="1"/>
  <c r="AB10" i="1"/>
  <c r="V10" i="1" s="1"/>
  <c r="AB11" i="1"/>
  <c r="V11" i="1"/>
  <c r="AB12" i="1"/>
  <c r="V12" i="1" s="1"/>
  <c r="AB13" i="1"/>
  <c r="V13" i="1"/>
  <c r="AB14" i="1"/>
  <c r="V14" i="1" s="1"/>
  <c r="AB15" i="1"/>
  <c r="V15" i="1"/>
  <c r="AB16" i="1"/>
  <c r="V16" i="1"/>
  <c r="AY17" i="7"/>
  <c r="AB17" i="1"/>
  <c r="V17" i="1" s="1"/>
  <c r="AB18" i="1"/>
  <c r="V18" i="1"/>
  <c r="AB19" i="1"/>
  <c r="V19" i="1"/>
  <c r="AB20" i="1"/>
  <c r="V20" i="1" s="1"/>
  <c r="AB21" i="1"/>
  <c r="V21" i="1"/>
  <c r="AB22" i="1"/>
  <c r="V22" i="1" s="1"/>
  <c r="AB23" i="1"/>
  <c r="V23" i="1"/>
  <c r="AB24" i="1"/>
  <c r="V24" i="1" s="1"/>
  <c r="AB25" i="1"/>
  <c r="V25" i="1"/>
  <c r="AB26" i="1"/>
  <c r="V26" i="1" s="1"/>
  <c r="AB27" i="1"/>
  <c r="V27" i="1"/>
  <c r="AB28" i="1"/>
  <c r="V28" i="1" s="1"/>
  <c r="AB29" i="1"/>
  <c r="V29" i="1"/>
  <c r="AB30" i="1"/>
  <c r="V30" i="1" s="1"/>
  <c r="AB31" i="1"/>
  <c r="V31" i="1"/>
  <c r="AB32" i="1"/>
  <c r="V32" i="1"/>
  <c r="AB33" i="1"/>
  <c r="V33" i="1"/>
  <c r="AB34" i="1"/>
  <c r="V34" i="1"/>
  <c r="AB35" i="1"/>
  <c r="V35" i="1" s="1"/>
  <c r="AB36" i="1"/>
  <c r="V36" i="1"/>
  <c r="AB37" i="1"/>
  <c r="V37" i="1"/>
  <c r="AB38" i="1"/>
  <c r="V38" i="1" s="1"/>
  <c r="AB39" i="1"/>
  <c r="V39" i="1"/>
  <c r="AB40" i="1"/>
  <c r="V40" i="1"/>
  <c r="AB41" i="1"/>
  <c r="V41" i="1"/>
  <c r="AB42" i="1"/>
  <c r="V42" i="1"/>
  <c r="AB43" i="1"/>
  <c r="V43" i="1" s="1"/>
  <c r="AB44" i="1"/>
  <c r="V44" i="1"/>
  <c r="AB45" i="1"/>
  <c r="V45" i="1"/>
  <c r="AB46" i="1"/>
  <c r="V46" i="1" s="1"/>
  <c r="AB47" i="1"/>
  <c r="V47" i="1"/>
  <c r="AB48" i="1"/>
  <c r="V48" i="1"/>
  <c r="AB49" i="1"/>
  <c r="V49" i="1"/>
  <c r="AB50" i="1"/>
  <c r="V50" i="1"/>
  <c r="AB51" i="1"/>
  <c r="V51" i="1" s="1"/>
  <c r="AB52" i="1"/>
  <c r="V52" i="1"/>
  <c r="AB53" i="1"/>
  <c r="V53" i="1"/>
  <c r="AB54" i="1"/>
  <c r="V54" i="1" s="1"/>
  <c r="AB55" i="1"/>
  <c r="V55" i="1"/>
  <c r="AB56" i="1"/>
  <c r="V56" i="1" s="1"/>
  <c r="AB57" i="1"/>
  <c r="V57" i="1"/>
  <c r="AB58" i="1"/>
  <c r="V58" i="1" s="1"/>
  <c r="AB59" i="1"/>
  <c r="V59" i="1"/>
  <c r="AB60" i="1"/>
  <c r="V60" i="1"/>
  <c r="A3" i="7"/>
  <c r="N3" i="1"/>
  <c r="K26" i="6"/>
  <c r="K3" i="6"/>
  <c r="A4" i="7"/>
  <c r="BB4" i="7" s="1"/>
  <c r="AV4" i="7" s="1"/>
  <c r="A5" i="7"/>
  <c r="AX5" i="7" s="1"/>
  <c r="N5" i="1"/>
  <c r="A6" i="7"/>
  <c r="N6" i="1"/>
  <c r="A7" i="7"/>
  <c r="A8" i="7"/>
  <c r="BB8" i="7" s="1"/>
  <c r="A9" i="7"/>
  <c r="A10" i="7"/>
  <c r="A11" i="7"/>
  <c r="AY11" i="7"/>
  <c r="A12" i="7"/>
  <c r="N12" i="1"/>
  <c r="A13" i="7"/>
  <c r="A14" i="7"/>
  <c r="A15" i="7"/>
  <c r="A16" i="7"/>
  <c r="AX16" i="7" s="1"/>
  <c r="I16" i="7" s="1"/>
  <c r="L16" i="1" s="1"/>
  <c r="S16" i="1" s="1"/>
  <c r="AW16" i="7"/>
  <c r="N16" i="1"/>
  <c r="A17" i="7"/>
  <c r="AX17" i="7"/>
  <c r="A18" i="7"/>
  <c r="A19" i="7"/>
  <c r="A20" i="7"/>
  <c r="A21" i="7"/>
  <c r="AX21" i="7"/>
  <c r="A22" i="7"/>
  <c r="A23" i="7"/>
  <c r="AX23" i="7"/>
  <c r="A24" i="7"/>
  <c r="AZ24" i="7" s="1"/>
  <c r="A25" i="7"/>
  <c r="AX25" i="7"/>
  <c r="I25" i="7" s="1"/>
  <c r="L25" i="1" s="1"/>
  <c r="S25" i="1" s="1"/>
  <c r="A26" i="7"/>
  <c r="A27" i="7"/>
  <c r="A28" i="7"/>
  <c r="A30" i="7"/>
  <c r="AZ30" i="7" s="1"/>
  <c r="AX30" i="7"/>
  <c r="A31" i="7"/>
  <c r="AX31" i="7"/>
  <c r="I31" i="7" s="1"/>
  <c r="L31" i="1" s="1"/>
  <c r="S31" i="1" s="1"/>
  <c r="L110" i="2" s="1"/>
  <c r="N110" i="2" s="1"/>
  <c r="A32" i="7"/>
  <c r="AY32" i="7" s="1"/>
  <c r="AX32" i="7"/>
  <c r="A33" i="7"/>
  <c r="AX33" i="7"/>
  <c r="A34" i="7"/>
  <c r="AY34" i="7" s="1"/>
  <c r="J34" i="7" s="1"/>
  <c r="H34" i="1" s="1"/>
  <c r="AX34" i="7"/>
  <c r="A35" i="7"/>
  <c r="AX35" i="7"/>
  <c r="A36" i="7"/>
  <c r="AY36" i="7" s="1"/>
  <c r="J36" i="7" s="1"/>
  <c r="H36" i="1" s="1"/>
  <c r="AX36" i="7"/>
  <c r="A37" i="7"/>
  <c r="AX37" i="7"/>
  <c r="A38" i="7"/>
  <c r="AY38" i="7" s="1"/>
  <c r="J38" i="7" s="1"/>
  <c r="H38" i="1" s="1"/>
  <c r="AX38" i="7"/>
  <c r="A39" i="7"/>
  <c r="AX39" i="7"/>
  <c r="A40" i="7"/>
  <c r="BB40" i="7" s="1"/>
  <c r="AV40" i="7" s="1"/>
  <c r="AX40" i="7"/>
  <c r="I40" i="7" s="1"/>
  <c r="L40" i="1" s="1"/>
  <c r="S40" i="1" s="1"/>
  <c r="A41" i="7"/>
  <c r="AX41" i="7"/>
  <c r="A42" i="7"/>
  <c r="AY42" i="7" s="1"/>
  <c r="AX42" i="7"/>
  <c r="A43" i="7"/>
  <c r="AX43" i="7"/>
  <c r="A44" i="7"/>
  <c r="AX44" i="7"/>
  <c r="A45" i="7"/>
  <c r="AX45" i="7"/>
  <c r="A46" i="7"/>
  <c r="AY46" i="7" s="1"/>
  <c r="J46" i="7" s="1"/>
  <c r="H46" i="1" s="1"/>
  <c r="AX46" i="7"/>
  <c r="I46" i="7" s="1"/>
  <c r="L46" i="1" s="1"/>
  <c r="S46" i="1" s="1"/>
  <c r="A47" i="7"/>
  <c r="AX47" i="7"/>
  <c r="A48" i="7"/>
  <c r="AZ48" i="7" s="1"/>
  <c r="AX48" i="7"/>
  <c r="A49" i="7"/>
  <c r="AX49" i="7"/>
  <c r="A50" i="7"/>
  <c r="AX50" i="7"/>
  <c r="A51" i="7"/>
  <c r="AX51" i="7"/>
  <c r="A52" i="7"/>
  <c r="AY52" i="7" s="1"/>
  <c r="AX52" i="7"/>
  <c r="A53" i="7"/>
  <c r="AX53" i="7"/>
  <c r="I53" i="7" s="1"/>
  <c r="L53" i="1" s="1"/>
  <c r="S53" i="1" s="1"/>
  <c r="L50" i="2" s="1"/>
  <c r="N50" i="2" s="1"/>
  <c r="A56" i="7"/>
  <c r="AX56" i="7"/>
  <c r="A57" i="7"/>
  <c r="AX57" i="7"/>
  <c r="A58" i="7"/>
  <c r="AX58" i="7"/>
  <c r="I58" i="7" s="1"/>
  <c r="L58" i="1" s="1"/>
  <c r="S58" i="1" s="1"/>
  <c r="L84" i="2" s="1"/>
  <c r="N84" i="2" s="1"/>
  <c r="A59" i="7"/>
  <c r="AY59" i="7" s="1"/>
  <c r="AX59" i="7"/>
  <c r="A60" i="7"/>
  <c r="AX60" i="7"/>
  <c r="I3" i="2"/>
  <c r="G14" i="6"/>
  <c r="G25" i="6"/>
  <c r="AP26" i="7"/>
  <c r="AQ26" i="7"/>
  <c r="AR26" i="7"/>
  <c r="AS26" i="7"/>
  <c r="AT26" i="7"/>
  <c r="AU26" i="7"/>
  <c r="E14" i="6"/>
  <c r="E25" i="6"/>
  <c r="L26" i="7"/>
  <c r="Q26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F1" i="6"/>
  <c r="F6" i="6"/>
  <c r="F14" i="6"/>
  <c r="F25" i="6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F3" i="2"/>
  <c r="E3" i="2"/>
  <c r="I4" i="2"/>
  <c r="G13" i="6"/>
  <c r="G26" i="6"/>
  <c r="AP23" i="7"/>
  <c r="AQ23" i="7"/>
  <c r="AR23" i="7"/>
  <c r="AS23" i="7"/>
  <c r="AT23" i="7"/>
  <c r="AU23" i="7"/>
  <c r="BB23" i="7"/>
  <c r="AZ23" i="7"/>
  <c r="E13" i="6"/>
  <c r="L5" i="7" s="1"/>
  <c r="E26" i="6"/>
  <c r="L7" i="7"/>
  <c r="F7" i="6"/>
  <c r="F13" i="6"/>
  <c r="F26" i="6"/>
  <c r="AW23" i="7"/>
  <c r="F4" i="2"/>
  <c r="E4" i="2" s="1"/>
  <c r="F23" i="1" s="1"/>
  <c r="I5" i="2"/>
  <c r="E5" i="2" s="1"/>
  <c r="O5" i="2" s="1"/>
  <c r="AP5" i="7"/>
  <c r="AQ5" i="7"/>
  <c r="AR5" i="7"/>
  <c r="AS5" i="7"/>
  <c r="AT5" i="7"/>
  <c r="AU5" i="7"/>
  <c r="AZ5" i="7"/>
  <c r="F5" i="2"/>
  <c r="I6" i="2"/>
  <c r="E6" i="2" s="1"/>
  <c r="O6" i="2" s="1"/>
  <c r="AP4" i="7"/>
  <c r="AQ4" i="7"/>
  <c r="AR4" i="7"/>
  <c r="AS4" i="7"/>
  <c r="AT4" i="7"/>
  <c r="AU4" i="7"/>
  <c r="F6" i="2"/>
  <c r="I7" i="2"/>
  <c r="AP11" i="7"/>
  <c r="AQ11" i="7"/>
  <c r="AR11" i="7"/>
  <c r="AS11" i="7"/>
  <c r="AT11" i="7"/>
  <c r="AU11" i="7"/>
  <c r="BB11" i="7"/>
  <c r="AV11" i="7" s="1"/>
  <c r="AZ11" i="7"/>
  <c r="L11" i="7"/>
  <c r="F10" i="6"/>
  <c r="AW11" i="7"/>
  <c r="F7" i="2"/>
  <c r="E7" i="2"/>
  <c r="C8" i="2"/>
  <c r="F8" i="2"/>
  <c r="I8" i="2"/>
  <c r="G15" i="6"/>
  <c r="G24" i="6"/>
  <c r="AP12" i="7"/>
  <c r="AQ12" i="7"/>
  <c r="AR12" i="7"/>
  <c r="AS12" i="7"/>
  <c r="AT12" i="7"/>
  <c r="AU12" i="7"/>
  <c r="E15" i="6"/>
  <c r="E24" i="6"/>
  <c r="F15" i="6"/>
  <c r="F24" i="6"/>
  <c r="D6" i="4"/>
  <c r="C10" i="2"/>
  <c r="C9" i="2"/>
  <c r="I9" i="2"/>
  <c r="AP13" i="7"/>
  <c r="AQ13" i="7"/>
  <c r="AR13" i="7"/>
  <c r="AS13" i="7"/>
  <c r="AT13" i="7"/>
  <c r="AU13" i="7"/>
  <c r="BB13" i="7"/>
  <c r="AV13" i="7" s="1"/>
  <c r="AZ13" i="7"/>
  <c r="AW13" i="7"/>
  <c r="I10" i="2"/>
  <c r="AP14" i="7"/>
  <c r="AQ14" i="7"/>
  <c r="AR14" i="7"/>
  <c r="AS14" i="7"/>
  <c r="AT14" i="7"/>
  <c r="AU14" i="7"/>
  <c r="AZ14" i="7"/>
  <c r="F9" i="6"/>
  <c r="I11" i="2"/>
  <c r="AP15" i="7"/>
  <c r="AQ15" i="7"/>
  <c r="AR15" i="7"/>
  <c r="AS15" i="7"/>
  <c r="AT15" i="7"/>
  <c r="AU15" i="7"/>
  <c r="BB15" i="7"/>
  <c r="AZ15" i="7"/>
  <c r="AW15" i="7"/>
  <c r="F11" i="2"/>
  <c r="E11" i="2" s="1"/>
  <c r="F15" i="1" s="1"/>
  <c r="I12" i="2"/>
  <c r="E12" i="2" s="1"/>
  <c r="AP7" i="7"/>
  <c r="AQ7" i="7"/>
  <c r="AR7" i="7"/>
  <c r="AS7" i="7"/>
  <c r="AT7" i="7"/>
  <c r="AU7" i="7"/>
  <c r="AZ7" i="7"/>
  <c r="AW7" i="7"/>
  <c r="F12" i="2"/>
  <c r="I13" i="2"/>
  <c r="AP10" i="7"/>
  <c r="AQ10" i="7"/>
  <c r="AR10" i="7"/>
  <c r="AS10" i="7"/>
  <c r="AT10" i="7"/>
  <c r="AU10" i="7"/>
  <c r="BB10" i="7"/>
  <c r="AZ10" i="7"/>
  <c r="AW10" i="7"/>
  <c r="F13" i="2"/>
  <c r="I14" i="2"/>
  <c r="AP22" i="7"/>
  <c r="AQ22" i="7"/>
  <c r="AR22" i="7"/>
  <c r="AS22" i="7"/>
  <c r="AT22" i="7"/>
  <c r="AU22" i="7"/>
  <c r="BB22" i="7"/>
  <c r="AV22" i="7" s="1"/>
  <c r="AZ22" i="7"/>
  <c r="L22" i="7"/>
  <c r="AW22" i="7"/>
  <c r="F14" i="2"/>
  <c r="E14" i="2"/>
  <c r="F22" i="1" s="1"/>
  <c r="I15" i="2"/>
  <c r="AP21" i="7"/>
  <c r="AQ21" i="7"/>
  <c r="AR21" i="7"/>
  <c r="AS21" i="7"/>
  <c r="AT21" i="7"/>
  <c r="AU21" i="7"/>
  <c r="BB21" i="7"/>
  <c r="F15" i="2"/>
  <c r="E15" i="2"/>
  <c r="F21" i="1"/>
  <c r="I16" i="2"/>
  <c r="AP20" i="7"/>
  <c r="AQ20" i="7"/>
  <c r="AR20" i="7"/>
  <c r="AS20" i="7"/>
  <c r="AT20" i="7"/>
  <c r="AU20" i="7"/>
  <c r="BB20" i="7"/>
  <c r="AV20" i="7" s="1"/>
  <c r="AZ20" i="7"/>
  <c r="F8" i="6"/>
  <c r="AW20" i="7"/>
  <c r="F16" i="2"/>
  <c r="E16" i="2"/>
  <c r="F20" i="1"/>
  <c r="I17" i="2"/>
  <c r="AP3" i="7"/>
  <c r="AQ3" i="7"/>
  <c r="AR3" i="7"/>
  <c r="AS3" i="7"/>
  <c r="AT3" i="7"/>
  <c r="AU3" i="7"/>
  <c r="BB3" i="7"/>
  <c r="AZ3" i="7"/>
  <c r="F17" i="2"/>
  <c r="I18" i="2"/>
  <c r="F18" i="2"/>
  <c r="E18" i="2" s="1"/>
  <c r="O18" i="2" s="1"/>
  <c r="I19" i="2"/>
  <c r="E19" i="2" s="1"/>
  <c r="O19" i="2" s="1"/>
  <c r="AP30" i="7"/>
  <c r="AQ30" i="7"/>
  <c r="AR30" i="7"/>
  <c r="AS30" i="7"/>
  <c r="AT30" i="7"/>
  <c r="AU30" i="7"/>
  <c r="BB30" i="7"/>
  <c r="AV30" i="7" s="1"/>
  <c r="L30" i="7"/>
  <c r="AW30" i="7"/>
  <c r="F19" i="2"/>
  <c r="F30" i="1"/>
  <c r="I20" i="2"/>
  <c r="E20" i="2" s="1"/>
  <c r="AP25" i="7"/>
  <c r="AQ25" i="7"/>
  <c r="AR25" i="7"/>
  <c r="AS25" i="7"/>
  <c r="AT25" i="7"/>
  <c r="AU25" i="7"/>
  <c r="BB25" i="7"/>
  <c r="AV25" i="7" s="1"/>
  <c r="AZ25" i="7"/>
  <c r="L25" i="7"/>
  <c r="AW25" i="7"/>
  <c r="F20" i="2"/>
  <c r="I21" i="2"/>
  <c r="E21" i="2" s="1"/>
  <c r="AP24" i="7"/>
  <c r="AQ24" i="7"/>
  <c r="AR24" i="7"/>
  <c r="AS24" i="7"/>
  <c r="AT24" i="7"/>
  <c r="AU24" i="7"/>
  <c r="L24" i="7"/>
  <c r="F21" i="2"/>
  <c r="I22" i="2"/>
  <c r="AP18" i="7"/>
  <c r="BB18" i="7"/>
  <c r="AV18" i="7" s="1"/>
  <c r="AQ18" i="7"/>
  <c r="AR18" i="7"/>
  <c r="AS18" i="7"/>
  <c r="AT18" i="7"/>
  <c r="AU18" i="7"/>
  <c r="F22" i="2"/>
  <c r="E22" i="2" s="1"/>
  <c r="O22" i="2" s="1"/>
  <c r="I23" i="2"/>
  <c r="F23" i="2"/>
  <c r="I24" i="2"/>
  <c r="AP6" i="7"/>
  <c r="AQ6" i="7"/>
  <c r="AR6" i="7"/>
  <c r="AS6" i="7"/>
  <c r="AT6" i="7"/>
  <c r="AU6" i="7"/>
  <c r="BB6" i="7"/>
  <c r="AV6" i="7" s="1"/>
  <c r="F24" i="2"/>
  <c r="E24" i="2"/>
  <c r="O24" i="2" s="1"/>
  <c r="F25" i="2"/>
  <c r="I25" i="2"/>
  <c r="E25" i="2"/>
  <c r="O25" i="2" s="1"/>
  <c r="F59" i="2"/>
  <c r="I59" i="2"/>
  <c r="E59" i="2"/>
  <c r="O59" i="2" s="1"/>
  <c r="F66" i="2"/>
  <c r="I66" i="2"/>
  <c r="E66" i="2"/>
  <c r="O66" i="2" s="1"/>
  <c r="I2" i="2"/>
  <c r="O11" i="2"/>
  <c r="O14" i="2"/>
  <c r="F26" i="2"/>
  <c r="E26" i="2" s="1"/>
  <c r="I26" i="2"/>
  <c r="O26" i="2"/>
  <c r="F27" i="2"/>
  <c r="E27" i="2" s="1"/>
  <c r="I27" i="2"/>
  <c r="O27" i="2"/>
  <c r="F28" i="2"/>
  <c r="E28" i="2" s="1"/>
  <c r="I28" i="2"/>
  <c r="F29" i="2"/>
  <c r="I29" i="2"/>
  <c r="F30" i="2"/>
  <c r="I30" i="2"/>
  <c r="E30" i="2" s="1"/>
  <c r="O30" i="2" s="1"/>
  <c r="F31" i="2"/>
  <c r="I31" i="2"/>
  <c r="E31" i="2"/>
  <c r="F32" i="2"/>
  <c r="I32" i="2"/>
  <c r="E32" i="2"/>
  <c r="O32" i="2"/>
  <c r="F33" i="2"/>
  <c r="I33" i="2"/>
  <c r="E33" i="2"/>
  <c r="F34" i="2"/>
  <c r="E34" i="2" s="1"/>
  <c r="I34" i="2"/>
  <c r="F35" i="2"/>
  <c r="E35" i="2" s="1"/>
  <c r="O35" i="2" s="1"/>
  <c r="I35" i="2"/>
  <c r="F36" i="2"/>
  <c r="E36" i="2" s="1"/>
  <c r="O36" i="2" s="1"/>
  <c r="I36" i="2"/>
  <c r="C37" i="2"/>
  <c r="F37" i="2" s="1"/>
  <c r="I37" i="2"/>
  <c r="C38" i="2"/>
  <c r="F38" i="2" s="1"/>
  <c r="I38" i="2"/>
  <c r="C39" i="2"/>
  <c r="I39" i="2"/>
  <c r="F40" i="2"/>
  <c r="E40" i="2"/>
  <c r="I40" i="2"/>
  <c r="C41" i="2"/>
  <c r="I41" i="2"/>
  <c r="C42" i="2"/>
  <c r="F42" i="2"/>
  <c r="I42" i="2"/>
  <c r="E42" i="2" s="1"/>
  <c r="F43" i="2"/>
  <c r="I43" i="2"/>
  <c r="E43" i="2"/>
  <c r="F44" i="2"/>
  <c r="E44" i="2" s="1"/>
  <c r="I44" i="2"/>
  <c r="F45" i="2"/>
  <c r="I45" i="2"/>
  <c r="J45" i="2" s="1"/>
  <c r="C46" i="2"/>
  <c r="F46" i="2" s="1"/>
  <c r="I46" i="2"/>
  <c r="C47" i="2"/>
  <c r="I47" i="2"/>
  <c r="C48" i="2"/>
  <c r="F48" i="2"/>
  <c r="I48" i="2"/>
  <c r="C49" i="2"/>
  <c r="F49" i="2"/>
  <c r="I49" i="2"/>
  <c r="C50" i="2"/>
  <c r="F50" i="2"/>
  <c r="I50" i="2"/>
  <c r="C51" i="2"/>
  <c r="F51" i="2"/>
  <c r="I51" i="2"/>
  <c r="E51" i="2" s="1"/>
  <c r="C52" i="2"/>
  <c r="I52" i="2"/>
  <c r="I53" i="2"/>
  <c r="F54" i="2"/>
  <c r="E54" i="2" s="1"/>
  <c r="I54" i="2"/>
  <c r="F55" i="2"/>
  <c r="E55" i="2" s="1"/>
  <c r="O55" i="2" s="1"/>
  <c r="I55" i="2"/>
  <c r="F56" i="2"/>
  <c r="E56" i="2" s="1"/>
  <c r="O56" i="2" s="1"/>
  <c r="I56" i="2"/>
  <c r="F57" i="2"/>
  <c r="I57" i="2"/>
  <c r="F58" i="2"/>
  <c r="I58" i="2"/>
  <c r="E58" i="2"/>
  <c r="F60" i="2"/>
  <c r="E60" i="2" s="1"/>
  <c r="I60" i="2"/>
  <c r="O60" i="2"/>
  <c r="F61" i="2"/>
  <c r="I61" i="2"/>
  <c r="F62" i="2"/>
  <c r="E62" i="2" s="1"/>
  <c r="O62" i="2" s="1"/>
  <c r="I62" i="2"/>
  <c r="F63" i="2"/>
  <c r="E63" i="2" s="1"/>
  <c r="I63" i="2"/>
  <c r="O63" i="2"/>
  <c r="F64" i="2"/>
  <c r="E64" i="2" s="1"/>
  <c r="I64" i="2"/>
  <c r="F65" i="2"/>
  <c r="E65" i="2"/>
  <c r="O65" i="2" s="1"/>
  <c r="I65" i="2"/>
  <c r="F67" i="2"/>
  <c r="I67" i="2"/>
  <c r="F68" i="2"/>
  <c r="I68" i="2"/>
  <c r="E68" i="2"/>
  <c r="F69" i="2"/>
  <c r="E69" i="2" s="1"/>
  <c r="I69" i="2"/>
  <c r="O69" i="2"/>
  <c r="F70" i="2"/>
  <c r="I70" i="2"/>
  <c r="F71" i="2"/>
  <c r="E71" i="2" s="1"/>
  <c r="O71" i="2" s="1"/>
  <c r="I71" i="2"/>
  <c r="F72" i="2"/>
  <c r="E72" i="2" s="1"/>
  <c r="I72" i="2"/>
  <c r="O72" i="2"/>
  <c r="C73" i="2"/>
  <c r="F73" i="2" s="1"/>
  <c r="I73" i="2"/>
  <c r="C74" i="2"/>
  <c r="F74" i="2"/>
  <c r="I74" i="2"/>
  <c r="C75" i="2"/>
  <c r="F75" i="2" s="1"/>
  <c r="I75" i="2"/>
  <c r="C76" i="2"/>
  <c r="F76" i="2" s="1"/>
  <c r="I76" i="2"/>
  <c r="C77" i="2"/>
  <c r="F77" i="2"/>
  <c r="I77" i="2"/>
  <c r="C78" i="2"/>
  <c r="F78" i="2"/>
  <c r="E78" i="2"/>
  <c r="O78" i="2" s="1"/>
  <c r="I78" i="2"/>
  <c r="C79" i="2"/>
  <c r="I79" i="2"/>
  <c r="C80" i="2"/>
  <c r="I80" i="2"/>
  <c r="C81" i="2"/>
  <c r="I81" i="2"/>
  <c r="C82" i="2"/>
  <c r="F82" i="2"/>
  <c r="I82" i="2"/>
  <c r="C83" i="2"/>
  <c r="I83" i="2"/>
  <c r="C84" i="2"/>
  <c r="F84" i="2"/>
  <c r="I84" i="2"/>
  <c r="C85" i="2"/>
  <c r="C19" i="1" s="1"/>
  <c r="I85" i="2"/>
  <c r="C86" i="2"/>
  <c r="I86" i="2"/>
  <c r="F87" i="2"/>
  <c r="E87" i="2" s="1"/>
  <c r="F17" i="1" s="1"/>
  <c r="I87" i="2"/>
  <c r="F88" i="2"/>
  <c r="I88" i="2"/>
  <c r="E88" i="2"/>
  <c r="O88" i="2"/>
  <c r="F89" i="2"/>
  <c r="I89" i="2"/>
  <c r="E89" i="2"/>
  <c r="O89" i="2"/>
  <c r="F90" i="2"/>
  <c r="I90" i="2"/>
  <c r="E90" i="2"/>
  <c r="O90" i="2"/>
  <c r="C91" i="2"/>
  <c r="F91" i="2"/>
  <c r="I91" i="2"/>
  <c r="E91" i="2"/>
  <c r="F92" i="2"/>
  <c r="E92" i="2" s="1"/>
  <c r="I92" i="2"/>
  <c r="F60" i="1"/>
  <c r="O92" i="2"/>
  <c r="R60" i="1" s="1"/>
  <c r="F93" i="2"/>
  <c r="I93" i="2"/>
  <c r="J93" i="2" s="1"/>
  <c r="E93" i="2"/>
  <c r="O93" i="2" s="1"/>
  <c r="F94" i="2"/>
  <c r="I94" i="2"/>
  <c r="E94" i="2"/>
  <c r="O94" i="2" s="1"/>
  <c r="F95" i="2"/>
  <c r="I95" i="2"/>
  <c r="E95" i="2" s="1"/>
  <c r="O95" i="2" s="1"/>
  <c r="F96" i="2"/>
  <c r="I96" i="2"/>
  <c r="E96" i="2"/>
  <c r="O96" i="2" s="1"/>
  <c r="F97" i="2"/>
  <c r="I97" i="2"/>
  <c r="E97" i="2"/>
  <c r="O97" i="2" s="1"/>
  <c r="F98" i="2"/>
  <c r="I98" i="2"/>
  <c r="E98" i="2"/>
  <c r="O98" i="2" s="1"/>
  <c r="F99" i="2"/>
  <c r="I99" i="2"/>
  <c r="E99" i="2" s="1"/>
  <c r="O99" i="2" s="1"/>
  <c r="C100" i="2"/>
  <c r="E100" i="2" s="1"/>
  <c r="F100" i="2"/>
  <c r="I100" i="2"/>
  <c r="C101" i="2"/>
  <c r="F101" i="2"/>
  <c r="I101" i="2"/>
  <c r="C102" i="2"/>
  <c r="F102" i="2"/>
  <c r="E102" i="2"/>
  <c r="O102" i="2" s="1"/>
  <c r="I102" i="2"/>
  <c r="F103" i="2"/>
  <c r="I103" i="2"/>
  <c r="E103" i="2" s="1"/>
  <c r="O103" i="2" s="1"/>
  <c r="C104" i="2"/>
  <c r="F104" i="2"/>
  <c r="I104" i="2"/>
  <c r="C105" i="2"/>
  <c r="F105" i="2"/>
  <c r="I105" i="2"/>
  <c r="C106" i="2"/>
  <c r="F106" i="2"/>
  <c r="I106" i="2"/>
  <c r="C107" i="2"/>
  <c r="I107" i="2"/>
  <c r="C108" i="2"/>
  <c r="I108" i="2"/>
  <c r="F109" i="2"/>
  <c r="I109" i="2"/>
  <c r="E109" i="2" s="1"/>
  <c r="C110" i="2"/>
  <c r="F110" i="2"/>
  <c r="E110" i="2"/>
  <c r="O110" i="2" s="1"/>
  <c r="I110" i="2"/>
  <c r="F111" i="2"/>
  <c r="I111" i="2"/>
  <c r="C112" i="2"/>
  <c r="I112" i="2"/>
  <c r="C113" i="2"/>
  <c r="F113" i="2"/>
  <c r="I113" i="2"/>
  <c r="C114" i="2"/>
  <c r="I114" i="2"/>
  <c r="C115" i="2"/>
  <c r="F115" i="2"/>
  <c r="E115" i="2"/>
  <c r="I115" i="2"/>
  <c r="C116" i="2"/>
  <c r="F116" i="2"/>
  <c r="I116" i="2"/>
  <c r="C117" i="2"/>
  <c r="F117" i="2"/>
  <c r="I117" i="2"/>
  <c r="C118" i="2"/>
  <c r="I118" i="2"/>
  <c r="C119" i="2"/>
  <c r="E119" i="2" s="1"/>
  <c r="O119" i="2" s="1"/>
  <c r="F119" i="2"/>
  <c r="I119" i="2"/>
  <c r="C120" i="2"/>
  <c r="I120" i="2"/>
  <c r="C121" i="2"/>
  <c r="F121" i="2"/>
  <c r="I121" i="2"/>
  <c r="C122" i="2"/>
  <c r="F122" i="2" s="1"/>
  <c r="I122" i="2"/>
  <c r="C123" i="2"/>
  <c r="F123" i="2"/>
  <c r="I123" i="2"/>
  <c r="E123" i="2" s="1"/>
  <c r="O123" i="2" s="1"/>
  <c r="C124" i="2"/>
  <c r="F124" i="2"/>
  <c r="I124" i="2"/>
  <c r="C125" i="2"/>
  <c r="F125" i="2"/>
  <c r="I125" i="2"/>
  <c r="C126" i="2"/>
  <c r="F126" i="2"/>
  <c r="I126" i="2"/>
  <c r="E126" i="2" s="1"/>
  <c r="O126" i="2" s="1"/>
  <c r="C127" i="2"/>
  <c r="F127" i="2"/>
  <c r="I127" i="2"/>
  <c r="J127" i="2" s="1"/>
  <c r="C128" i="2"/>
  <c r="F128" i="2"/>
  <c r="I128" i="2"/>
  <c r="C129" i="2"/>
  <c r="I129" i="2"/>
  <c r="C130" i="2"/>
  <c r="I130" i="2"/>
  <c r="C131" i="2"/>
  <c r="I131" i="2"/>
  <c r="C132" i="2"/>
  <c r="F132" i="2"/>
  <c r="I132" i="2"/>
  <c r="C133" i="2"/>
  <c r="F133" i="2"/>
  <c r="I133" i="2"/>
  <c r="C134" i="2"/>
  <c r="I134" i="2"/>
  <c r="C135" i="2"/>
  <c r="F135" i="2"/>
  <c r="I135" i="2"/>
  <c r="C136" i="2"/>
  <c r="I136" i="2"/>
  <c r="C137" i="2"/>
  <c r="F137" i="2"/>
  <c r="I137" i="2"/>
  <c r="C138" i="2"/>
  <c r="F138" i="2"/>
  <c r="I138" i="2"/>
  <c r="E138" i="2"/>
  <c r="O138" i="2" s="1"/>
  <c r="C139" i="2"/>
  <c r="E139" i="2" s="1"/>
  <c r="O139" i="2" s="1"/>
  <c r="F139" i="2"/>
  <c r="I139" i="2"/>
  <c r="C140" i="2"/>
  <c r="J140" i="2" s="1"/>
  <c r="P140" i="2" s="1"/>
  <c r="F140" i="2"/>
  <c r="I140" i="2"/>
  <c r="C141" i="2"/>
  <c r="F141" i="2"/>
  <c r="I141" i="2"/>
  <c r="C142" i="2"/>
  <c r="F142" i="2"/>
  <c r="I142" i="2"/>
  <c r="C143" i="2"/>
  <c r="F143" i="2" s="1"/>
  <c r="I143" i="2"/>
  <c r="C144" i="2"/>
  <c r="C25" i="1" s="1"/>
  <c r="F144" i="2"/>
  <c r="I144" i="2"/>
  <c r="C145" i="2"/>
  <c r="F145" i="2"/>
  <c r="E145" i="2"/>
  <c r="O145" i="2" s="1"/>
  <c r="I145" i="2"/>
  <c r="C146" i="2"/>
  <c r="I146" i="2"/>
  <c r="C147" i="2"/>
  <c r="F147" i="2"/>
  <c r="E147" i="2"/>
  <c r="O147" i="2"/>
  <c r="I147" i="2"/>
  <c r="C148" i="2"/>
  <c r="F148" i="2"/>
  <c r="I148" i="2"/>
  <c r="C149" i="2"/>
  <c r="F149" i="2"/>
  <c r="I149" i="2"/>
  <c r="C150" i="2"/>
  <c r="I150" i="2"/>
  <c r="C151" i="2"/>
  <c r="F151" i="2"/>
  <c r="I151" i="2"/>
  <c r="J151" i="2" s="1"/>
  <c r="C152" i="2"/>
  <c r="L152" i="2" s="1"/>
  <c r="N152" i="2" s="1"/>
  <c r="I152" i="2"/>
  <c r="C153" i="2"/>
  <c r="F153" i="2"/>
  <c r="I153" i="2"/>
  <c r="J153" i="2" s="1"/>
  <c r="P153" i="2" s="1"/>
  <c r="C154" i="2"/>
  <c r="F154" i="2" s="1"/>
  <c r="I154" i="2"/>
  <c r="E154" i="2"/>
  <c r="O154" i="2"/>
  <c r="C155" i="2"/>
  <c r="F155" i="2"/>
  <c r="I155" i="2"/>
  <c r="E155" i="2"/>
  <c r="O155" i="2" s="1"/>
  <c r="C156" i="2"/>
  <c r="F156" i="2"/>
  <c r="I156" i="2"/>
  <c r="C157" i="2"/>
  <c r="E157" i="2" s="1"/>
  <c r="O157" i="2" s="1"/>
  <c r="F157" i="2"/>
  <c r="I157" i="2"/>
  <c r="C158" i="2"/>
  <c r="F158" i="2"/>
  <c r="I158" i="2"/>
  <c r="C159" i="2"/>
  <c r="F159" i="2" s="1"/>
  <c r="I159" i="2"/>
  <c r="C160" i="2"/>
  <c r="F160" i="2"/>
  <c r="I160" i="2"/>
  <c r="C161" i="2"/>
  <c r="F161" i="2"/>
  <c r="E161" i="2"/>
  <c r="O161" i="2" s="1"/>
  <c r="I161" i="2"/>
  <c r="C162" i="2"/>
  <c r="I162" i="2"/>
  <c r="C163" i="2"/>
  <c r="F163" i="2"/>
  <c r="E163" i="2"/>
  <c r="O163" i="2" s="1"/>
  <c r="I163" i="2"/>
  <c r="L6" i="7"/>
  <c r="D4" i="4"/>
  <c r="J27" i="2"/>
  <c r="P27" i="2" s="1"/>
  <c r="AP29" i="7"/>
  <c r="AQ29" i="7"/>
  <c r="AR29" i="7"/>
  <c r="AS29" i="7"/>
  <c r="AT29" i="7"/>
  <c r="AU29" i="7"/>
  <c r="A29" i="7"/>
  <c r="L29" i="7"/>
  <c r="AP16" i="7"/>
  <c r="AQ16" i="7"/>
  <c r="AR16" i="7"/>
  <c r="AS16" i="7"/>
  <c r="AT16" i="7"/>
  <c r="AU16" i="7"/>
  <c r="BB16" i="7"/>
  <c r="AZ16" i="7"/>
  <c r="L16" i="7"/>
  <c r="G27" i="6"/>
  <c r="AP8" i="7"/>
  <c r="AQ8" i="7"/>
  <c r="AR8" i="7"/>
  <c r="AS8" i="7"/>
  <c r="AT8" i="7"/>
  <c r="AU8" i="7"/>
  <c r="E27" i="6"/>
  <c r="L8" i="7" s="1"/>
  <c r="F27" i="6"/>
  <c r="AW8" i="7"/>
  <c r="AP9" i="7"/>
  <c r="AQ9" i="7"/>
  <c r="AR9" i="7"/>
  <c r="AS9" i="7"/>
  <c r="AT9" i="7"/>
  <c r="AU9" i="7"/>
  <c r="AP27" i="7"/>
  <c r="AQ27" i="7"/>
  <c r="AR27" i="7"/>
  <c r="AS27" i="7"/>
  <c r="AT27" i="7"/>
  <c r="AU27" i="7"/>
  <c r="AW27" i="7"/>
  <c r="AP28" i="7"/>
  <c r="AQ28" i="7"/>
  <c r="AR28" i="7"/>
  <c r="AS28" i="7"/>
  <c r="AT28" i="7"/>
  <c r="AU28" i="7"/>
  <c r="BB28" i="7"/>
  <c r="AV28" i="7" s="1"/>
  <c r="AZ28" i="7"/>
  <c r="AW28" i="7"/>
  <c r="J36" i="2"/>
  <c r="P36" i="2" s="1"/>
  <c r="AP45" i="7"/>
  <c r="AQ45" i="7"/>
  <c r="AR45" i="7"/>
  <c r="AS45" i="7"/>
  <c r="AT45" i="7"/>
  <c r="AU45" i="7"/>
  <c r="BB45" i="7"/>
  <c r="AV45" i="7" s="1"/>
  <c r="AZ45" i="7"/>
  <c r="L45" i="7"/>
  <c r="AW45" i="7"/>
  <c r="AP42" i="7"/>
  <c r="AQ42" i="7"/>
  <c r="AR42" i="7"/>
  <c r="AS42" i="7"/>
  <c r="AT42" i="7"/>
  <c r="AU42" i="7"/>
  <c r="BB42" i="7"/>
  <c r="AV42" i="7" s="1"/>
  <c r="AZ42" i="7"/>
  <c r="L42" i="7"/>
  <c r="AW42" i="7"/>
  <c r="AP41" i="7"/>
  <c r="AQ41" i="7"/>
  <c r="AR41" i="7"/>
  <c r="AS41" i="7"/>
  <c r="AT41" i="7"/>
  <c r="AU41" i="7"/>
  <c r="BB41" i="7"/>
  <c r="AV41" i="7" s="1"/>
  <c r="AZ41" i="7"/>
  <c r="L41" i="7"/>
  <c r="AW41" i="7"/>
  <c r="AP44" i="7"/>
  <c r="AQ44" i="7"/>
  <c r="AR44" i="7"/>
  <c r="AS44" i="7"/>
  <c r="AT44" i="7"/>
  <c r="AU44" i="7"/>
  <c r="AZ44" i="7"/>
  <c r="AW44" i="7"/>
  <c r="AP40" i="7"/>
  <c r="AQ40" i="7"/>
  <c r="AR40" i="7"/>
  <c r="AS40" i="7"/>
  <c r="AT40" i="7"/>
  <c r="AU40" i="7"/>
  <c r="AZ40" i="7"/>
  <c r="AW40" i="7"/>
  <c r="AP49" i="7"/>
  <c r="AQ49" i="7"/>
  <c r="AR49" i="7"/>
  <c r="AS49" i="7"/>
  <c r="AT49" i="7"/>
  <c r="AU49" i="7"/>
  <c r="BB49" i="7"/>
  <c r="AV49" i="7" s="1"/>
  <c r="AZ49" i="7"/>
  <c r="AW49" i="7"/>
  <c r="AP51" i="7"/>
  <c r="AQ51" i="7"/>
  <c r="AR51" i="7"/>
  <c r="AS51" i="7"/>
  <c r="AT51" i="7"/>
  <c r="AU51" i="7"/>
  <c r="BB51" i="7"/>
  <c r="AZ51" i="7"/>
  <c r="AW51" i="7"/>
  <c r="AP48" i="7"/>
  <c r="AQ48" i="7"/>
  <c r="AR48" i="7"/>
  <c r="AS48" i="7"/>
  <c r="AT48" i="7"/>
  <c r="AU48" i="7"/>
  <c r="BB48" i="7"/>
  <c r="L48" i="7"/>
  <c r="AW48" i="7"/>
  <c r="AP50" i="7"/>
  <c r="AQ50" i="7"/>
  <c r="AR50" i="7"/>
  <c r="AS50" i="7"/>
  <c r="AT50" i="7"/>
  <c r="AU50" i="7"/>
  <c r="BB50" i="7"/>
  <c r="AV50" i="7" s="1"/>
  <c r="L50" i="7"/>
  <c r="F11" i="6"/>
  <c r="AP53" i="7"/>
  <c r="BB53" i="7"/>
  <c r="AZ53" i="7"/>
  <c r="AQ53" i="7"/>
  <c r="AR53" i="7"/>
  <c r="AS53" i="7"/>
  <c r="AT53" i="7"/>
  <c r="AU53" i="7"/>
  <c r="L53" i="7"/>
  <c r="AW53" i="7"/>
  <c r="AP56" i="7"/>
  <c r="AQ56" i="7"/>
  <c r="AR56" i="7"/>
  <c r="AS56" i="7"/>
  <c r="AT56" i="7"/>
  <c r="AU56" i="7"/>
  <c r="BB56" i="7"/>
  <c r="AZ56" i="7"/>
  <c r="L56" i="7"/>
  <c r="AP54" i="7"/>
  <c r="AQ54" i="7"/>
  <c r="AR54" i="7"/>
  <c r="AS54" i="7"/>
  <c r="AT54" i="7"/>
  <c r="AU54" i="7"/>
  <c r="A54" i="7"/>
  <c r="BB54" i="7"/>
  <c r="AV54" i="7" s="1"/>
  <c r="AZ54" i="7"/>
  <c r="L54" i="7"/>
  <c r="AW54" i="7"/>
  <c r="AP52" i="7"/>
  <c r="AQ52" i="7"/>
  <c r="AR52" i="7"/>
  <c r="AS52" i="7"/>
  <c r="AT52" i="7"/>
  <c r="AU52" i="7"/>
  <c r="BB52" i="7"/>
  <c r="AZ52" i="7"/>
  <c r="L52" i="7"/>
  <c r="AW52" i="7"/>
  <c r="AP46" i="7"/>
  <c r="AQ46" i="7"/>
  <c r="AR46" i="7"/>
  <c r="AS46" i="7"/>
  <c r="AT46" i="7"/>
  <c r="AU46" i="7"/>
  <c r="BB46" i="7"/>
  <c r="AZ46" i="7"/>
  <c r="AW46" i="7"/>
  <c r="AP43" i="7"/>
  <c r="AQ43" i="7"/>
  <c r="AR43" i="7"/>
  <c r="AS43" i="7"/>
  <c r="AT43" i="7"/>
  <c r="AU43" i="7"/>
  <c r="BB43" i="7"/>
  <c r="AV43" i="7" s="1"/>
  <c r="AZ43" i="7"/>
  <c r="L43" i="7"/>
  <c r="AW43" i="7"/>
  <c r="AP47" i="7"/>
  <c r="AQ47" i="7"/>
  <c r="AR47" i="7"/>
  <c r="AS47" i="7"/>
  <c r="AT47" i="7"/>
  <c r="AU47" i="7"/>
  <c r="BB47" i="7"/>
  <c r="AV47" i="7" s="1"/>
  <c r="AZ47" i="7"/>
  <c r="AW47" i="7"/>
  <c r="AP38" i="7"/>
  <c r="BB38" i="7"/>
  <c r="AZ38" i="7"/>
  <c r="AQ38" i="7"/>
  <c r="AR38" i="7"/>
  <c r="AS38" i="7"/>
  <c r="AT38" i="7"/>
  <c r="AU38" i="7"/>
  <c r="AW38" i="7"/>
  <c r="AP57" i="7"/>
  <c r="BB57" i="7"/>
  <c r="AV57" i="7" s="1"/>
  <c r="AZ57" i="7"/>
  <c r="AQ57" i="7"/>
  <c r="AR57" i="7"/>
  <c r="AS57" i="7"/>
  <c r="AT57" i="7"/>
  <c r="AU57" i="7"/>
  <c r="AW57" i="7"/>
  <c r="AP59" i="7"/>
  <c r="AQ59" i="7"/>
  <c r="AR59" i="7"/>
  <c r="AS59" i="7"/>
  <c r="AT59" i="7"/>
  <c r="AU59" i="7"/>
  <c r="BB59" i="7"/>
  <c r="AV59" i="7" s="1"/>
  <c r="AZ59" i="7"/>
  <c r="AW59" i="7"/>
  <c r="AP58" i="7"/>
  <c r="AQ58" i="7"/>
  <c r="AR58" i="7"/>
  <c r="AS58" i="7"/>
  <c r="AT58" i="7"/>
  <c r="AU58" i="7"/>
  <c r="BB58" i="7"/>
  <c r="AZ58" i="7"/>
  <c r="AW58" i="7"/>
  <c r="AP19" i="7"/>
  <c r="BB19" i="7"/>
  <c r="AV19" i="7" s="1"/>
  <c r="AZ19" i="7"/>
  <c r="AQ19" i="7"/>
  <c r="AR19" i="7"/>
  <c r="AS19" i="7"/>
  <c r="AT19" i="7"/>
  <c r="AU19" i="7"/>
  <c r="AW19" i="7"/>
  <c r="AP17" i="7"/>
  <c r="BB17" i="7"/>
  <c r="AZ17" i="7"/>
  <c r="AQ17" i="7"/>
  <c r="AR17" i="7"/>
  <c r="AS17" i="7"/>
  <c r="AT17" i="7"/>
  <c r="AU17" i="7"/>
  <c r="AW17" i="7"/>
  <c r="AP36" i="7"/>
  <c r="AQ36" i="7"/>
  <c r="AR36" i="7"/>
  <c r="AS36" i="7"/>
  <c r="AT36" i="7"/>
  <c r="AU36" i="7"/>
  <c r="BB36" i="7"/>
  <c r="AV36" i="7" s="1"/>
  <c r="AZ36" i="7"/>
  <c r="L36" i="7"/>
  <c r="AW36" i="7"/>
  <c r="AP60" i="7"/>
  <c r="AQ60" i="7"/>
  <c r="AR60" i="7"/>
  <c r="AS60" i="7"/>
  <c r="AT60" i="7"/>
  <c r="AU60" i="7"/>
  <c r="BB60" i="7"/>
  <c r="AZ60" i="7"/>
  <c r="AW60" i="7"/>
  <c r="AP37" i="7"/>
  <c r="AQ37" i="7"/>
  <c r="AR37" i="7"/>
  <c r="AS37" i="7"/>
  <c r="AT37" i="7"/>
  <c r="AU37" i="7"/>
  <c r="BB37" i="7"/>
  <c r="AV37" i="7" s="1"/>
  <c r="AZ37" i="7"/>
  <c r="AW37" i="7"/>
  <c r="J103" i="2"/>
  <c r="P103" i="2" s="1"/>
  <c r="AP31" i="7"/>
  <c r="AQ31" i="7"/>
  <c r="AR31" i="7"/>
  <c r="AS31" i="7"/>
  <c r="AT31" i="7"/>
  <c r="AU31" i="7"/>
  <c r="BB31" i="7"/>
  <c r="AV31" i="7" s="1"/>
  <c r="AZ31" i="7"/>
  <c r="AW31" i="7"/>
  <c r="AP32" i="7"/>
  <c r="AQ32" i="7"/>
  <c r="AR32" i="7"/>
  <c r="AS32" i="7"/>
  <c r="AT32" i="7"/>
  <c r="AU32" i="7"/>
  <c r="BB32" i="7"/>
  <c r="AZ32" i="7"/>
  <c r="L32" i="7"/>
  <c r="AW32" i="7"/>
  <c r="AP33" i="7"/>
  <c r="AQ33" i="7"/>
  <c r="AR33" i="7"/>
  <c r="AS33" i="7"/>
  <c r="AT33" i="7"/>
  <c r="AU33" i="7"/>
  <c r="BB33" i="7"/>
  <c r="AZ33" i="7"/>
  <c r="AW33" i="7"/>
  <c r="AP34" i="7"/>
  <c r="AQ34" i="7"/>
  <c r="AR34" i="7"/>
  <c r="AS34" i="7"/>
  <c r="AT34" i="7"/>
  <c r="AU34" i="7"/>
  <c r="BB34" i="7"/>
  <c r="AZ34" i="7"/>
  <c r="AW34" i="7"/>
  <c r="AP35" i="7"/>
  <c r="BB35" i="7"/>
  <c r="AZ35" i="7"/>
  <c r="AQ35" i="7"/>
  <c r="AR35" i="7"/>
  <c r="AS35" i="7"/>
  <c r="AT35" i="7"/>
  <c r="AU35" i="7"/>
  <c r="AW35" i="7"/>
  <c r="J113" i="2"/>
  <c r="J115" i="2"/>
  <c r="P115" i="2" s="1"/>
  <c r="J117" i="2"/>
  <c r="P117" i="2" s="1"/>
  <c r="J119" i="2"/>
  <c r="P119" i="2" s="1"/>
  <c r="J121" i="2"/>
  <c r="P121" i="2" s="1"/>
  <c r="J123" i="2"/>
  <c r="P123" i="2" s="1"/>
  <c r="AP39" i="7"/>
  <c r="AQ39" i="7"/>
  <c r="AR39" i="7"/>
  <c r="AS39" i="7"/>
  <c r="AT39" i="7"/>
  <c r="AU39" i="7"/>
  <c r="BB39" i="7"/>
  <c r="AV39" i="7" s="1"/>
  <c r="AZ39" i="7"/>
  <c r="L39" i="7"/>
  <c r="AW39" i="7"/>
  <c r="J131" i="2"/>
  <c r="J135" i="2"/>
  <c r="J138" i="2"/>
  <c r="P138" i="2" s="1"/>
  <c r="J139" i="2"/>
  <c r="P139" i="2" s="1"/>
  <c r="J141" i="2"/>
  <c r="J142" i="2"/>
  <c r="J143" i="2"/>
  <c r="P143" i="2" s="1"/>
  <c r="J145" i="2"/>
  <c r="P145" i="2" s="1"/>
  <c r="J148" i="2"/>
  <c r="P148" i="2" s="1"/>
  <c r="J149" i="2"/>
  <c r="J150" i="2"/>
  <c r="J154" i="2"/>
  <c r="P154" i="2" s="1"/>
  <c r="J155" i="2"/>
  <c r="P155" i="2" s="1"/>
  <c r="J157" i="2"/>
  <c r="J158" i="2"/>
  <c r="J159" i="2"/>
  <c r="P159" i="2" s="1"/>
  <c r="J160" i="2"/>
  <c r="P160" i="2" s="1"/>
  <c r="J161" i="2"/>
  <c r="P161" i="2" s="1"/>
  <c r="J163" i="2"/>
  <c r="R15" i="1"/>
  <c r="R22" i="1"/>
  <c r="R30" i="1"/>
  <c r="N11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3" i="1"/>
  <c r="C54" i="1"/>
  <c r="C55" i="1"/>
  <c r="C56" i="1"/>
  <c r="C57" i="1"/>
  <c r="C58" i="1"/>
  <c r="C59" i="1"/>
  <c r="C60" i="1"/>
  <c r="C3" i="1"/>
  <c r="D7" i="4"/>
  <c r="D3" i="4"/>
  <c r="D5" i="4"/>
  <c r="N4" i="1"/>
  <c r="N7" i="1"/>
  <c r="N8" i="1"/>
  <c r="N9" i="1"/>
  <c r="N10" i="1"/>
  <c r="N13" i="1"/>
  <c r="N14" i="1"/>
  <c r="N15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A55" i="7"/>
  <c r="L55" i="7"/>
  <c r="N57" i="1"/>
  <c r="D14" i="6"/>
  <c r="D25" i="6"/>
  <c r="H15" i="6"/>
  <c r="H24" i="6"/>
  <c r="BC6" i="7"/>
  <c r="H14" i="6"/>
  <c r="O6" i="7"/>
  <c r="H26" i="6"/>
  <c r="B14" i="6"/>
  <c r="B25" i="6"/>
  <c r="B13" i="6"/>
  <c r="B26" i="6"/>
  <c r="B15" i="6"/>
  <c r="B24" i="6"/>
  <c r="L27" i="2"/>
  <c r="N27" i="2" s="1"/>
  <c r="B27" i="6"/>
  <c r="L36" i="2"/>
  <c r="N36" i="2" s="1"/>
  <c r="L39" i="2"/>
  <c r="N39" i="2" s="1"/>
  <c r="L45" i="2"/>
  <c r="N45" i="2" s="1"/>
  <c r="M46" i="7"/>
  <c r="M58" i="7"/>
  <c r="M60" i="7"/>
  <c r="L93" i="2"/>
  <c r="N93" i="2" s="1"/>
  <c r="L103" i="2"/>
  <c r="N103" i="2" s="1"/>
  <c r="M31" i="7"/>
  <c r="M35" i="7"/>
  <c r="L113" i="2"/>
  <c r="N113" i="2" s="1"/>
  <c r="L114" i="2"/>
  <c r="N114" i="2" s="1"/>
  <c r="L115" i="2"/>
  <c r="N115" i="2" s="1"/>
  <c r="L116" i="2"/>
  <c r="N116" i="2" s="1"/>
  <c r="L117" i="2"/>
  <c r="N117" i="2" s="1"/>
  <c r="L118" i="2"/>
  <c r="N118" i="2" s="1"/>
  <c r="L119" i="2"/>
  <c r="N119" i="2" s="1"/>
  <c r="L120" i="2"/>
  <c r="L121" i="2"/>
  <c r="N121" i="2" s="1"/>
  <c r="L123" i="2"/>
  <c r="N123" i="2" s="1"/>
  <c r="L125" i="2"/>
  <c r="N125" i="2" s="1"/>
  <c r="L127" i="2"/>
  <c r="N127" i="2" s="1"/>
  <c r="L130" i="2"/>
  <c r="N130" i="2" s="1"/>
  <c r="L131" i="2"/>
  <c r="N131" i="2" s="1"/>
  <c r="L132" i="2"/>
  <c r="N132" i="2" s="1"/>
  <c r="L133" i="2"/>
  <c r="N133" i="2" s="1"/>
  <c r="L134" i="2"/>
  <c r="N134" i="2" s="1"/>
  <c r="L135" i="2"/>
  <c r="N135" i="2" s="1"/>
  <c r="L136" i="2"/>
  <c r="N136" i="2" s="1"/>
  <c r="L138" i="2"/>
  <c r="L139" i="2"/>
  <c r="N139" i="2" s="1"/>
  <c r="L140" i="2"/>
  <c r="N140" i="2" s="1"/>
  <c r="L141" i="2"/>
  <c r="N141" i="2" s="1"/>
  <c r="L142" i="2"/>
  <c r="N142" i="2" s="1"/>
  <c r="L143" i="2"/>
  <c r="N143" i="2" s="1"/>
  <c r="L145" i="2"/>
  <c r="N145" i="2" s="1"/>
  <c r="L146" i="2"/>
  <c r="N146" i="2" s="1"/>
  <c r="L148" i="2"/>
  <c r="N148" i="2" s="1"/>
  <c r="L149" i="2"/>
  <c r="N149" i="2" s="1"/>
  <c r="L150" i="2"/>
  <c r="N150" i="2" s="1"/>
  <c r="L151" i="2"/>
  <c r="N151" i="2" s="1"/>
  <c r="L153" i="2"/>
  <c r="N153" i="2" s="1"/>
  <c r="L154" i="2"/>
  <c r="N154" i="2" s="1"/>
  <c r="L155" i="2"/>
  <c r="N155" i="2" s="1"/>
  <c r="L156" i="2"/>
  <c r="N156" i="2" s="1"/>
  <c r="L157" i="2"/>
  <c r="N157" i="2" s="1"/>
  <c r="L158" i="2"/>
  <c r="N158" i="2" s="1"/>
  <c r="L159" i="2"/>
  <c r="N159" i="2" s="1"/>
  <c r="L160" i="2"/>
  <c r="N160" i="2" s="1"/>
  <c r="L161" i="2"/>
  <c r="N161" i="2" s="1"/>
  <c r="L163" i="2"/>
  <c r="N163" i="2" s="1"/>
  <c r="N120" i="2"/>
  <c r="N138" i="2"/>
  <c r="BC4" i="7"/>
  <c r="K4" i="7" s="1"/>
  <c r="J4" i="1" s="1"/>
  <c r="H25" i="6"/>
  <c r="O4" i="7"/>
  <c r="BC7" i="7"/>
  <c r="K7" i="7" s="1"/>
  <c r="J7" i="1" s="1"/>
  <c r="O7" i="7"/>
  <c r="BC8" i="7"/>
  <c r="K8" i="7" s="1"/>
  <c r="J8" i="1" s="1"/>
  <c r="H27" i="6"/>
  <c r="O8" i="7"/>
  <c r="BC9" i="7"/>
  <c r="H13" i="6"/>
  <c r="BC10" i="7"/>
  <c r="O10" i="7"/>
  <c r="BC11" i="7"/>
  <c r="K11" i="7" s="1"/>
  <c r="J11" i="1" s="1"/>
  <c r="O11" i="7"/>
  <c r="BC13" i="7"/>
  <c r="BC14" i="7"/>
  <c r="BC15" i="7"/>
  <c r="O15" i="7"/>
  <c r="BC16" i="7"/>
  <c r="K16" i="7" s="1"/>
  <c r="J16" i="1" s="1"/>
  <c r="O16" i="7"/>
  <c r="BC17" i="7"/>
  <c r="BC18" i="7"/>
  <c r="BC19" i="7"/>
  <c r="O19" i="7"/>
  <c r="BC20" i="7"/>
  <c r="K20" i="7" s="1"/>
  <c r="J20" i="1" s="1"/>
  <c r="O20" i="7"/>
  <c r="BC21" i="7"/>
  <c r="BC22" i="7"/>
  <c r="BC23" i="7"/>
  <c r="BC24" i="7"/>
  <c r="K24" i="7" s="1"/>
  <c r="J24" i="1" s="1"/>
  <c r="O24" i="7"/>
  <c r="BC25" i="7"/>
  <c r="BC26" i="7"/>
  <c r="BC27" i="7"/>
  <c r="BC28" i="7"/>
  <c r="BC29" i="7"/>
  <c r="BC30" i="7"/>
  <c r="K30" i="7" s="1"/>
  <c r="J30" i="1" s="1"/>
  <c r="O30" i="7"/>
  <c r="BC31" i="7"/>
  <c r="O31" i="7"/>
  <c r="BC32" i="7"/>
  <c r="K32" i="7" s="1"/>
  <c r="J32" i="1" s="1"/>
  <c r="O32" i="7"/>
  <c r="BC33" i="7"/>
  <c r="BC34" i="7"/>
  <c r="BC35" i="7"/>
  <c r="O35" i="7"/>
  <c r="BC36" i="7"/>
  <c r="BC37" i="7"/>
  <c r="BC38" i="7"/>
  <c r="BC39" i="7"/>
  <c r="O39" i="7"/>
  <c r="BC40" i="7"/>
  <c r="K40" i="7" s="1"/>
  <c r="J40" i="1" s="1"/>
  <c r="O40" i="7"/>
  <c r="BC41" i="7"/>
  <c r="BC42" i="7"/>
  <c r="BC43" i="7"/>
  <c r="O43" i="7"/>
  <c r="BC44" i="7"/>
  <c r="K44" i="7" s="1"/>
  <c r="J44" i="1" s="1"/>
  <c r="O44" i="7"/>
  <c r="BC45" i="7"/>
  <c r="BC46" i="7"/>
  <c r="BC47" i="7"/>
  <c r="O47" i="7"/>
  <c r="BC48" i="7"/>
  <c r="K48" i="7" s="1"/>
  <c r="J48" i="1" s="1"/>
  <c r="O48" i="7"/>
  <c r="BC49" i="7"/>
  <c r="BC50" i="7"/>
  <c r="BC51" i="7"/>
  <c r="O51" i="7"/>
  <c r="BC52" i="7"/>
  <c r="K52" i="7" s="1"/>
  <c r="J52" i="1" s="1"/>
  <c r="O52" i="7"/>
  <c r="BC53" i="7"/>
  <c r="K53" i="7" s="1"/>
  <c r="J53" i="1" s="1"/>
  <c r="O53" i="7"/>
  <c r="BC54" i="7"/>
  <c r="BC55" i="7"/>
  <c r="O55" i="7"/>
  <c r="BC56" i="7"/>
  <c r="K56" i="7" s="1"/>
  <c r="J56" i="1" s="1"/>
  <c r="O56" i="7"/>
  <c r="BC57" i="7"/>
  <c r="BC58" i="7"/>
  <c r="BC59" i="7"/>
  <c r="BC60" i="7"/>
  <c r="O60" i="7"/>
  <c r="D26" i="6"/>
  <c r="N6" i="7"/>
  <c r="D27" i="6"/>
  <c r="D13" i="6"/>
  <c r="N39" i="7" s="1"/>
  <c r="N25" i="7"/>
  <c r="N10" i="7"/>
  <c r="D15" i="6"/>
  <c r="D24" i="6"/>
  <c r="N15" i="7"/>
  <c r="N22" i="7"/>
  <c r="N24" i="7"/>
  <c r="N28" i="7"/>
  <c r="N30" i="7"/>
  <c r="N31" i="7"/>
  <c r="N33" i="7"/>
  <c r="N35" i="7"/>
  <c r="N37" i="7"/>
  <c r="N43" i="7"/>
  <c r="N44" i="7"/>
  <c r="N51" i="7"/>
  <c r="N53" i="7"/>
  <c r="N56" i="7"/>
  <c r="N57" i="7"/>
  <c r="N60" i="7"/>
  <c r="M27" i="2"/>
  <c r="M36" i="2"/>
  <c r="M45" i="2"/>
  <c r="M93" i="2"/>
  <c r="M103" i="2"/>
  <c r="M113" i="2"/>
  <c r="M114" i="2"/>
  <c r="M115" i="2"/>
  <c r="M116" i="2"/>
  <c r="M117" i="2"/>
  <c r="M118" i="2"/>
  <c r="M119" i="2"/>
  <c r="M120" i="2"/>
  <c r="M121" i="2"/>
  <c r="M122" i="2"/>
  <c r="M123" i="2"/>
  <c r="M125" i="2"/>
  <c r="M127" i="2"/>
  <c r="M129" i="2"/>
  <c r="M130" i="2"/>
  <c r="M131" i="2"/>
  <c r="M132" i="2"/>
  <c r="M134" i="2"/>
  <c r="M135" i="2"/>
  <c r="M136" i="2"/>
  <c r="M138" i="2"/>
  <c r="M139" i="2"/>
  <c r="M140" i="2"/>
  <c r="M141" i="2"/>
  <c r="M142" i="2"/>
  <c r="M143" i="2"/>
  <c r="M145" i="2"/>
  <c r="M146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D22" i="3"/>
  <c r="D17" i="3"/>
  <c r="D16" i="3"/>
  <c r="D5" i="3"/>
  <c r="D6" i="3"/>
  <c r="D7" i="3"/>
  <c r="D8" i="3"/>
  <c r="D9" i="3"/>
  <c r="D10" i="3"/>
  <c r="D11" i="3"/>
  <c r="D12" i="3"/>
  <c r="D13" i="3"/>
  <c r="D4" i="3"/>
  <c r="X4" i="1"/>
  <c r="X5" i="1"/>
  <c r="E5" i="1" s="1"/>
  <c r="X6" i="1"/>
  <c r="E6" i="1" s="1"/>
  <c r="X7" i="1"/>
  <c r="E7" i="1" s="1"/>
  <c r="X8" i="1"/>
  <c r="E8" i="1" s="1"/>
  <c r="X9" i="1"/>
  <c r="E9" i="1" s="1"/>
  <c r="X10" i="1"/>
  <c r="E10" i="1" s="1"/>
  <c r="X11" i="1"/>
  <c r="E11" i="1" s="1"/>
  <c r="X12" i="1"/>
  <c r="E12" i="1" s="1"/>
  <c r="X13" i="1"/>
  <c r="E13" i="1" s="1"/>
  <c r="X14" i="1"/>
  <c r="E14" i="1" s="1"/>
  <c r="X15" i="1"/>
  <c r="E15" i="1" s="1"/>
  <c r="X17" i="1"/>
  <c r="E17" i="1" s="1"/>
  <c r="X18" i="1"/>
  <c r="E18" i="1" s="1"/>
  <c r="X19" i="1"/>
  <c r="X20" i="1"/>
  <c r="E20" i="1" s="1"/>
  <c r="X21" i="1"/>
  <c r="E21" i="1" s="1"/>
  <c r="X22" i="1"/>
  <c r="E22" i="1" s="1"/>
  <c r="X23" i="1"/>
  <c r="E23" i="1" s="1"/>
  <c r="X24" i="1"/>
  <c r="E24" i="1" s="1"/>
  <c r="X25" i="1"/>
  <c r="E25" i="1" s="1"/>
  <c r="X26" i="1"/>
  <c r="E26" i="1" s="1"/>
  <c r="X27" i="1"/>
  <c r="E27" i="1" s="1"/>
  <c r="X28" i="1"/>
  <c r="E28" i="1" s="1"/>
  <c r="X29" i="1"/>
  <c r="E29" i="1" s="1"/>
  <c r="X30" i="1"/>
  <c r="E30" i="1" s="1"/>
  <c r="X31" i="1"/>
  <c r="E31" i="1" s="1"/>
  <c r="X32" i="1"/>
  <c r="E32" i="1" s="1"/>
  <c r="X33" i="1"/>
  <c r="X34" i="1"/>
  <c r="X35" i="1"/>
  <c r="E35" i="1" s="1"/>
  <c r="X36" i="1"/>
  <c r="E36" i="1" s="1"/>
  <c r="X37" i="1"/>
  <c r="E37" i="1" s="1"/>
  <c r="X38" i="1"/>
  <c r="E38" i="1" s="1"/>
  <c r="X39" i="1"/>
  <c r="E39" i="1" s="1"/>
  <c r="X40" i="1"/>
  <c r="E40" i="1" s="1"/>
  <c r="X41" i="1"/>
  <c r="E41" i="1" s="1"/>
  <c r="X42" i="1"/>
  <c r="X43" i="1"/>
  <c r="E43" i="1" s="1"/>
  <c r="X44" i="1"/>
  <c r="E44" i="1" s="1"/>
  <c r="X45" i="1"/>
  <c r="E45" i="1" s="1"/>
  <c r="X46" i="1"/>
  <c r="E46" i="1" s="1"/>
  <c r="X47" i="1"/>
  <c r="E47" i="1" s="1"/>
  <c r="X48" i="1"/>
  <c r="E48" i="1" s="1"/>
  <c r="X49" i="1"/>
  <c r="E49" i="1" s="1"/>
  <c r="X50" i="1"/>
  <c r="E50" i="1" s="1"/>
  <c r="X51" i="1"/>
  <c r="X52" i="1"/>
  <c r="E52" i="1" s="1"/>
  <c r="X53" i="1"/>
  <c r="E53" i="1" s="1"/>
  <c r="X54" i="1"/>
  <c r="X55" i="1"/>
  <c r="E55" i="1" s="1"/>
  <c r="X56" i="1"/>
  <c r="E56" i="1" s="1"/>
  <c r="X57" i="1"/>
  <c r="X58" i="1"/>
  <c r="E58" i="1" s="1"/>
  <c r="X59" i="1"/>
  <c r="X60" i="1"/>
  <c r="E60" i="1" s="1"/>
  <c r="O3" i="7"/>
  <c r="O2" i="7"/>
  <c r="BB55" i="7"/>
  <c r="AV55" i="7" s="1"/>
  <c r="AP55" i="7"/>
  <c r="AQ55" i="7"/>
  <c r="AR55" i="7"/>
  <c r="AS55" i="7"/>
  <c r="AT55" i="7"/>
  <c r="AU55" i="7"/>
  <c r="C14" i="6"/>
  <c r="C24" i="6"/>
  <c r="AM55" i="7"/>
  <c r="AL55" i="7"/>
  <c r="AK55" i="7"/>
  <c r="AJ55" i="7"/>
  <c r="AI55" i="7"/>
  <c r="AH55" i="7"/>
  <c r="AG55" i="7"/>
  <c r="M55" i="7"/>
  <c r="B55" i="7"/>
  <c r="I25" i="6"/>
  <c r="I26" i="6"/>
  <c r="I27" i="6"/>
  <c r="I24" i="6"/>
  <c r="I14" i="6"/>
  <c r="I15" i="6"/>
  <c r="I13" i="6"/>
  <c r="I8" i="6"/>
  <c r="I9" i="6"/>
  <c r="I10" i="6"/>
  <c r="I11" i="6"/>
  <c r="I7" i="6"/>
  <c r="I6" i="6"/>
  <c r="BA4" i="7"/>
  <c r="AO4" i="7" s="1"/>
  <c r="BA6" i="7"/>
  <c r="BA7" i="7"/>
  <c r="BA8" i="7"/>
  <c r="BA9" i="7"/>
  <c r="AO9" i="7" s="1"/>
  <c r="BA10" i="7"/>
  <c r="BA11" i="7"/>
  <c r="AO11" i="7" s="1"/>
  <c r="BA12" i="7"/>
  <c r="BA13" i="7"/>
  <c r="BA14" i="7"/>
  <c r="AO14" i="7" s="1"/>
  <c r="BA15" i="7"/>
  <c r="AO15" i="7" s="1"/>
  <c r="BA16" i="7"/>
  <c r="BA17" i="7"/>
  <c r="BA18" i="7"/>
  <c r="AO18" i="7" s="1"/>
  <c r="BA19" i="7"/>
  <c r="BA20" i="7"/>
  <c r="AO20" i="7" s="1"/>
  <c r="BA21" i="7"/>
  <c r="BA22" i="7"/>
  <c r="AO22" i="7" s="1"/>
  <c r="BA23" i="7"/>
  <c r="AO23" i="7" s="1"/>
  <c r="BA24" i="7"/>
  <c r="AO24" i="7" s="1"/>
  <c r="BA25" i="7"/>
  <c r="AO25" i="7" s="1"/>
  <c r="BA26" i="7"/>
  <c r="AO26" i="7" s="1"/>
  <c r="BA27" i="7"/>
  <c r="AO27" i="7" s="1"/>
  <c r="BA28" i="7"/>
  <c r="AO28" i="7" s="1"/>
  <c r="AX29" i="7"/>
  <c r="I29" i="7" s="1"/>
  <c r="AY29" i="7"/>
  <c r="J29" i="7" s="1"/>
  <c r="BA29" i="7"/>
  <c r="AO29" i="7" s="1"/>
  <c r="BA30" i="7"/>
  <c r="BA31" i="7"/>
  <c r="BA32" i="7"/>
  <c r="BA33" i="7"/>
  <c r="AO33" i="7" s="1"/>
  <c r="BA34" i="7"/>
  <c r="AO34" i="7" s="1"/>
  <c r="BA35" i="7"/>
  <c r="AO35" i="7" s="1"/>
  <c r="BA36" i="7"/>
  <c r="AO36" i="7" s="1"/>
  <c r="BA37" i="7"/>
  <c r="AO37" i="7" s="1"/>
  <c r="BA38" i="7"/>
  <c r="AO38" i="7" s="1"/>
  <c r="BA39" i="7"/>
  <c r="AO39" i="7" s="1"/>
  <c r="BA40" i="7"/>
  <c r="BA41" i="7"/>
  <c r="BA42" i="7"/>
  <c r="BA43" i="7"/>
  <c r="BA44" i="7"/>
  <c r="AO44" i="7" s="1"/>
  <c r="BA45" i="7"/>
  <c r="AO45" i="7" s="1"/>
  <c r="BA46" i="7"/>
  <c r="AO46" i="7" s="1"/>
  <c r="BA47" i="7"/>
  <c r="BA48" i="7"/>
  <c r="BA49" i="7"/>
  <c r="BA50" i="7"/>
  <c r="BA51" i="7"/>
  <c r="BA52" i="7"/>
  <c r="AO52" i="7" s="1"/>
  <c r="BA53" i="7"/>
  <c r="AO53" i="7" s="1"/>
  <c r="AX54" i="7"/>
  <c r="AY54" i="7"/>
  <c r="BA54" i="7"/>
  <c r="BA56" i="7"/>
  <c r="AO56" i="7" s="1"/>
  <c r="BA57" i="7"/>
  <c r="AO57" i="7" s="1"/>
  <c r="BA58" i="7"/>
  <c r="BA59" i="7"/>
  <c r="AO59" i="7" s="1"/>
  <c r="BA60" i="7"/>
  <c r="AO60" i="7" s="1"/>
  <c r="N5" i="7"/>
  <c r="M29" i="7"/>
  <c r="N29" i="7"/>
  <c r="M54" i="7"/>
  <c r="C25" i="6"/>
  <c r="C13" i="6"/>
  <c r="C26" i="6"/>
  <c r="C27" i="6"/>
  <c r="C15" i="6"/>
  <c r="AO21" i="7"/>
  <c r="BA3" i="7"/>
  <c r="AO3" i="7" s="1"/>
  <c r="M3" i="7"/>
  <c r="AM54" i="7"/>
  <c r="AL54" i="7"/>
  <c r="AK54" i="7"/>
  <c r="AJ54" i="7"/>
  <c r="AI54" i="7"/>
  <c r="AH54" i="7"/>
  <c r="G54" i="7"/>
  <c r="AG54" i="7"/>
  <c r="B54" i="7"/>
  <c r="AM29" i="7"/>
  <c r="AL29" i="7"/>
  <c r="AK29" i="7"/>
  <c r="AJ29" i="7"/>
  <c r="AI29" i="7"/>
  <c r="AH29" i="7"/>
  <c r="G29" i="7" s="1"/>
  <c r="AG29" i="7"/>
  <c r="B29" i="7"/>
  <c r="AM60" i="7"/>
  <c r="AL60" i="7"/>
  <c r="AK60" i="7"/>
  <c r="AJ60" i="7"/>
  <c r="AI60" i="7"/>
  <c r="G60" i="7" s="1"/>
  <c r="AH60" i="7"/>
  <c r="AG60" i="7"/>
  <c r="AM59" i="7"/>
  <c r="AL59" i="7"/>
  <c r="AK59" i="7"/>
  <c r="AJ59" i="7"/>
  <c r="AI59" i="7"/>
  <c r="G59" i="7" s="1"/>
  <c r="AH59" i="7"/>
  <c r="AG59" i="7"/>
  <c r="B59" i="7"/>
  <c r="AM58" i="7"/>
  <c r="AL58" i="7"/>
  <c r="AK58" i="7"/>
  <c r="AJ58" i="7"/>
  <c r="G58" i="7" s="1"/>
  <c r="AI58" i="7"/>
  <c r="AH58" i="7"/>
  <c r="AG58" i="7"/>
  <c r="B58" i="7"/>
  <c r="AM57" i="7"/>
  <c r="AL57" i="7"/>
  <c r="AK57" i="7"/>
  <c r="AJ57" i="7"/>
  <c r="AI57" i="7"/>
  <c r="AH57" i="7"/>
  <c r="G57" i="7"/>
  <c r="AG57" i="7"/>
  <c r="B57" i="7"/>
  <c r="AM56" i="7"/>
  <c r="AL56" i="7"/>
  <c r="AK56" i="7"/>
  <c r="AJ56" i="7"/>
  <c r="AI56" i="7"/>
  <c r="G56" i="7"/>
  <c r="AH56" i="7"/>
  <c r="AG56" i="7"/>
  <c r="B56" i="7"/>
  <c r="AM53" i="7"/>
  <c r="AL53" i="7"/>
  <c r="AK53" i="7"/>
  <c r="AJ53" i="7"/>
  <c r="AI53" i="7"/>
  <c r="AH53" i="7"/>
  <c r="G53" i="7" s="1"/>
  <c r="AG53" i="7"/>
  <c r="B53" i="7"/>
  <c r="AM52" i="7"/>
  <c r="AL52" i="7"/>
  <c r="AK52" i="7"/>
  <c r="AJ52" i="7"/>
  <c r="G52" i="7" s="1"/>
  <c r="AI52" i="7"/>
  <c r="AH52" i="7"/>
  <c r="AG52" i="7"/>
  <c r="B52" i="7"/>
  <c r="AM51" i="7"/>
  <c r="AL51" i="7"/>
  <c r="AK51" i="7"/>
  <c r="AJ51" i="7"/>
  <c r="AI51" i="7"/>
  <c r="AH51" i="7"/>
  <c r="G51" i="7" s="1"/>
  <c r="AG51" i="7"/>
  <c r="B51" i="7"/>
  <c r="AM50" i="7"/>
  <c r="AL50" i="7"/>
  <c r="AK50" i="7"/>
  <c r="AJ50" i="7"/>
  <c r="AI50" i="7"/>
  <c r="AH50" i="7"/>
  <c r="AG50" i="7"/>
  <c r="B50" i="7"/>
  <c r="AM49" i="7"/>
  <c r="AL49" i="7"/>
  <c r="AK49" i="7"/>
  <c r="AJ49" i="7"/>
  <c r="AI49" i="7"/>
  <c r="AH49" i="7"/>
  <c r="G49" i="7" s="1"/>
  <c r="AG49" i="7"/>
  <c r="B49" i="7"/>
  <c r="AM48" i="7"/>
  <c r="AL48" i="7"/>
  <c r="AK48" i="7"/>
  <c r="AJ48" i="7"/>
  <c r="AI48" i="7"/>
  <c r="AH48" i="7"/>
  <c r="G48" i="7" s="1"/>
  <c r="AG48" i="7"/>
  <c r="B48" i="7"/>
  <c r="AH17" i="7"/>
  <c r="AI17" i="7"/>
  <c r="AJ17" i="7"/>
  <c r="AK17" i="7"/>
  <c r="AL17" i="7"/>
  <c r="AM17" i="7"/>
  <c r="AH18" i="7"/>
  <c r="AI18" i="7"/>
  <c r="AJ18" i="7"/>
  <c r="AK18" i="7"/>
  <c r="AL18" i="7"/>
  <c r="G18" i="7" s="1"/>
  <c r="AM18" i="7"/>
  <c r="AH19" i="7"/>
  <c r="AI19" i="7"/>
  <c r="AJ19" i="7"/>
  <c r="AK19" i="7"/>
  <c r="AL19" i="7"/>
  <c r="AM19" i="7"/>
  <c r="AH20" i="7"/>
  <c r="AI20" i="7"/>
  <c r="AJ20" i="7"/>
  <c r="AK20" i="7"/>
  <c r="AL20" i="7"/>
  <c r="AM20" i="7"/>
  <c r="AH21" i="7"/>
  <c r="AI21" i="7"/>
  <c r="AJ21" i="7"/>
  <c r="AK21" i="7"/>
  <c r="AL21" i="7"/>
  <c r="AM21" i="7"/>
  <c r="AH22" i="7"/>
  <c r="G22" i="7" s="1"/>
  <c r="AI22" i="7"/>
  <c r="AJ22" i="7"/>
  <c r="AK22" i="7"/>
  <c r="AL22" i="7"/>
  <c r="AM22" i="7"/>
  <c r="AH23" i="7"/>
  <c r="AI23" i="7"/>
  <c r="AJ23" i="7"/>
  <c r="AK23" i="7"/>
  <c r="AL23" i="7"/>
  <c r="AM23" i="7"/>
  <c r="AH24" i="7"/>
  <c r="AI24" i="7"/>
  <c r="AJ24" i="7"/>
  <c r="G24" i="7" s="1"/>
  <c r="AK24" i="7"/>
  <c r="AL24" i="7"/>
  <c r="AM24" i="7"/>
  <c r="AH25" i="7"/>
  <c r="AI25" i="7"/>
  <c r="AJ25" i="7"/>
  <c r="AK25" i="7"/>
  <c r="AL25" i="7"/>
  <c r="AM25" i="7"/>
  <c r="AH26" i="7"/>
  <c r="AI26" i="7"/>
  <c r="AJ26" i="7"/>
  <c r="AK26" i="7"/>
  <c r="AL26" i="7"/>
  <c r="AM26" i="7"/>
  <c r="AH27" i="7"/>
  <c r="AI27" i="7"/>
  <c r="AJ27" i="7"/>
  <c r="AK27" i="7"/>
  <c r="AL27" i="7"/>
  <c r="AM27" i="7"/>
  <c r="AH28" i="7"/>
  <c r="G28" i="7" s="1"/>
  <c r="AI28" i="7"/>
  <c r="AJ28" i="7"/>
  <c r="AK28" i="7"/>
  <c r="AL28" i="7"/>
  <c r="AM28" i="7"/>
  <c r="AH30" i="7"/>
  <c r="AI30" i="7"/>
  <c r="AJ30" i="7"/>
  <c r="G30" i="7" s="1"/>
  <c r="AK30" i="7"/>
  <c r="AL30" i="7"/>
  <c r="AM30" i="7"/>
  <c r="AH31" i="7"/>
  <c r="AI31" i="7"/>
  <c r="AJ31" i="7"/>
  <c r="AK31" i="7"/>
  <c r="AL31" i="7"/>
  <c r="G31" i="7" s="1"/>
  <c r="AM31" i="7"/>
  <c r="AH32" i="7"/>
  <c r="AI32" i="7"/>
  <c r="AJ32" i="7"/>
  <c r="AK32" i="7"/>
  <c r="AL32" i="7"/>
  <c r="AM32" i="7"/>
  <c r="G32" i="7" s="1"/>
  <c r="AH33" i="7"/>
  <c r="AI33" i="7"/>
  <c r="AJ33" i="7"/>
  <c r="G33" i="7" s="1"/>
  <c r="AK33" i="7"/>
  <c r="AL33" i="7"/>
  <c r="AM33" i="7"/>
  <c r="AH34" i="7"/>
  <c r="G34" i="7" s="1"/>
  <c r="AI34" i="7"/>
  <c r="AJ34" i="7"/>
  <c r="AK34" i="7"/>
  <c r="AL34" i="7"/>
  <c r="AM34" i="7"/>
  <c r="AH35" i="7"/>
  <c r="AI35" i="7"/>
  <c r="AJ35" i="7"/>
  <c r="AK35" i="7"/>
  <c r="AL35" i="7"/>
  <c r="AM35" i="7"/>
  <c r="AH36" i="7"/>
  <c r="AI36" i="7"/>
  <c r="AJ36" i="7"/>
  <c r="AK36" i="7"/>
  <c r="AL36" i="7"/>
  <c r="AM36" i="7"/>
  <c r="AH37" i="7"/>
  <c r="AI37" i="7"/>
  <c r="AJ37" i="7"/>
  <c r="G37" i="7" s="1"/>
  <c r="AK37" i="7"/>
  <c r="AL37" i="7"/>
  <c r="AM37" i="7"/>
  <c r="AH38" i="7"/>
  <c r="G38" i="7" s="1"/>
  <c r="AI38" i="7"/>
  <c r="AJ38" i="7"/>
  <c r="AK38" i="7"/>
  <c r="AL38" i="7"/>
  <c r="AM38" i="7"/>
  <c r="AH39" i="7"/>
  <c r="AI39" i="7"/>
  <c r="AJ39" i="7"/>
  <c r="AK39" i="7"/>
  <c r="AL39" i="7"/>
  <c r="AM39" i="7"/>
  <c r="AH40" i="7"/>
  <c r="AI40" i="7"/>
  <c r="AJ40" i="7"/>
  <c r="G40" i="7" s="1"/>
  <c r="AK40" i="7"/>
  <c r="AL40" i="7"/>
  <c r="AM40" i="7"/>
  <c r="AH41" i="7"/>
  <c r="AI41" i="7"/>
  <c r="AJ41" i="7"/>
  <c r="AK41" i="7"/>
  <c r="AL41" i="7"/>
  <c r="AM41" i="7"/>
  <c r="AH42" i="7"/>
  <c r="AI42" i="7"/>
  <c r="AJ42" i="7"/>
  <c r="AK42" i="7"/>
  <c r="AL42" i="7"/>
  <c r="AM42" i="7"/>
  <c r="AH43" i="7"/>
  <c r="G43" i="7" s="1"/>
  <c r="AI43" i="7"/>
  <c r="AJ43" i="7"/>
  <c r="AK43" i="7"/>
  <c r="AL43" i="7"/>
  <c r="AM43" i="7"/>
  <c r="AH44" i="7"/>
  <c r="G44" i="7" s="1"/>
  <c r="AI44" i="7"/>
  <c r="AJ44" i="7"/>
  <c r="AK44" i="7"/>
  <c r="AL44" i="7"/>
  <c r="AM44" i="7"/>
  <c r="AH45" i="7"/>
  <c r="AI45" i="7"/>
  <c r="AJ45" i="7"/>
  <c r="G45" i="7" s="1"/>
  <c r="AK45" i="7"/>
  <c r="AL45" i="7"/>
  <c r="AM45" i="7"/>
  <c r="AH46" i="7"/>
  <c r="AI46" i="7"/>
  <c r="AJ46" i="7"/>
  <c r="AK46" i="7"/>
  <c r="AL46" i="7"/>
  <c r="AM46" i="7"/>
  <c r="AH47" i="7"/>
  <c r="AI47" i="7"/>
  <c r="AJ47" i="7"/>
  <c r="AK47" i="7"/>
  <c r="AL47" i="7"/>
  <c r="AM47" i="7"/>
  <c r="AH4" i="7"/>
  <c r="AI4" i="7"/>
  <c r="AJ4" i="7"/>
  <c r="AK4" i="7"/>
  <c r="AL4" i="7"/>
  <c r="AM4" i="7"/>
  <c r="AM5" i="7"/>
  <c r="AH5" i="7"/>
  <c r="AI5" i="7"/>
  <c r="AJ5" i="7"/>
  <c r="AK5" i="7"/>
  <c r="AL5" i="7"/>
  <c r="G5" i="7"/>
  <c r="AH6" i="7"/>
  <c r="AI6" i="7"/>
  <c r="AJ6" i="7"/>
  <c r="AK6" i="7"/>
  <c r="G6" i="7" s="1"/>
  <c r="AL6" i="7"/>
  <c r="AM6" i="7"/>
  <c r="AH7" i="7"/>
  <c r="AI7" i="7"/>
  <c r="AJ7" i="7"/>
  <c r="AK7" i="7"/>
  <c r="AL7" i="7"/>
  <c r="AM7" i="7"/>
  <c r="AH8" i="7"/>
  <c r="AI8" i="7"/>
  <c r="G8" i="7" s="1"/>
  <c r="AJ8" i="7"/>
  <c r="AK8" i="7"/>
  <c r="AL8" i="7"/>
  <c r="AM8" i="7"/>
  <c r="AH9" i="7"/>
  <c r="AI9" i="7"/>
  <c r="AJ9" i="7"/>
  <c r="AK9" i="7"/>
  <c r="AL9" i="7"/>
  <c r="AM9" i="7"/>
  <c r="AH10" i="7"/>
  <c r="AI10" i="7"/>
  <c r="AJ10" i="7"/>
  <c r="AK10" i="7"/>
  <c r="AL10" i="7"/>
  <c r="AM10" i="7"/>
  <c r="AH11" i="7"/>
  <c r="G11" i="7" s="1"/>
  <c r="AI11" i="7"/>
  <c r="AJ11" i="7"/>
  <c r="AK11" i="7"/>
  <c r="AL11" i="7"/>
  <c r="AM11" i="7"/>
  <c r="AH12" i="7"/>
  <c r="AI12" i="7"/>
  <c r="AJ12" i="7"/>
  <c r="AK12" i="7"/>
  <c r="AL12" i="7"/>
  <c r="AM12" i="7"/>
  <c r="AH13" i="7"/>
  <c r="AI13" i="7"/>
  <c r="AJ13" i="7"/>
  <c r="AK13" i="7"/>
  <c r="AL13" i="7"/>
  <c r="AM13" i="7"/>
  <c r="G13" i="7"/>
  <c r="AH14" i="7"/>
  <c r="AI14" i="7"/>
  <c r="AJ14" i="7"/>
  <c r="G14" i="7" s="1"/>
  <c r="AK14" i="7"/>
  <c r="AL14" i="7"/>
  <c r="AM14" i="7"/>
  <c r="AH15" i="7"/>
  <c r="G15" i="7" s="1"/>
  <c r="AI15" i="7"/>
  <c r="AJ15" i="7"/>
  <c r="AK15" i="7"/>
  <c r="AL15" i="7"/>
  <c r="AM15" i="7"/>
  <c r="AH16" i="7"/>
  <c r="AI16" i="7"/>
  <c r="AJ16" i="7"/>
  <c r="G16" i="7" s="1"/>
  <c r="AK16" i="7"/>
  <c r="AL16" i="7"/>
  <c r="AM16" i="7"/>
  <c r="G17" i="7"/>
  <c r="G27" i="7"/>
  <c r="AM3" i="7"/>
  <c r="AK3" i="7"/>
  <c r="AH3" i="7"/>
  <c r="AI3" i="7"/>
  <c r="G3" i="7" s="1"/>
  <c r="AJ3" i="7"/>
  <c r="AL3" i="7"/>
  <c r="AG47" i="7"/>
  <c r="AG46" i="7"/>
  <c r="AG45" i="7"/>
  <c r="AG44" i="7"/>
  <c r="AG43" i="7"/>
  <c r="AG42" i="7"/>
  <c r="AG41" i="7"/>
  <c r="AG40" i="7"/>
  <c r="AG39" i="7"/>
  <c r="AG38" i="7"/>
  <c r="AG37" i="7"/>
  <c r="AG36" i="7"/>
  <c r="AG35" i="7"/>
  <c r="AG34" i="7"/>
  <c r="AG33" i="7"/>
  <c r="AG32" i="7"/>
  <c r="AG31" i="7"/>
  <c r="AG30" i="7"/>
  <c r="AG28" i="7"/>
  <c r="AG27" i="7"/>
  <c r="AG26" i="7"/>
  <c r="AG25" i="7"/>
  <c r="AG24" i="7"/>
  <c r="AG23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G9" i="7"/>
  <c r="AG8" i="7"/>
  <c r="AG7" i="7"/>
  <c r="AG6" i="7"/>
  <c r="AG5" i="7"/>
  <c r="AG4" i="7"/>
  <c r="AG3" i="7"/>
  <c r="B32" i="7"/>
  <c r="B31" i="7"/>
  <c r="B30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33" i="7"/>
  <c r="BC3" i="7"/>
  <c r="K3" i="7" s="1"/>
  <c r="J3" i="1" s="1"/>
  <c r="M39" i="2"/>
  <c r="G10" i="7"/>
  <c r="G20" i="7"/>
  <c r="G50" i="7"/>
  <c r="N58" i="7"/>
  <c r="N36" i="7"/>
  <c r="N27" i="7"/>
  <c r="N23" i="7"/>
  <c r="N9" i="7"/>
  <c r="F136" i="2"/>
  <c r="E136" i="2" s="1"/>
  <c r="J136" i="2"/>
  <c r="N46" i="7"/>
  <c r="N38" i="7"/>
  <c r="N34" i="7"/>
  <c r="O100" i="2"/>
  <c r="R37" i="1"/>
  <c r="F37" i="1"/>
  <c r="F81" i="2"/>
  <c r="E81" i="2" s="1"/>
  <c r="O81" i="2" s="1"/>
  <c r="E152" i="2"/>
  <c r="O152" i="2"/>
  <c r="F152" i="2"/>
  <c r="J152" i="2"/>
  <c r="P152" i="2" s="1"/>
  <c r="O54" i="2"/>
  <c r="F55" i="1"/>
  <c r="O51" i="2"/>
  <c r="R55" i="1"/>
  <c r="C16" i="1"/>
  <c r="O115" i="2"/>
  <c r="M51" i="7"/>
  <c r="M40" i="7"/>
  <c r="M21" i="7"/>
  <c r="M12" i="7"/>
  <c r="M18" i="7"/>
  <c r="M16" i="7"/>
  <c r="M49" i="7"/>
  <c r="M48" i="7"/>
  <c r="M53" i="7"/>
  <c r="M47" i="7"/>
  <c r="F120" i="2"/>
  <c r="E120" i="2"/>
  <c r="O120" i="2"/>
  <c r="J120" i="2"/>
  <c r="P120" i="2" s="1"/>
  <c r="E75" i="2"/>
  <c r="O75" i="2"/>
  <c r="F40" i="1"/>
  <c r="O44" i="2"/>
  <c r="R40" i="1"/>
  <c r="F41" i="1"/>
  <c r="O42" i="2"/>
  <c r="R41" i="1" s="1"/>
  <c r="O41" i="1" s="1"/>
  <c r="F27" i="1"/>
  <c r="O33" i="2"/>
  <c r="R27" i="1"/>
  <c r="F2" i="6"/>
  <c r="F83" i="2"/>
  <c r="E83" i="2" s="1"/>
  <c r="O83" i="2" s="1"/>
  <c r="E82" i="2"/>
  <c r="O82" i="2" s="1"/>
  <c r="F79" i="2"/>
  <c r="E79" i="2"/>
  <c r="O79" i="2" s="1"/>
  <c r="E76" i="2"/>
  <c r="O76" i="2"/>
  <c r="F56" i="1"/>
  <c r="O64" i="2"/>
  <c r="R56" i="1" s="1"/>
  <c r="F28" i="1"/>
  <c r="O34" i="2"/>
  <c r="R28" i="1"/>
  <c r="F26" i="1"/>
  <c r="O3" i="2"/>
  <c r="R26" i="1" s="1"/>
  <c r="O26" i="1" s="1"/>
  <c r="E148" i="2"/>
  <c r="E132" i="2"/>
  <c r="O132" i="2" s="1"/>
  <c r="J132" i="2"/>
  <c r="P132" i="2" s="1"/>
  <c r="E116" i="2"/>
  <c r="O116" i="2" s="1"/>
  <c r="J116" i="2"/>
  <c r="P116" i="2" s="1"/>
  <c r="F108" i="2"/>
  <c r="E105" i="2"/>
  <c r="O105" i="2" s="1"/>
  <c r="F85" i="2"/>
  <c r="O68" i="2"/>
  <c r="R47" i="1"/>
  <c r="F47" i="1"/>
  <c r="E67" i="2"/>
  <c r="O58" i="2"/>
  <c r="E57" i="2"/>
  <c r="O57" i="2" s="1"/>
  <c r="F52" i="2"/>
  <c r="E49" i="2"/>
  <c r="F44" i="1"/>
  <c r="O43" i="2"/>
  <c r="R44" i="1" s="1"/>
  <c r="F41" i="2"/>
  <c r="E41" i="2" s="1"/>
  <c r="O41" i="2" s="1"/>
  <c r="F9" i="1"/>
  <c r="O31" i="2"/>
  <c r="R9" i="1" s="1"/>
  <c r="M44" i="7"/>
  <c r="M25" i="7"/>
  <c r="M20" i="7"/>
  <c r="M22" i="7"/>
  <c r="M7" i="7"/>
  <c r="M14" i="7"/>
  <c r="AV60" i="7"/>
  <c r="E159" i="2"/>
  <c r="E153" i="2"/>
  <c r="F150" i="2"/>
  <c r="E150" i="2"/>
  <c r="E149" i="2"/>
  <c r="F146" i="2"/>
  <c r="E146" i="2" s="1"/>
  <c r="E143" i="2"/>
  <c r="E137" i="2"/>
  <c r="O137" i="2"/>
  <c r="F134" i="2"/>
  <c r="E134" i="2"/>
  <c r="O134" i="2" s="1"/>
  <c r="J134" i="2"/>
  <c r="E133" i="2"/>
  <c r="O133" i="2" s="1"/>
  <c r="F130" i="2"/>
  <c r="E130" i="2"/>
  <c r="O130" i="2" s="1"/>
  <c r="J130" i="2"/>
  <c r="E127" i="2"/>
  <c r="E121" i="2"/>
  <c r="F118" i="2"/>
  <c r="E118" i="2" s="1"/>
  <c r="O118" i="2" s="1"/>
  <c r="J118" i="2"/>
  <c r="P118" i="2" s="1"/>
  <c r="E117" i="2"/>
  <c r="F114" i="2"/>
  <c r="E114" i="2"/>
  <c r="O114" i="2" s="1"/>
  <c r="J114" i="2"/>
  <c r="P114" i="2" s="1"/>
  <c r="E111" i="2"/>
  <c r="O111" i="2"/>
  <c r="F35" i="1"/>
  <c r="O109" i="2"/>
  <c r="R35" i="1" s="1"/>
  <c r="F86" i="2"/>
  <c r="E86" i="2" s="1"/>
  <c r="O86" i="2"/>
  <c r="F29" i="1"/>
  <c r="O28" i="2"/>
  <c r="R29" i="1"/>
  <c r="E23" i="2"/>
  <c r="O23" i="2"/>
  <c r="O20" i="2"/>
  <c r="E13" i="2"/>
  <c r="D1" i="6"/>
  <c r="E160" i="2"/>
  <c r="E144" i="2"/>
  <c r="O144" i="2" s="1"/>
  <c r="R25" i="1" s="1"/>
  <c r="O25" i="1" s="1"/>
  <c r="E128" i="2"/>
  <c r="E106" i="2"/>
  <c r="E77" i="2"/>
  <c r="O77" i="2" s="1"/>
  <c r="E50" i="2"/>
  <c r="E38" i="2"/>
  <c r="O38" i="2"/>
  <c r="F18" i="1"/>
  <c r="F7" i="1"/>
  <c r="O12" i="2"/>
  <c r="E156" i="2"/>
  <c r="O156" i="2" s="1"/>
  <c r="E140" i="2"/>
  <c r="O140" i="2"/>
  <c r="E124" i="2"/>
  <c r="O124" i="2" s="1"/>
  <c r="E101" i="2"/>
  <c r="O101" i="2" s="1"/>
  <c r="E73" i="2"/>
  <c r="E46" i="2"/>
  <c r="F49" i="1" s="1"/>
  <c r="C53" i="2"/>
  <c r="O15" i="2"/>
  <c r="R21" i="1"/>
  <c r="F24" i="1"/>
  <c r="O21" i="2"/>
  <c r="R24" i="1" s="1"/>
  <c r="E17" i="2"/>
  <c r="F9" i="2"/>
  <c r="E9" i="2" s="1"/>
  <c r="F11" i="1"/>
  <c r="O7" i="2"/>
  <c r="R11" i="1" s="1"/>
  <c r="O11" i="1" s="1"/>
  <c r="F10" i="2"/>
  <c r="AX26" i="7"/>
  <c r="BB26" i="7"/>
  <c r="AV26" i="7" s="1"/>
  <c r="AZ26" i="7"/>
  <c r="AW26" i="7"/>
  <c r="AY26" i="7"/>
  <c r="AX22" i="7"/>
  <c r="I22" i="7" s="1"/>
  <c r="L22" i="1" s="1"/>
  <c r="S22" i="1" s="1"/>
  <c r="L14" i="2" s="1"/>
  <c r="N14" i="2" s="1"/>
  <c r="AY22" i="7"/>
  <c r="J22" i="7" s="1"/>
  <c r="H22" i="1" s="1"/>
  <c r="AX18" i="7"/>
  <c r="I18" i="7" s="1"/>
  <c r="L18" i="1" s="1"/>
  <c r="S18" i="1" s="1"/>
  <c r="AY18" i="7"/>
  <c r="AY15" i="7"/>
  <c r="AX15" i="7"/>
  <c r="AY12" i="7"/>
  <c r="AW12" i="7"/>
  <c r="AX12" i="7"/>
  <c r="I12" i="7" s="1"/>
  <c r="L12" i="1" s="1"/>
  <c r="S12" i="1" s="1"/>
  <c r="L8" i="2" s="1"/>
  <c r="N8" i="2" s="1"/>
  <c r="AY8" i="7"/>
  <c r="AX8" i="7"/>
  <c r="O16" i="2"/>
  <c r="R20" i="1" s="1"/>
  <c r="L13" i="7"/>
  <c r="E8" i="2"/>
  <c r="O8" i="2" s="1"/>
  <c r="D2" i="6"/>
  <c r="AX28" i="7"/>
  <c r="AY28" i="7"/>
  <c r="J28" i="7" s="1"/>
  <c r="H28" i="1" s="1"/>
  <c r="AX24" i="7"/>
  <c r="AY24" i="7"/>
  <c r="J24" i="7" s="1"/>
  <c r="H24" i="1" s="1"/>
  <c r="AX20" i="7"/>
  <c r="I20" i="7" s="1"/>
  <c r="L20" i="1" s="1"/>
  <c r="S20" i="1" s="1"/>
  <c r="L16" i="2" s="1"/>
  <c r="N16" i="2" s="1"/>
  <c r="AY20" i="7"/>
  <c r="AY13" i="7"/>
  <c r="AX13" i="7"/>
  <c r="AY10" i="7"/>
  <c r="J10" i="7" s="1"/>
  <c r="H10" i="1" s="1"/>
  <c r="AX10" i="7"/>
  <c r="AY4" i="7"/>
  <c r="AX4" i="7"/>
  <c r="AZ4" i="7"/>
  <c r="AW4" i="7"/>
  <c r="AW3" i="7"/>
  <c r="AY3" i="7"/>
  <c r="AY60" i="7"/>
  <c r="J60" i="7" s="1"/>
  <c r="H60" i="1" s="1"/>
  <c r="AY58" i="7"/>
  <c r="J58" i="7" s="1"/>
  <c r="H58" i="1" s="1"/>
  <c r="AY57" i="7"/>
  <c r="J57" i="7" s="1"/>
  <c r="AY53" i="7"/>
  <c r="AY51" i="7"/>
  <c r="AY49" i="7"/>
  <c r="AY47" i="7"/>
  <c r="AY45" i="7"/>
  <c r="AY43" i="7"/>
  <c r="J43" i="7" s="1"/>
  <c r="H43" i="1" s="1"/>
  <c r="AY41" i="7"/>
  <c r="AY39" i="7"/>
  <c r="J39" i="7" s="1"/>
  <c r="H39" i="1" s="1"/>
  <c r="AY37" i="7"/>
  <c r="J37" i="7" s="1"/>
  <c r="H37" i="1" s="1"/>
  <c r="AY35" i="7"/>
  <c r="AY33" i="7"/>
  <c r="J33" i="7" s="1"/>
  <c r="H33" i="1" s="1"/>
  <c r="AY31" i="7"/>
  <c r="J31" i="7" s="1"/>
  <c r="H31" i="1" s="1"/>
  <c r="AY16" i="7"/>
  <c r="AX11" i="7"/>
  <c r="AX9" i="7"/>
  <c r="AX7" i="7"/>
  <c r="I7" i="7" s="1"/>
  <c r="L7" i="1" s="1"/>
  <c r="S7" i="1" s="1"/>
  <c r="AY6" i="7"/>
  <c r="AW6" i="7"/>
  <c r="AW5" i="7"/>
  <c r="AY30" i="7"/>
  <c r="AY27" i="7"/>
  <c r="J27" i="7" s="1"/>
  <c r="H27" i="1" s="1"/>
  <c r="AY25" i="7"/>
  <c r="J25" i="7" s="1"/>
  <c r="H25" i="1" s="1"/>
  <c r="AY23" i="7"/>
  <c r="J23" i="7" s="1"/>
  <c r="H23" i="1" s="1"/>
  <c r="AY21" i="7"/>
  <c r="F13" i="1"/>
  <c r="O9" i="2"/>
  <c r="R13" i="1" s="1"/>
  <c r="O13" i="1" s="1"/>
  <c r="C52" i="1"/>
  <c r="F53" i="2"/>
  <c r="D4" i="6"/>
  <c r="O143" i="2"/>
  <c r="O150" i="2"/>
  <c r="F57" i="1"/>
  <c r="R57" i="1"/>
  <c r="O17" i="2"/>
  <c r="O46" i="2"/>
  <c r="R49" i="1"/>
  <c r="O50" i="2"/>
  <c r="R53" i="1" s="1"/>
  <c r="F53" i="1"/>
  <c r="F39" i="1"/>
  <c r="O128" i="2"/>
  <c r="R39" i="1" s="1"/>
  <c r="O39" i="1" s="1"/>
  <c r="F10" i="1"/>
  <c r="O13" i="2"/>
  <c r="R10" i="1" s="1"/>
  <c r="O117" i="2"/>
  <c r="O121" i="2"/>
  <c r="O146" i="2"/>
  <c r="F42" i="1"/>
  <c r="R42" i="1"/>
  <c r="O42" i="1" s="1"/>
  <c r="F38" i="1"/>
  <c r="O73" i="2"/>
  <c r="R38" i="1"/>
  <c r="O127" i="2"/>
  <c r="O153" i="2"/>
  <c r="F50" i="1"/>
  <c r="O49" i="2"/>
  <c r="R50" i="1"/>
  <c r="O148" i="2"/>
  <c r="I21" i="7"/>
  <c r="L21" i="1" s="1"/>
  <c r="S21" i="1" s="1"/>
  <c r="L15" i="2" s="1"/>
  <c r="N15" i="2" s="1"/>
  <c r="T5" i="7"/>
  <c r="T11" i="7"/>
  <c r="T12" i="7"/>
  <c r="S12" i="7"/>
  <c r="T14" i="7"/>
  <c r="T15" i="7"/>
  <c r="T21" i="7"/>
  <c r="T25" i="7"/>
  <c r="S25" i="7" s="1"/>
  <c r="H25" i="7" s="1"/>
  <c r="T9" i="7"/>
  <c r="S9" i="7" s="1"/>
  <c r="T27" i="7"/>
  <c r="T42" i="7"/>
  <c r="S42" i="7" s="1"/>
  <c r="T13" i="7"/>
  <c r="T7" i="7"/>
  <c r="T24" i="7"/>
  <c r="T30" i="7"/>
  <c r="T18" i="7"/>
  <c r="S18" i="7" s="1"/>
  <c r="T50" i="7"/>
  <c r="T56" i="7"/>
  <c r="T47" i="7"/>
  <c r="S47" i="7"/>
  <c r="T59" i="7"/>
  <c r="T58" i="7"/>
  <c r="T60" i="7"/>
  <c r="S60" i="7" s="1"/>
  <c r="T26" i="7"/>
  <c r="T10" i="7"/>
  <c r="T22" i="7"/>
  <c r="S22" i="7"/>
  <c r="T41" i="7"/>
  <c r="T40" i="7"/>
  <c r="S40" i="7" s="1"/>
  <c r="T49" i="7"/>
  <c r="I49" i="7" s="1"/>
  <c r="L49" i="1" s="1"/>
  <c r="S49" i="1" s="1"/>
  <c r="L46" i="2" s="1"/>
  <c r="N46" i="2" s="1"/>
  <c r="T48" i="7"/>
  <c r="T52" i="7"/>
  <c r="T23" i="7"/>
  <c r="T54" i="7"/>
  <c r="T46" i="7"/>
  <c r="T37" i="7"/>
  <c r="S37" i="7" s="1"/>
  <c r="T34" i="7"/>
  <c r="T35" i="7"/>
  <c r="T4" i="7"/>
  <c r="T51" i="7"/>
  <c r="I51" i="7" s="1"/>
  <c r="L51" i="1" s="1"/>
  <c r="S51" i="1" s="1"/>
  <c r="L47" i="2" s="1"/>
  <c r="N47" i="2" s="1"/>
  <c r="T36" i="7"/>
  <c r="T31" i="7"/>
  <c r="T39" i="7"/>
  <c r="T20" i="7"/>
  <c r="S20" i="7" s="1"/>
  <c r="T6" i="7"/>
  <c r="T16" i="7"/>
  <c r="S16" i="7" s="1"/>
  <c r="H16" i="7" s="1"/>
  <c r="T45" i="7"/>
  <c r="S45" i="7" s="1"/>
  <c r="H45" i="7" s="1"/>
  <c r="T43" i="7"/>
  <c r="T32" i="7"/>
  <c r="T29" i="7"/>
  <c r="T53" i="7"/>
  <c r="T33" i="7"/>
  <c r="T8" i="7"/>
  <c r="T38" i="7"/>
  <c r="S38" i="7" s="1"/>
  <c r="T19" i="7"/>
  <c r="T17" i="7"/>
  <c r="T55" i="7"/>
  <c r="T28" i="7"/>
  <c r="T44" i="7"/>
  <c r="S44" i="7" s="1"/>
  <c r="T57" i="7"/>
  <c r="F12" i="1"/>
  <c r="R12" i="1"/>
  <c r="E10" i="2"/>
  <c r="O10" i="2" s="1"/>
  <c r="F32" i="1"/>
  <c r="O106" i="2"/>
  <c r="R32" i="1" s="1"/>
  <c r="O160" i="2"/>
  <c r="P149" i="2"/>
  <c r="O149" i="2"/>
  <c r="O159" i="2"/>
  <c r="E85" i="2"/>
  <c r="E108" i="2"/>
  <c r="S48" i="7"/>
  <c r="H48" i="7" s="1"/>
  <c r="I48" i="1" s="1"/>
  <c r="S49" i="7"/>
  <c r="S7" i="7"/>
  <c r="H7" i="7" s="1"/>
  <c r="S32" i="7"/>
  <c r="H32" i="7" s="1"/>
  <c r="S59" i="7"/>
  <c r="S51" i="7"/>
  <c r="S21" i="7"/>
  <c r="S53" i="7"/>
  <c r="H53" i="7" s="1"/>
  <c r="S55" i="7"/>
  <c r="S8" i="7"/>
  <c r="S6" i="7"/>
  <c r="H6" i="7" s="1"/>
  <c r="I6" i="1" s="1"/>
  <c r="S36" i="7"/>
  <c r="S34" i="7"/>
  <c r="S10" i="7"/>
  <c r="S13" i="7"/>
  <c r="S33" i="7"/>
  <c r="S57" i="7"/>
  <c r="S30" i="7"/>
  <c r="S11" i="7"/>
  <c r="I47" i="7"/>
  <c r="L47" i="1" s="1"/>
  <c r="S47" i="1" s="1"/>
  <c r="L68" i="2" s="1"/>
  <c r="N68" i="2" s="1"/>
  <c r="S29" i="7"/>
  <c r="F14" i="1"/>
  <c r="R14" i="1"/>
  <c r="S17" i="7"/>
  <c r="S43" i="7"/>
  <c r="S26" i="7"/>
  <c r="S23" i="7"/>
  <c r="F34" i="1"/>
  <c r="O108" i="2"/>
  <c r="R34" i="1"/>
  <c r="S19" i="7"/>
  <c r="S39" i="7"/>
  <c r="S4" i="7"/>
  <c r="S46" i="7"/>
  <c r="S52" i="7"/>
  <c r="H52" i="7" s="1"/>
  <c r="S56" i="7"/>
  <c r="S24" i="7"/>
  <c r="S27" i="7"/>
  <c r="S15" i="7"/>
  <c r="S5" i="7"/>
  <c r="S41" i="7"/>
  <c r="F19" i="1"/>
  <c r="O85" i="2"/>
  <c r="R19" i="1" s="1"/>
  <c r="S28" i="7"/>
  <c r="S31" i="7"/>
  <c r="S35" i="7"/>
  <c r="I35" i="7"/>
  <c r="L35" i="1" s="1"/>
  <c r="S35" i="1" s="1"/>
  <c r="L109" i="2" s="1"/>
  <c r="N109" i="2" s="1"/>
  <c r="S54" i="7"/>
  <c r="H22" i="7"/>
  <c r="S58" i="7"/>
  <c r="S50" i="7"/>
  <c r="H30" i="7"/>
  <c r="I53" i="1"/>
  <c r="O53" i="1" s="1"/>
  <c r="H13" i="7"/>
  <c r="I16" i="1"/>
  <c r="I45" i="1"/>
  <c r="I25" i="1"/>
  <c r="H54" i="7"/>
  <c r="H26" i="7"/>
  <c r="H43" i="7"/>
  <c r="I7" i="1"/>
  <c r="H42" i="7"/>
  <c r="H36" i="7"/>
  <c r="H8" i="7"/>
  <c r="H41" i="7"/>
  <c r="H5" i="7"/>
  <c r="H39" i="7"/>
  <c r="H11" i="7"/>
  <c r="I32" i="1"/>
  <c r="I5" i="1"/>
  <c r="I8" i="1"/>
  <c r="I42" i="1"/>
  <c r="I26" i="1"/>
  <c r="I13" i="1"/>
  <c r="I11" i="1"/>
  <c r="I39" i="1"/>
  <c r="I41" i="1"/>
  <c r="I36" i="1"/>
  <c r="I43" i="1"/>
  <c r="I54" i="1"/>
  <c r="I52" i="1"/>
  <c r="I30" i="1"/>
  <c r="O30" i="1"/>
  <c r="P41" i="7" l="1"/>
  <c r="Q41" i="1" s="1"/>
  <c r="P26" i="7"/>
  <c r="Q26" i="1" s="1"/>
  <c r="J3" i="2" s="1"/>
  <c r="O32" i="1"/>
  <c r="K35" i="7"/>
  <c r="J35" i="1" s="1"/>
  <c r="P49" i="7"/>
  <c r="P60" i="7"/>
  <c r="I48" i="7"/>
  <c r="L48" i="1" s="1"/>
  <c r="S48" i="1" s="1"/>
  <c r="L48" i="2" s="1"/>
  <c r="N48" i="2" s="1"/>
  <c r="P47" i="7"/>
  <c r="P54" i="7"/>
  <c r="Q54" i="1" s="1"/>
  <c r="J52" i="2" s="1"/>
  <c r="K54" i="1" s="1"/>
  <c r="G54" i="1" s="1"/>
  <c r="AV51" i="7"/>
  <c r="P51" i="7" s="1"/>
  <c r="P42" i="7"/>
  <c r="Q42" i="1" s="1"/>
  <c r="J41" i="2" s="1"/>
  <c r="P41" i="2" s="1"/>
  <c r="P42" i="1" s="1"/>
  <c r="P25" i="7"/>
  <c r="Q25" i="1" s="1"/>
  <c r="J144" i="2" s="1"/>
  <c r="P144" i="2" s="1"/>
  <c r="AV3" i="7"/>
  <c r="P3" i="7" s="1"/>
  <c r="Q3" i="1" s="1"/>
  <c r="K47" i="7"/>
  <c r="J47" i="1" s="1"/>
  <c r="K39" i="7"/>
  <c r="J39" i="1" s="1"/>
  <c r="P20" i="7"/>
  <c r="P150" i="2"/>
  <c r="P4" i="7"/>
  <c r="J30" i="7"/>
  <c r="P11" i="7"/>
  <c r="Q11" i="1" s="1"/>
  <c r="J7" i="2" s="1"/>
  <c r="P7" i="2" s="1"/>
  <c r="P11" i="1" s="1"/>
  <c r="E57" i="1"/>
  <c r="K60" i="7"/>
  <c r="J60" i="1" s="1"/>
  <c r="L57" i="2"/>
  <c r="N57" i="2" s="1"/>
  <c r="L69" i="2"/>
  <c r="N69" i="2" s="1"/>
  <c r="J42" i="2"/>
  <c r="P42" i="2" s="1"/>
  <c r="J55" i="2"/>
  <c r="P55" i="2" s="1"/>
  <c r="H57" i="1"/>
  <c r="H55" i="1"/>
  <c r="P36" i="7"/>
  <c r="Q36" i="1" s="1"/>
  <c r="J91" i="2" s="1"/>
  <c r="P91" i="2" s="1"/>
  <c r="P36" i="1" s="1"/>
  <c r="P59" i="7"/>
  <c r="P28" i="7"/>
  <c r="P40" i="7"/>
  <c r="P37" i="7"/>
  <c r="P13" i="7"/>
  <c r="Q13" i="1" s="1"/>
  <c r="J9" i="2" s="1"/>
  <c r="P9" i="2" s="1"/>
  <c r="P13" i="1" s="1"/>
  <c r="L104" i="2"/>
  <c r="N104" i="2" s="1"/>
  <c r="I60" i="7"/>
  <c r="L60" i="1" s="1"/>
  <c r="S60" i="1" s="1"/>
  <c r="L92" i="2" s="1"/>
  <c r="N92" i="2" s="1"/>
  <c r="P127" i="2"/>
  <c r="AO10" i="7"/>
  <c r="L20" i="2"/>
  <c r="N20" i="2" s="1"/>
  <c r="L144" i="2"/>
  <c r="N144" i="2" s="1"/>
  <c r="P3" i="2"/>
  <c r="P26" i="1" s="1"/>
  <c r="K26" i="1"/>
  <c r="G26" i="1" s="1"/>
  <c r="D22" i="1"/>
  <c r="T22" i="1" s="1"/>
  <c r="M14" i="2" s="1"/>
  <c r="P19" i="7"/>
  <c r="P57" i="7"/>
  <c r="P43" i="7"/>
  <c r="Q43" i="1" s="1"/>
  <c r="P22" i="7"/>
  <c r="Q22" i="1" s="1"/>
  <c r="J14" i="2" s="1"/>
  <c r="J15" i="7"/>
  <c r="H15" i="1" s="1"/>
  <c r="J35" i="7"/>
  <c r="H35" i="1" s="1"/>
  <c r="D35" i="1" s="1"/>
  <c r="T35" i="1" s="1"/>
  <c r="M109" i="2" s="1"/>
  <c r="P31" i="7"/>
  <c r="AO8" i="7"/>
  <c r="K51" i="7"/>
  <c r="J51" i="1" s="1"/>
  <c r="K43" i="7"/>
  <c r="J43" i="1" s="1"/>
  <c r="K6" i="7"/>
  <c r="J6" i="1" s="1"/>
  <c r="AV10" i="7"/>
  <c r="P10" i="7" s="1"/>
  <c r="AO31" i="7"/>
  <c r="J51" i="7"/>
  <c r="H51" i="1" s="1"/>
  <c r="P39" i="7"/>
  <c r="Q39" i="1" s="1"/>
  <c r="J128" i="2" s="1"/>
  <c r="AO32" i="7"/>
  <c r="K31" i="7"/>
  <c r="J31" i="1" s="1"/>
  <c r="P30" i="7"/>
  <c r="Q30" i="1" s="1"/>
  <c r="J19" i="2" s="1"/>
  <c r="E34" i="1"/>
  <c r="L26" i="2"/>
  <c r="N26" i="2" s="1"/>
  <c r="L12" i="2"/>
  <c r="N12" i="2" s="1"/>
  <c r="L137" i="2"/>
  <c r="N137" i="2" s="1"/>
  <c r="L54" i="2"/>
  <c r="N54" i="2" s="1"/>
  <c r="L61" i="2"/>
  <c r="N61" i="2" s="1"/>
  <c r="L44" i="2"/>
  <c r="N44" i="2" s="1"/>
  <c r="L56" i="2"/>
  <c r="N56" i="2" s="1"/>
  <c r="L74" i="2"/>
  <c r="N74" i="2" s="1"/>
  <c r="L76" i="2"/>
  <c r="N76" i="2" s="1"/>
  <c r="L86" i="2"/>
  <c r="N86" i="2" s="1"/>
  <c r="L78" i="2"/>
  <c r="N78" i="2" s="1"/>
  <c r="L75" i="2"/>
  <c r="N75" i="2" s="1"/>
  <c r="L72" i="2"/>
  <c r="N72" i="2" s="1"/>
  <c r="L77" i="2"/>
  <c r="N77" i="2" s="1"/>
  <c r="L29" i="2"/>
  <c r="N29" i="2" s="1"/>
  <c r="L82" i="2"/>
  <c r="N82" i="2" s="1"/>
  <c r="L81" i="2"/>
  <c r="N81" i="2" s="1"/>
  <c r="L22" i="2"/>
  <c r="N22" i="2" s="1"/>
  <c r="L88" i="2"/>
  <c r="N88" i="2" s="1"/>
  <c r="L23" i="2"/>
  <c r="N23" i="2" s="1"/>
  <c r="I22" i="1"/>
  <c r="O22" i="1" s="1"/>
  <c r="J6" i="7"/>
  <c r="H6" i="1" s="1"/>
  <c r="J53" i="7"/>
  <c r="H53" i="1" s="1"/>
  <c r="D53" i="1" s="1"/>
  <c r="T53" i="1" s="1"/>
  <c r="M50" i="2" s="1"/>
  <c r="E53" i="2"/>
  <c r="O136" i="2"/>
  <c r="P136" i="2"/>
  <c r="G55" i="7"/>
  <c r="O67" i="2"/>
  <c r="R43" i="1" s="1"/>
  <c r="O43" i="1" s="1"/>
  <c r="F43" i="1"/>
  <c r="G47" i="7"/>
  <c r="G41" i="7"/>
  <c r="G35" i="7"/>
  <c r="AO40" i="7"/>
  <c r="S14" i="7"/>
  <c r="E54" i="1"/>
  <c r="E52" i="2"/>
  <c r="AO50" i="7"/>
  <c r="AO54" i="7"/>
  <c r="AO47" i="7"/>
  <c r="AO19" i="7"/>
  <c r="AO49" i="7"/>
  <c r="AO42" i="7"/>
  <c r="AO48" i="7"/>
  <c r="AO13" i="7"/>
  <c r="AO41" i="7"/>
  <c r="AO12" i="7"/>
  <c r="I44" i="7"/>
  <c r="L44" i="1" s="1"/>
  <c r="S44" i="1" s="1"/>
  <c r="L43" i="2" s="1"/>
  <c r="N43" i="2" s="1"/>
  <c r="G4" i="7"/>
  <c r="G36" i="7"/>
  <c r="G25" i="7"/>
  <c r="G23" i="7"/>
  <c r="AO51" i="7"/>
  <c r="I54" i="7"/>
  <c r="AO16" i="7"/>
  <c r="N54" i="7"/>
  <c r="J54" i="7" s="1"/>
  <c r="N50" i="7"/>
  <c r="N16" i="7"/>
  <c r="J16" i="7" s="1"/>
  <c r="H16" i="1" s="1"/>
  <c r="N47" i="7"/>
  <c r="J47" i="7" s="1"/>
  <c r="H47" i="1" s="1"/>
  <c r="D47" i="1" s="1"/>
  <c r="T47" i="1" s="1"/>
  <c r="M68" i="2" s="1"/>
  <c r="N48" i="7"/>
  <c r="N21" i="7"/>
  <c r="J21" i="7" s="1"/>
  <c r="H21" i="1" s="1"/>
  <c r="D21" i="1" s="1"/>
  <c r="T21" i="1" s="1"/>
  <c r="M15" i="2" s="1"/>
  <c r="N13" i="7"/>
  <c r="J13" i="7" s="1"/>
  <c r="H13" i="1" s="1"/>
  <c r="N41" i="7"/>
  <c r="J41" i="7" s="1"/>
  <c r="H41" i="1" s="1"/>
  <c r="N49" i="7"/>
  <c r="J49" i="7" s="1"/>
  <c r="H49" i="1" s="1"/>
  <c r="D49" i="1" s="1"/>
  <c r="T49" i="1" s="1"/>
  <c r="M46" i="2" s="1"/>
  <c r="N40" i="7"/>
  <c r="N19" i="7"/>
  <c r="N42" i="7"/>
  <c r="J42" i="7" s="1"/>
  <c r="H42" i="1" s="1"/>
  <c r="N17" i="7"/>
  <c r="J17" i="7" s="1"/>
  <c r="H17" i="1" s="1"/>
  <c r="R18" i="1"/>
  <c r="F25" i="1"/>
  <c r="R7" i="1"/>
  <c r="O7" i="1" s="1"/>
  <c r="G12" i="7"/>
  <c r="G46" i="7"/>
  <c r="G42" i="7"/>
  <c r="G26" i="7"/>
  <c r="O22" i="7"/>
  <c r="K22" i="7" s="1"/>
  <c r="J22" i="1" s="1"/>
  <c r="O25" i="7"/>
  <c r="K25" i="7" s="1"/>
  <c r="J25" i="1" s="1"/>
  <c r="O29" i="7"/>
  <c r="K29" i="7" s="1"/>
  <c r="J29" i="1" s="1"/>
  <c r="O33" i="7"/>
  <c r="K33" i="7" s="1"/>
  <c r="J33" i="1" s="1"/>
  <c r="O34" i="7"/>
  <c r="K34" i="7" s="1"/>
  <c r="J34" i="1" s="1"/>
  <c r="O37" i="7"/>
  <c r="K37" i="7" s="1"/>
  <c r="J37" i="1" s="1"/>
  <c r="O38" i="7"/>
  <c r="K38" i="7" s="1"/>
  <c r="J38" i="1" s="1"/>
  <c r="O42" i="7"/>
  <c r="K42" i="7" s="1"/>
  <c r="J42" i="1" s="1"/>
  <c r="O46" i="7"/>
  <c r="K46" i="7" s="1"/>
  <c r="J46" i="1" s="1"/>
  <c r="O57" i="7"/>
  <c r="K57" i="7" s="1"/>
  <c r="J57" i="1" s="1"/>
  <c r="O58" i="7"/>
  <c r="K58" i="7" s="1"/>
  <c r="J58" i="1" s="1"/>
  <c r="O9" i="7"/>
  <c r="K9" i="7" s="1"/>
  <c r="J9" i="1" s="1"/>
  <c r="O28" i="7"/>
  <c r="K28" i="7" s="1"/>
  <c r="J28" i="1" s="1"/>
  <c r="O59" i="7"/>
  <c r="K59" i="7" s="1"/>
  <c r="J59" i="1" s="1"/>
  <c r="O5" i="7"/>
  <c r="O36" i="7"/>
  <c r="K36" i="7" s="1"/>
  <c r="J36" i="1" s="1"/>
  <c r="O23" i="7"/>
  <c r="K23" i="7" s="1"/>
  <c r="J23" i="1" s="1"/>
  <c r="O27" i="7"/>
  <c r="K27" i="7" s="1"/>
  <c r="J27" i="1" s="1"/>
  <c r="J162" i="2"/>
  <c r="P162" i="2" s="1"/>
  <c r="L162" i="2"/>
  <c r="N162" i="2" s="1"/>
  <c r="F162" i="2"/>
  <c r="E162" i="2" s="1"/>
  <c r="O162" i="2" s="1"/>
  <c r="P130" i="2"/>
  <c r="P134" i="2"/>
  <c r="G9" i="7"/>
  <c r="G7" i="7"/>
  <c r="G39" i="7"/>
  <c r="G21" i="7"/>
  <c r="G19" i="7"/>
  <c r="AO17" i="7"/>
  <c r="E42" i="1"/>
  <c r="E19" i="1"/>
  <c r="AY55" i="7"/>
  <c r="AW55" i="7"/>
  <c r="H55" i="7" s="1"/>
  <c r="I55" i="1" s="1"/>
  <c r="O55" i="1" s="1"/>
  <c r="BA55" i="7"/>
  <c r="AO55" i="7" s="1"/>
  <c r="AZ55" i="7"/>
  <c r="P55" i="7" s="1"/>
  <c r="AX55" i="7"/>
  <c r="I55" i="7" s="1"/>
  <c r="K19" i="7"/>
  <c r="J19" i="1" s="1"/>
  <c r="K15" i="7"/>
  <c r="J15" i="1" s="1"/>
  <c r="K10" i="7"/>
  <c r="J10" i="1" s="1"/>
  <c r="M17" i="7"/>
  <c r="I17" i="7" s="1"/>
  <c r="L17" i="1" s="1"/>
  <c r="S17" i="1" s="1"/>
  <c r="L87" i="2" s="1"/>
  <c r="N87" i="2" s="1"/>
  <c r="M13" i="7"/>
  <c r="I13" i="7" s="1"/>
  <c r="L13" i="1" s="1"/>
  <c r="S13" i="1" s="1"/>
  <c r="L9" i="2" s="1"/>
  <c r="N9" i="2" s="1"/>
  <c r="M19" i="7"/>
  <c r="M26" i="7"/>
  <c r="I26" i="7" s="1"/>
  <c r="L26" i="1" s="1"/>
  <c r="S26" i="1" s="1"/>
  <c r="L3" i="2" s="1"/>
  <c r="N3" i="2" s="1"/>
  <c r="M11" i="7"/>
  <c r="I11" i="7" s="1"/>
  <c r="L11" i="1" s="1"/>
  <c r="S11" i="1" s="1"/>
  <c r="L7" i="2" s="1"/>
  <c r="N7" i="2" s="1"/>
  <c r="M30" i="7"/>
  <c r="I30" i="7" s="1"/>
  <c r="M41" i="7"/>
  <c r="I41" i="7" s="1"/>
  <c r="L41" i="1" s="1"/>
  <c r="S41" i="1" s="1"/>
  <c r="M56" i="7"/>
  <c r="I56" i="7" s="1"/>
  <c r="M4" i="7"/>
  <c r="I4" i="7" s="1"/>
  <c r="L4" i="1" s="1"/>
  <c r="S4" i="1" s="1"/>
  <c r="M24" i="7"/>
  <c r="I24" i="7" s="1"/>
  <c r="L24" i="1" s="1"/>
  <c r="S24" i="1" s="1"/>
  <c r="M8" i="7"/>
  <c r="I8" i="7" s="1"/>
  <c r="L8" i="1" s="1"/>
  <c r="S8" i="1" s="1"/>
  <c r="M52" i="7"/>
  <c r="I52" i="7" s="1"/>
  <c r="L52" i="1" s="1"/>
  <c r="S52" i="1" s="1"/>
  <c r="L53" i="2" s="1"/>
  <c r="N53" i="2" s="1"/>
  <c r="M10" i="7"/>
  <c r="I10" i="7" s="1"/>
  <c r="L10" i="1" s="1"/>
  <c r="S10" i="1" s="1"/>
  <c r="L13" i="2" s="1"/>
  <c r="N13" i="2" s="1"/>
  <c r="M45" i="7"/>
  <c r="I45" i="7" s="1"/>
  <c r="L45" i="1" s="1"/>
  <c r="S45" i="1" s="1"/>
  <c r="L40" i="2" s="1"/>
  <c r="N40" i="2" s="1"/>
  <c r="M43" i="7"/>
  <c r="I43" i="7" s="1"/>
  <c r="L43" i="1" s="1"/>
  <c r="S43" i="1" s="1"/>
  <c r="M32" i="7"/>
  <c r="I32" i="7" s="1"/>
  <c r="L32" i="1" s="1"/>
  <c r="S32" i="1" s="1"/>
  <c r="L106" i="2" s="1"/>
  <c r="N106" i="2" s="1"/>
  <c r="N3" i="7"/>
  <c r="J3" i="7" s="1"/>
  <c r="H3" i="1" s="1"/>
  <c r="N4" i="7"/>
  <c r="J4" i="7" s="1"/>
  <c r="H4" i="1" s="1"/>
  <c r="N8" i="7"/>
  <c r="J8" i="7" s="1"/>
  <c r="H8" i="1" s="1"/>
  <c r="N11" i="7"/>
  <c r="J11" i="7" s="1"/>
  <c r="H11" i="1" s="1"/>
  <c r="N26" i="7"/>
  <c r="J26" i="7" s="1"/>
  <c r="H26" i="1" s="1"/>
  <c r="N32" i="7"/>
  <c r="J32" i="7" s="1"/>
  <c r="H32" i="1" s="1"/>
  <c r="N45" i="7"/>
  <c r="J45" i="7" s="1"/>
  <c r="H45" i="1" s="1"/>
  <c r="N52" i="7"/>
  <c r="J52" i="7" s="1"/>
  <c r="H52" i="1" s="1"/>
  <c r="N55" i="7"/>
  <c r="J55" i="7" s="1"/>
  <c r="N7" i="7"/>
  <c r="N14" i="7"/>
  <c r="N20" i="7"/>
  <c r="J20" i="7" s="1"/>
  <c r="H20" i="1" s="1"/>
  <c r="D20" i="1" s="1"/>
  <c r="T20" i="1" s="1"/>
  <c r="M16" i="2" s="1"/>
  <c r="AV32" i="7"/>
  <c r="P32" i="7" s="1"/>
  <c r="Q32" i="1" s="1"/>
  <c r="J106" i="2" s="1"/>
  <c r="AV52" i="7"/>
  <c r="P52" i="7" s="1"/>
  <c r="Q52" i="1" s="1"/>
  <c r="J53" i="2" s="1"/>
  <c r="AV48" i="7"/>
  <c r="P48" i="7" s="1"/>
  <c r="Q48" i="1" s="1"/>
  <c r="J48" i="2" s="1"/>
  <c r="F129" i="2"/>
  <c r="E129" i="2" s="1"/>
  <c r="O129" i="2" s="1"/>
  <c r="J129" i="2"/>
  <c r="L129" i="2"/>
  <c r="N129" i="2" s="1"/>
  <c r="F36" i="1"/>
  <c r="O91" i="2"/>
  <c r="R36" i="1" s="1"/>
  <c r="O36" i="1" s="1"/>
  <c r="AO30" i="7"/>
  <c r="AO58" i="7"/>
  <c r="N12" i="7"/>
  <c r="J12" i="7" s="1"/>
  <c r="H12" i="1" s="1"/>
  <c r="M6" i="7"/>
  <c r="M59" i="7"/>
  <c r="I59" i="7" s="1"/>
  <c r="L59" i="1" s="1"/>
  <c r="S59" i="1" s="1"/>
  <c r="M36" i="7"/>
  <c r="I36" i="7" s="1"/>
  <c r="L36" i="1" s="1"/>
  <c r="S36" i="1" s="1"/>
  <c r="L91" i="2" s="1"/>
  <c r="N91" i="2" s="1"/>
  <c r="M34" i="7"/>
  <c r="I34" i="7" s="1"/>
  <c r="L34" i="1" s="1"/>
  <c r="S34" i="1" s="1"/>
  <c r="L108" i="2" s="1"/>
  <c r="N108" i="2" s="1"/>
  <c r="M5" i="7"/>
  <c r="I5" i="7" s="1"/>
  <c r="L5" i="1" s="1"/>
  <c r="S5" i="1" s="1"/>
  <c r="M27" i="7"/>
  <c r="M57" i="7"/>
  <c r="I57" i="7" s="1"/>
  <c r="O13" i="7"/>
  <c r="K13" i="7" s="1"/>
  <c r="J13" i="1" s="1"/>
  <c r="O17" i="7"/>
  <c r="K17" i="7" s="1"/>
  <c r="J17" i="1" s="1"/>
  <c r="O18" i="7"/>
  <c r="K18" i="7" s="1"/>
  <c r="J18" i="1" s="1"/>
  <c r="O21" i="7"/>
  <c r="K21" i="7" s="1"/>
  <c r="J21" i="1" s="1"/>
  <c r="O41" i="7"/>
  <c r="K41" i="7" s="1"/>
  <c r="J41" i="1" s="1"/>
  <c r="O49" i="7"/>
  <c r="K49" i="7" s="1"/>
  <c r="J49" i="1" s="1"/>
  <c r="O50" i="7"/>
  <c r="K50" i="7" s="1"/>
  <c r="J50" i="1" s="1"/>
  <c r="O54" i="7"/>
  <c r="K54" i="7" s="1"/>
  <c r="J54" i="1" s="1"/>
  <c r="O12" i="7"/>
  <c r="AV34" i="7"/>
  <c r="P34" i="7" s="1"/>
  <c r="J133" i="2"/>
  <c r="P133" i="2" s="1"/>
  <c r="M133" i="2"/>
  <c r="AO7" i="7"/>
  <c r="AO6" i="7"/>
  <c r="AO43" i="7"/>
  <c r="K55" i="7"/>
  <c r="J55" i="1" s="1"/>
  <c r="O14" i="7"/>
  <c r="K14" i="7" s="1"/>
  <c r="J14" i="1" s="1"/>
  <c r="O26" i="7"/>
  <c r="K26" i="7" s="1"/>
  <c r="J26" i="1" s="1"/>
  <c r="O45" i="7"/>
  <c r="K45" i="7" s="1"/>
  <c r="J45" i="1" s="1"/>
  <c r="M50" i="7"/>
  <c r="I50" i="7" s="1"/>
  <c r="L50" i="1" s="1"/>
  <c r="S50" i="1" s="1"/>
  <c r="L49" i="2" s="1"/>
  <c r="N49" i="2" s="1"/>
  <c r="M9" i="7"/>
  <c r="I9" i="7" s="1"/>
  <c r="L9" i="1" s="1"/>
  <c r="S9" i="1" s="1"/>
  <c r="L31" i="2" s="1"/>
  <c r="N31" i="2" s="1"/>
  <c r="M15" i="7"/>
  <c r="I15" i="7" s="1"/>
  <c r="L15" i="1" s="1"/>
  <c r="S15" i="1" s="1"/>
  <c r="L11" i="2" s="1"/>
  <c r="N11" i="2" s="1"/>
  <c r="M23" i="7"/>
  <c r="I23" i="7" s="1"/>
  <c r="L23" i="1" s="1"/>
  <c r="S23" i="1" s="1"/>
  <c r="L4" i="2" s="1"/>
  <c r="N4" i="2" s="1"/>
  <c r="AV33" i="7"/>
  <c r="P33" i="7" s="1"/>
  <c r="AV58" i="7"/>
  <c r="P58" i="7" s="1"/>
  <c r="AV46" i="7"/>
  <c r="P46" i="7" s="1"/>
  <c r="AV53" i="7"/>
  <c r="P53" i="7" s="1"/>
  <c r="Q53" i="1" s="1"/>
  <c r="J50" i="2" s="1"/>
  <c r="J125" i="2"/>
  <c r="E125" i="2"/>
  <c r="O125" i="2" s="1"/>
  <c r="P93" i="2"/>
  <c r="AV56" i="7"/>
  <c r="P56" i="7" s="1"/>
  <c r="AV16" i="7"/>
  <c r="P16" i="7" s="1"/>
  <c r="Q16" i="1" s="1"/>
  <c r="BB29" i="7"/>
  <c r="AV29" i="7" s="1"/>
  <c r="AW29" i="7"/>
  <c r="H29" i="7" s="1"/>
  <c r="I29" i="1" s="1"/>
  <c r="O29" i="1" s="1"/>
  <c r="F131" i="2"/>
  <c r="E131" i="2" s="1"/>
  <c r="F80" i="2"/>
  <c r="E59" i="1" s="1"/>
  <c r="BB9" i="7"/>
  <c r="AV9" i="7" s="1"/>
  <c r="AY9" i="7"/>
  <c r="J9" i="7" s="1"/>
  <c r="H9" i="1" s="1"/>
  <c r="AW9" i="7"/>
  <c r="E48" i="2"/>
  <c r="E45" i="2"/>
  <c r="J39" i="2"/>
  <c r="P39" i="2" s="1"/>
  <c r="F39" i="2"/>
  <c r="E39" i="2" s="1"/>
  <c r="O39" i="2" s="1"/>
  <c r="BB14" i="7"/>
  <c r="AV14" i="7" s="1"/>
  <c r="P14" i="7" s="1"/>
  <c r="AW14" i="7"/>
  <c r="AY14" i="7"/>
  <c r="AX14" i="7"/>
  <c r="I14" i="7" s="1"/>
  <c r="L14" i="1" s="1"/>
  <c r="S14" i="1" s="1"/>
  <c r="L10" i="2" s="1"/>
  <c r="N10" i="2" s="1"/>
  <c r="P157" i="2"/>
  <c r="J122" i="2"/>
  <c r="P122" i="2" s="1"/>
  <c r="AV35" i="7"/>
  <c r="P35" i="7" s="1"/>
  <c r="P45" i="7"/>
  <c r="Q45" i="1" s="1"/>
  <c r="J40" i="2" s="1"/>
  <c r="AZ29" i="7"/>
  <c r="E158" i="2"/>
  <c r="O158" i="2" s="1"/>
  <c r="E135" i="2"/>
  <c r="O135" i="2" s="1"/>
  <c r="E122" i="2"/>
  <c r="O122" i="2" s="1"/>
  <c r="E104" i="2"/>
  <c r="O87" i="2"/>
  <c r="R17" i="1" s="1"/>
  <c r="E74" i="2"/>
  <c r="O74" i="2" s="1"/>
  <c r="O40" i="2"/>
  <c r="R45" i="1" s="1"/>
  <c r="O45" i="1" s="1"/>
  <c r="F45" i="1"/>
  <c r="E37" i="2"/>
  <c r="L12" i="7"/>
  <c r="H12" i="7" s="1"/>
  <c r="I12" i="1" s="1"/>
  <c r="O12" i="1" s="1"/>
  <c r="B6" i="4" s="1"/>
  <c r="F6" i="4" s="1"/>
  <c r="L21" i="7"/>
  <c r="L40" i="7"/>
  <c r="H40" i="7" s="1"/>
  <c r="L49" i="7"/>
  <c r="H49" i="7" s="1"/>
  <c r="L51" i="7"/>
  <c r="H51" i="7" s="1"/>
  <c r="L47" i="7"/>
  <c r="H47" i="7" s="1"/>
  <c r="L19" i="7"/>
  <c r="H19" i="7" s="1"/>
  <c r="L17" i="7"/>
  <c r="H17" i="7" s="1"/>
  <c r="I17" i="1" s="1"/>
  <c r="L60" i="7"/>
  <c r="H60" i="7" s="1"/>
  <c r="L35" i="7"/>
  <c r="H35" i="7" s="1"/>
  <c r="I35" i="1" s="1"/>
  <c r="O35" i="1" s="1"/>
  <c r="L18" i="7"/>
  <c r="H18" i="7" s="1"/>
  <c r="I18" i="1" s="1"/>
  <c r="AX27" i="7"/>
  <c r="BB27" i="7"/>
  <c r="AV27" i="7" s="1"/>
  <c r="AZ27" i="7"/>
  <c r="AW24" i="7"/>
  <c r="H24" i="7" s="1"/>
  <c r="I24" i="1" s="1"/>
  <c r="O24" i="1" s="1"/>
  <c r="BB24" i="7"/>
  <c r="AV24" i="7" s="1"/>
  <c r="P24" i="7" s="1"/>
  <c r="AZ18" i="7"/>
  <c r="P18" i="7" s="1"/>
  <c r="Q18" i="1" s="1"/>
  <c r="AW18" i="7"/>
  <c r="N59" i="7"/>
  <c r="J59" i="7" s="1"/>
  <c r="H59" i="1" s="1"/>
  <c r="N18" i="7"/>
  <c r="J18" i="7" s="1"/>
  <c r="H18" i="1" s="1"/>
  <c r="D18" i="1" s="1"/>
  <c r="T18" i="1" s="1"/>
  <c r="M39" i="7"/>
  <c r="I39" i="7" s="1"/>
  <c r="L39" i="1" s="1"/>
  <c r="S39" i="1" s="1"/>
  <c r="L128" i="2" s="1"/>
  <c r="N128" i="2" s="1"/>
  <c r="L122" i="2"/>
  <c r="N122" i="2" s="1"/>
  <c r="M33" i="7"/>
  <c r="I33" i="7" s="1"/>
  <c r="L33" i="1" s="1"/>
  <c r="S33" i="1" s="1"/>
  <c r="L107" i="2" s="1"/>
  <c r="N107" i="2" s="1"/>
  <c r="M37" i="7"/>
  <c r="I37" i="7" s="1"/>
  <c r="L37" i="1" s="1"/>
  <c r="M38" i="7"/>
  <c r="I38" i="7" s="1"/>
  <c r="L38" i="1" s="1"/>
  <c r="S38" i="1" s="1"/>
  <c r="L73" i="2" s="1"/>
  <c r="N73" i="2" s="1"/>
  <c r="M28" i="7"/>
  <c r="I28" i="7" s="1"/>
  <c r="L28" i="1" s="1"/>
  <c r="S28" i="1" s="1"/>
  <c r="M42" i="7"/>
  <c r="I42" i="7" s="1"/>
  <c r="L42" i="1" s="1"/>
  <c r="S42" i="1" s="1"/>
  <c r="L41" i="2" s="1"/>
  <c r="N41" i="2" s="1"/>
  <c r="P163" i="2"/>
  <c r="AV17" i="7"/>
  <c r="P17" i="7" s="1"/>
  <c r="Q17" i="1" s="1"/>
  <c r="J87" i="2" s="1"/>
  <c r="AV38" i="7"/>
  <c r="P38" i="7" s="1"/>
  <c r="AZ9" i="7"/>
  <c r="J146" i="2"/>
  <c r="P146" i="2" s="1"/>
  <c r="E141" i="2"/>
  <c r="F112" i="2"/>
  <c r="E112" i="2" s="1"/>
  <c r="C4" i="1"/>
  <c r="F47" i="2"/>
  <c r="E47" i="2" s="1"/>
  <c r="AV15" i="7"/>
  <c r="P15" i="7" s="1"/>
  <c r="Q15" i="1" s="1"/>
  <c r="J11" i="2" s="1"/>
  <c r="AV21" i="7"/>
  <c r="AV23" i="7"/>
  <c r="P23" i="7" s="1"/>
  <c r="AW21" i="7"/>
  <c r="AZ21" i="7"/>
  <c r="AV8" i="7"/>
  <c r="L9" i="7"/>
  <c r="H9" i="7" s="1"/>
  <c r="I9" i="1" s="1"/>
  <c r="O9" i="1" s="1"/>
  <c r="L27" i="7"/>
  <c r="H27" i="7" s="1"/>
  <c r="I27" i="1" s="1"/>
  <c r="O27" i="1" s="1"/>
  <c r="L28" i="7"/>
  <c r="H28" i="7" s="1"/>
  <c r="L15" i="7"/>
  <c r="H15" i="7" s="1"/>
  <c r="I15" i="1" s="1"/>
  <c r="O15" i="1" s="1"/>
  <c r="L10" i="7"/>
  <c r="H10" i="7" s="1"/>
  <c r="L20" i="7"/>
  <c r="H20" i="7" s="1"/>
  <c r="L44" i="7"/>
  <c r="H44" i="7" s="1"/>
  <c r="I44" i="1" s="1"/>
  <c r="O44" i="1" s="1"/>
  <c r="AY56" i="7"/>
  <c r="J56" i="7" s="1"/>
  <c r="AW56" i="7"/>
  <c r="H56" i="7" s="1"/>
  <c r="I56" i="1" s="1"/>
  <c r="O56" i="1" s="1"/>
  <c r="AY50" i="7"/>
  <c r="AZ50" i="7"/>
  <c r="P50" i="7" s="1"/>
  <c r="Q50" i="1" s="1"/>
  <c r="J49" i="2" s="1"/>
  <c r="AW50" i="7"/>
  <c r="H50" i="7" s="1"/>
  <c r="I50" i="1" s="1"/>
  <c r="O50" i="1" s="1"/>
  <c r="AY44" i="7"/>
  <c r="J44" i="7" s="1"/>
  <c r="H44" i="1" s="1"/>
  <c r="D44" i="1" s="1"/>
  <c r="T44" i="1" s="1"/>
  <c r="M43" i="2" s="1"/>
  <c r="BB44" i="7"/>
  <c r="AV44" i="7" s="1"/>
  <c r="P44" i="7" s="1"/>
  <c r="Q44" i="1" s="1"/>
  <c r="J43" i="2" s="1"/>
  <c r="AY7" i="7"/>
  <c r="BB7" i="7"/>
  <c r="AV7" i="7" s="1"/>
  <c r="P7" i="7" s="1"/>
  <c r="Q7" i="1" s="1"/>
  <c r="AY40" i="7"/>
  <c r="L34" i="7"/>
  <c r="H34" i="7" s="1"/>
  <c r="I34" i="1" s="1"/>
  <c r="O34" i="1" s="1"/>
  <c r="L33" i="7"/>
  <c r="H33" i="7" s="1"/>
  <c r="I33" i="1" s="1"/>
  <c r="L31" i="7"/>
  <c r="H31" i="7" s="1"/>
  <c r="L37" i="7"/>
  <c r="H37" i="7" s="1"/>
  <c r="L58" i="7"/>
  <c r="H58" i="7" s="1"/>
  <c r="I58" i="1" s="1"/>
  <c r="L59" i="7"/>
  <c r="H59" i="7" s="1"/>
  <c r="L57" i="7"/>
  <c r="H57" i="7" s="1"/>
  <c r="L38" i="7"/>
  <c r="H38" i="7" s="1"/>
  <c r="I38" i="1" s="1"/>
  <c r="O38" i="1" s="1"/>
  <c r="L46" i="7"/>
  <c r="H46" i="7" s="1"/>
  <c r="I46" i="1" s="1"/>
  <c r="J156" i="2"/>
  <c r="P156" i="2" s="1"/>
  <c r="E151" i="2"/>
  <c r="O151" i="2" s="1"/>
  <c r="E142" i="2"/>
  <c r="E113" i="2"/>
  <c r="O113" i="2" s="1"/>
  <c r="F107" i="2"/>
  <c r="E33" i="1" s="1"/>
  <c r="E107" i="2"/>
  <c r="E84" i="2"/>
  <c r="E70" i="2"/>
  <c r="E61" i="2"/>
  <c r="E29" i="2"/>
  <c r="O4" i="2"/>
  <c r="R23" i="1" s="1"/>
  <c r="O23" i="1" s="1"/>
  <c r="L3" i="7"/>
  <c r="L14" i="7"/>
  <c r="H14" i="7" s="1"/>
  <c r="I14" i="1" s="1"/>
  <c r="O14" i="1" s="1"/>
  <c r="B8" i="4" s="1"/>
  <c r="F8" i="4" s="1"/>
  <c r="L4" i="7"/>
  <c r="H4" i="7" s="1"/>
  <c r="L23" i="7"/>
  <c r="H23" i="7" s="1"/>
  <c r="I23" i="1" s="1"/>
  <c r="AY19" i="7"/>
  <c r="AX19" i="7"/>
  <c r="AY48" i="7"/>
  <c r="BB5" i="7"/>
  <c r="AV5" i="7" s="1"/>
  <c r="P5" i="7" s="1"/>
  <c r="Q5" i="1" s="1"/>
  <c r="AZ8" i="7"/>
  <c r="K11" i="1" l="1"/>
  <c r="G11" i="1" s="1"/>
  <c r="J20" i="2"/>
  <c r="P21" i="7"/>
  <c r="D26" i="1"/>
  <c r="T26" i="1" s="1"/>
  <c r="M3" i="2" s="1"/>
  <c r="K42" i="1"/>
  <c r="G42" i="1" s="1"/>
  <c r="K13" i="1"/>
  <c r="G13" i="1" s="1"/>
  <c r="P41" i="1"/>
  <c r="K36" i="1"/>
  <c r="G36" i="1" s="1"/>
  <c r="H29" i="1"/>
  <c r="H30" i="1"/>
  <c r="K41" i="1"/>
  <c r="G41" i="1" s="1"/>
  <c r="D60" i="1"/>
  <c r="T60" i="1" s="1"/>
  <c r="M92" i="2" s="1"/>
  <c r="D32" i="1"/>
  <c r="T32" i="1" s="1"/>
  <c r="M106" i="2" s="1"/>
  <c r="P14" i="2"/>
  <c r="P22" i="1" s="1"/>
  <c r="K22" i="1"/>
  <c r="G22" i="1" s="1"/>
  <c r="P19" i="2"/>
  <c r="P30" i="1" s="1"/>
  <c r="K30" i="1"/>
  <c r="G30" i="1" s="1"/>
  <c r="P27" i="7"/>
  <c r="D9" i="1"/>
  <c r="T9" i="1" s="1"/>
  <c r="M31" i="2" s="1"/>
  <c r="J58" i="2"/>
  <c r="J65" i="2"/>
  <c r="P65" i="2" s="1"/>
  <c r="J62" i="2"/>
  <c r="P62" i="2" s="1"/>
  <c r="J63" i="2"/>
  <c r="P63" i="2" s="1"/>
  <c r="J67" i="2"/>
  <c r="P67" i="2" s="1"/>
  <c r="P128" i="2"/>
  <c r="P39" i="1" s="1"/>
  <c r="K39" i="1"/>
  <c r="G39" i="1" s="1"/>
  <c r="P20" i="2"/>
  <c r="P25" i="1" s="1"/>
  <c r="K25" i="1"/>
  <c r="G25" i="1" s="1"/>
  <c r="O131" i="2"/>
  <c r="P131" i="2"/>
  <c r="K50" i="1"/>
  <c r="G50" i="1" s="1"/>
  <c r="P49" i="2"/>
  <c r="P50" i="1" s="1"/>
  <c r="J23" i="2"/>
  <c r="P23" i="2" s="1"/>
  <c r="J22" i="2"/>
  <c r="J88" i="2"/>
  <c r="P88" i="2" s="1"/>
  <c r="F51" i="1"/>
  <c r="O47" i="2"/>
  <c r="R51" i="1" s="1"/>
  <c r="F58" i="1"/>
  <c r="O84" i="2"/>
  <c r="R58" i="1" s="1"/>
  <c r="O58" i="1" s="1"/>
  <c r="O142" i="2"/>
  <c r="P142" i="2"/>
  <c r="Q37" i="1"/>
  <c r="J100" i="2" s="1"/>
  <c r="I37" i="1"/>
  <c r="O37" i="1" s="1"/>
  <c r="I10" i="1"/>
  <c r="O10" i="1" s="1"/>
  <c r="Q10" i="1"/>
  <c r="J13" i="2" s="1"/>
  <c r="Q23" i="1"/>
  <c r="J4" i="2" s="1"/>
  <c r="S37" i="1"/>
  <c r="L100" i="2" s="1"/>
  <c r="N100" i="2" s="1"/>
  <c r="D37" i="1"/>
  <c r="T37" i="1" s="1"/>
  <c r="M100" i="2" s="1"/>
  <c r="M88" i="2"/>
  <c r="M22" i="2"/>
  <c r="M23" i="2"/>
  <c r="Q24" i="1"/>
  <c r="I49" i="1"/>
  <c r="O49" i="1" s="1"/>
  <c r="Q49" i="1"/>
  <c r="J46" i="2" s="1"/>
  <c r="O37" i="2"/>
  <c r="R5" i="1" s="1"/>
  <c r="B5" i="4" s="1"/>
  <c r="F5" i="4" s="1"/>
  <c r="F5" i="1"/>
  <c r="O17" i="1"/>
  <c r="O45" i="2"/>
  <c r="P45" i="2"/>
  <c r="P9" i="7"/>
  <c r="Q9" i="1" s="1"/>
  <c r="J31" i="2" s="1"/>
  <c r="P29" i="7"/>
  <c r="Q29" i="1" s="1"/>
  <c r="J28" i="2" s="1"/>
  <c r="Q46" i="1"/>
  <c r="E4" i="1"/>
  <c r="L55" i="1"/>
  <c r="L57" i="1"/>
  <c r="P48" i="2"/>
  <c r="P48" i="1" s="1"/>
  <c r="K48" i="1"/>
  <c r="G48" i="1" s="1"/>
  <c r="D11" i="1"/>
  <c r="T11" i="1" s="1"/>
  <c r="M7" i="2" s="1"/>
  <c r="L56" i="1"/>
  <c r="S56" i="1" s="1"/>
  <c r="L64" i="2" s="1"/>
  <c r="N64" i="2" s="1"/>
  <c r="L54" i="1"/>
  <c r="S54" i="1" s="1"/>
  <c r="L52" i="2" s="1"/>
  <c r="N52" i="2" s="1"/>
  <c r="D17" i="1"/>
  <c r="T17" i="1" s="1"/>
  <c r="M87" i="2" s="1"/>
  <c r="J48" i="7"/>
  <c r="H48" i="1" s="1"/>
  <c r="D15" i="1"/>
  <c r="T15" i="1" s="1"/>
  <c r="M11" i="2" s="1"/>
  <c r="D23" i="1"/>
  <c r="T23" i="1" s="1"/>
  <c r="M4" i="2" s="1"/>
  <c r="O70" i="2"/>
  <c r="R6" i="1" s="1"/>
  <c r="O6" i="1" s="1"/>
  <c r="B4" i="4" s="1"/>
  <c r="F4" i="4" s="1"/>
  <c r="F6" i="1"/>
  <c r="Q4" i="1"/>
  <c r="I4" i="1"/>
  <c r="O29" i="2"/>
  <c r="R16" i="1" s="1"/>
  <c r="O16" i="1" s="1"/>
  <c r="B7" i="4" s="1"/>
  <c r="F7" i="4" s="1"/>
  <c r="F16" i="1"/>
  <c r="F33" i="1"/>
  <c r="O107" i="2"/>
  <c r="R33" i="1" s="1"/>
  <c r="O33" i="1" s="1"/>
  <c r="I57" i="1"/>
  <c r="O57" i="1" s="1"/>
  <c r="Q57" i="1"/>
  <c r="J79" i="2" s="1"/>
  <c r="Q31" i="1"/>
  <c r="I31" i="1"/>
  <c r="J137" i="2"/>
  <c r="P137" i="2" s="1"/>
  <c r="J12" i="2"/>
  <c r="J26" i="2"/>
  <c r="P26" i="2" s="1"/>
  <c r="H54" i="1"/>
  <c r="H56" i="1"/>
  <c r="P8" i="7"/>
  <c r="Q8" i="1" s="1"/>
  <c r="J2" i="2" s="1"/>
  <c r="Q19" i="1"/>
  <c r="J85" i="2" s="1"/>
  <c r="I19" i="1"/>
  <c r="O19" i="1" s="1"/>
  <c r="Q40" i="1"/>
  <c r="I40" i="1"/>
  <c r="O40" i="1" s="1"/>
  <c r="D45" i="1"/>
  <c r="T45" i="1" s="1"/>
  <c r="M40" i="2" s="1"/>
  <c r="F31" i="1"/>
  <c r="O104" i="2"/>
  <c r="R31" i="1" s="1"/>
  <c r="O31" i="1" s="1"/>
  <c r="Q14" i="1"/>
  <c r="J10" i="2" s="1"/>
  <c r="F48" i="1"/>
  <c r="O48" i="2"/>
  <c r="R48" i="1" s="1"/>
  <c r="O48" i="1" s="1"/>
  <c r="J74" i="2"/>
  <c r="P74" i="2" s="1"/>
  <c r="J77" i="2"/>
  <c r="P77" i="2" s="1"/>
  <c r="J81" i="2"/>
  <c r="P81" i="2" s="1"/>
  <c r="J72" i="2"/>
  <c r="P72" i="2" s="1"/>
  <c r="J86" i="2"/>
  <c r="P86" i="2" s="1"/>
  <c r="J78" i="2"/>
  <c r="P78" i="2" s="1"/>
  <c r="J75" i="2"/>
  <c r="P75" i="2" s="1"/>
  <c r="J82" i="2"/>
  <c r="P82" i="2" s="1"/>
  <c r="J76" i="2"/>
  <c r="P76" i="2" s="1"/>
  <c r="J29" i="2"/>
  <c r="P125" i="2"/>
  <c r="Q58" i="1"/>
  <c r="J84" i="2" s="1"/>
  <c r="I27" i="7"/>
  <c r="L27" i="1" s="1"/>
  <c r="L80" i="2"/>
  <c r="N80" i="2" s="1"/>
  <c r="L83" i="2"/>
  <c r="N83" i="2" s="1"/>
  <c r="P129" i="2"/>
  <c r="P53" i="2"/>
  <c r="P52" i="1" s="1"/>
  <c r="K52" i="1"/>
  <c r="G52" i="1" s="1"/>
  <c r="J14" i="7"/>
  <c r="H14" i="1" s="1"/>
  <c r="D14" i="1" s="1"/>
  <c r="T14" i="1" s="1"/>
  <c r="M10" i="2" s="1"/>
  <c r="L67" i="2"/>
  <c r="N67" i="2" s="1"/>
  <c r="L63" i="2"/>
  <c r="N63" i="2" s="1"/>
  <c r="L65" i="2"/>
  <c r="N65" i="2" s="1"/>
  <c r="L58" i="2"/>
  <c r="N58" i="2" s="1"/>
  <c r="L62" i="2"/>
  <c r="N62" i="2" s="1"/>
  <c r="L30" i="2"/>
  <c r="N30" i="2" s="1"/>
  <c r="L2" i="2"/>
  <c r="N2" i="2" s="1"/>
  <c r="L55" i="2"/>
  <c r="N55" i="2" s="1"/>
  <c r="L42" i="2"/>
  <c r="N42" i="2" s="1"/>
  <c r="I19" i="7"/>
  <c r="L19" i="1" s="1"/>
  <c r="S19" i="1" s="1"/>
  <c r="L85" i="2" s="1"/>
  <c r="N85" i="2" s="1"/>
  <c r="D42" i="1"/>
  <c r="T42" i="1" s="1"/>
  <c r="M41" i="2" s="1"/>
  <c r="D41" i="1"/>
  <c r="T41" i="1" s="1"/>
  <c r="F54" i="1"/>
  <c r="O52" i="2"/>
  <c r="R54" i="1" s="1"/>
  <c r="O54" i="1" s="1"/>
  <c r="P52" i="2"/>
  <c r="P54" i="1" s="1"/>
  <c r="D43" i="1"/>
  <c r="T43" i="1" s="1"/>
  <c r="E51" i="1"/>
  <c r="F52" i="1"/>
  <c r="O53" i="2"/>
  <c r="R52" i="1" s="1"/>
  <c r="O52" i="1" s="1"/>
  <c r="D10" i="1"/>
  <c r="T10" i="1" s="1"/>
  <c r="M13" i="2" s="1"/>
  <c r="J105" i="2"/>
  <c r="P105" i="2" s="1"/>
  <c r="J38" i="2"/>
  <c r="P38" i="2" s="1"/>
  <c r="J32" i="2"/>
  <c r="P32" i="2" s="1"/>
  <c r="J111" i="2"/>
  <c r="P111" i="2" s="1"/>
  <c r="J37" i="2"/>
  <c r="P37" i="2" s="1"/>
  <c r="J5" i="2"/>
  <c r="O61" i="2"/>
  <c r="R46" i="1" s="1"/>
  <c r="O46" i="1" s="1"/>
  <c r="F46" i="1"/>
  <c r="I59" i="1"/>
  <c r="Q59" i="1"/>
  <c r="I28" i="1"/>
  <c r="O28" i="1" s="1"/>
  <c r="Q28" i="1"/>
  <c r="O112" i="2"/>
  <c r="R4" i="1" s="1"/>
  <c r="F4" i="1"/>
  <c r="Q38" i="1"/>
  <c r="J73" i="2" s="1"/>
  <c r="L34" i="2"/>
  <c r="N34" i="2" s="1"/>
  <c r="L35" i="2"/>
  <c r="N35" i="2" s="1"/>
  <c r="I47" i="1"/>
  <c r="O47" i="1" s="1"/>
  <c r="Q47" i="1"/>
  <c r="J68" i="2" s="1"/>
  <c r="H21" i="7"/>
  <c r="I21" i="1" s="1"/>
  <c r="O21" i="1" s="1"/>
  <c r="P40" i="2"/>
  <c r="P45" i="1" s="1"/>
  <c r="K45" i="1"/>
  <c r="G45" i="1" s="1"/>
  <c r="Q55" i="1"/>
  <c r="J51" i="2" s="1"/>
  <c r="Q56" i="1"/>
  <c r="J64" i="2" s="1"/>
  <c r="Q33" i="1"/>
  <c r="J107" i="2" s="1"/>
  <c r="Q34" i="1"/>
  <c r="J108" i="2" s="1"/>
  <c r="L38" i="2"/>
  <c r="N38" i="2" s="1"/>
  <c r="L105" i="2"/>
  <c r="N105" i="2" s="1"/>
  <c r="L111" i="2"/>
  <c r="N111" i="2" s="1"/>
  <c r="L37" i="2"/>
  <c r="N37" i="2" s="1"/>
  <c r="L32" i="2"/>
  <c r="N32" i="2" s="1"/>
  <c r="L5" i="2"/>
  <c r="N5" i="2" s="1"/>
  <c r="P106" i="2"/>
  <c r="P32" i="1" s="1"/>
  <c r="K32" i="1"/>
  <c r="G32" i="1" s="1"/>
  <c r="J7" i="7"/>
  <c r="H7" i="1" s="1"/>
  <c r="D7" i="1" s="1"/>
  <c r="T7" i="1" s="1"/>
  <c r="L21" i="2"/>
  <c r="N21" i="2" s="1"/>
  <c r="L60" i="2"/>
  <c r="N60" i="2" s="1"/>
  <c r="L71" i="2"/>
  <c r="N71" i="2" s="1"/>
  <c r="L30" i="1"/>
  <c r="L29" i="1"/>
  <c r="D25" i="1"/>
  <c r="T25" i="1" s="1"/>
  <c r="J19" i="7"/>
  <c r="H19" i="1" s="1"/>
  <c r="D13" i="1"/>
  <c r="T13" i="1" s="1"/>
  <c r="M9" i="2" s="1"/>
  <c r="D24" i="1"/>
  <c r="T24" i="1" s="1"/>
  <c r="D38" i="1"/>
  <c r="T38" i="1" s="1"/>
  <c r="M73" i="2" s="1"/>
  <c r="D39" i="1"/>
  <c r="T39" i="1" s="1"/>
  <c r="M128" i="2" s="1"/>
  <c r="D28" i="1"/>
  <c r="T28" i="1" s="1"/>
  <c r="I3" i="1"/>
  <c r="B3" i="4" s="1"/>
  <c r="F3" i="4" s="1"/>
  <c r="P43" i="2"/>
  <c r="P44" i="1" s="1"/>
  <c r="K44" i="1"/>
  <c r="G44" i="1" s="1"/>
  <c r="I20" i="1"/>
  <c r="O20" i="1" s="1"/>
  <c r="Q20" i="1"/>
  <c r="J16" i="2" s="1"/>
  <c r="K15" i="1"/>
  <c r="G15" i="1" s="1"/>
  <c r="P11" i="2"/>
  <c r="P15" i="1" s="1"/>
  <c r="O141" i="2"/>
  <c r="P141" i="2"/>
  <c r="K17" i="1"/>
  <c r="G17" i="1" s="1"/>
  <c r="P87" i="2"/>
  <c r="P17" i="1" s="1"/>
  <c r="Q27" i="1"/>
  <c r="J33" i="2" s="1"/>
  <c r="Q60" i="1"/>
  <c r="J92" i="2" s="1"/>
  <c r="I60" i="1"/>
  <c r="O60" i="1" s="1"/>
  <c r="I51" i="1"/>
  <c r="Q51" i="1"/>
  <c r="J47" i="2" s="1"/>
  <c r="M6" i="4"/>
  <c r="BB12" i="7" s="1"/>
  <c r="AV12" i="7" s="1"/>
  <c r="O6" i="4"/>
  <c r="W12" i="1" s="1"/>
  <c r="K6" i="4"/>
  <c r="AZ12" i="7" s="1"/>
  <c r="N6" i="4"/>
  <c r="BC12" i="7" s="1"/>
  <c r="K12" i="7" s="1"/>
  <c r="J12" i="1" s="1"/>
  <c r="Q35" i="1"/>
  <c r="J109" i="2" s="1"/>
  <c r="E80" i="2"/>
  <c r="K53" i="1"/>
  <c r="G53" i="1" s="1"/>
  <c r="P50" i="2"/>
  <c r="P53" i="1" s="1"/>
  <c r="P113" i="2"/>
  <c r="D12" i="1"/>
  <c r="T12" i="1" s="1"/>
  <c r="M8" i="2" s="1"/>
  <c r="D36" i="1"/>
  <c r="T36" i="1" s="1"/>
  <c r="M91" i="2" s="1"/>
  <c r="P135" i="2"/>
  <c r="L102" i="2"/>
  <c r="N102" i="2" s="1"/>
  <c r="L124" i="2"/>
  <c r="N124" i="2" s="1"/>
  <c r="L101" i="2"/>
  <c r="N101" i="2" s="1"/>
  <c r="L6" i="2"/>
  <c r="N6" i="2" s="1"/>
  <c r="L99" i="2"/>
  <c r="N99" i="2" s="1"/>
  <c r="L112" i="2"/>
  <c r="N112" i="2" s="1"/>
  <c r="P158" i="2"/>
  <c r="P151" i="2"/>
  <c r="O18" i="1"/>
  <c r="J40" i="7"/>
  <c r="H40" i="1" s="1"/>
  <c r="D40" i="1" s="1"/>
  <c r="T40" i="1" s="1"/>
  <c r="J50" i="7"/>
  <c r="H50" i="1" s="1"/>
  <c r="D50" i="1" s="1"/>
  <c r="T50" i="1" s="1"/>
  <c r="M49" i="2" s="1"/>
  <c r="D34" i="1"/>
  <c r="T34" i="1" s="1"/>
  <c r="M108" i="2" s="1"/>
  <c r="I3" i="4" l="1"/>
  <c r="AX3" i="7" s="1"/>
  <c r="I3" i="7" s="1"/>
  <c r="L3" i="1" s="1"/>
  <c r="P3" i="4"/>
  <c r="X3" i="1" s="1"/>
  <c r="E3" i="1" s="1"/>
  <c r="O3" i="4"/>
  <c r="W3" i="1" s="1"/>
  <c r="K43" i="1"/>
  <c r="G43" i="1" s="1"/>
  <c r="P58" i="2"/>
  <c r="P43" i="1" s="1"/>
  <c r="D56" i="1"/>
  <c r="T56" i="1" s="1"/>
  <c r="M64" i="2" s="1"/>
  <c r="D19" i="1"/>
  <c r="T19" i="1" s="1"/>
  <c r="M85" i="2" s="1"/>
  <c r="P47" i="2"/>
  <c r="P51" i="1" s="1"/>
  <c r="K51" i="1"/>
  <c r="G51" i="1" s="1"/>
  <c r="M62" i="2"/>
  <c r="M63" i="2"/>
  <c r="M58" i="2"/>
  <c r="M67" i="2"/>
  <c r="M65" i="2"/>
  <c r="M55" i="2"/>
  <c r="M42" i="2"/>
  <c r="S27" i="1"/>
  <c r="L33" i="2" s="1"/>
  <c r="N33" i="2" s="1"/>
  <c r="D27" i="1"/>
  <c r="T27" i="1" s="1"/>
  <c r="M33" i="2" s="1"/>
  <c r="M34" i="2"/>
  <c r="M35" i="2"/>
  <c r="P108" i="2"/>
  <c r="P34" i="1" s="1"/>
  <c r="K34" i="1"/>
  <c r="G34" i="1" s="1"/>
  <c r="D4" i="1"/>
  <c r="T4" i="1" s="1"/>
  <c r="J80" i="2"/>
  <c r="J83" i="2"/>
  <c r="P83" i="2" s="1"/>
  <c r="P5" i="2"/>
  <c r="P5" i="1" s="1"/>
  <c r="K5" i="1"/>
  <c r="G5" i="1" s="1"/>
  <c r="D52" i="1"/>
  <c r="T52" i="1" s="1"/>
  <c r="M53" i="2" s="1"/>
  <c r="K58" i="1"/>
  <c r="G58" i="1" s="1"/>
  <c r="P84" i="2"/>
  <c r="P58" i="1" s="1"/>
  <c r="D31" i="1"/>
  <c r="T31" i="1" s="1"/>
  <c r="J56" i="2"/>
  <c r="P56" i="2" s="1"/>
  <c r="J44" i="2"/>
  <c r="J30" i="2"/>
  <c r="P30" i="2" s="1"/>
  <c r="P12" i="2"/>
  <c r="P7" i="1" s="1"/>
  <c r="K7" i="1"/>
  <c r="G7" i="1" s="1"/>
  <c r="K57" i="1"/>
  <c r="G57" i="1" s="1"/>
  <c r="P79" i="2"/>
  <c r="P57" i="1" s="1"/>
  <c r="S55" i="1"/>
  <c r="L51" i="2" s="1"/>
  <c r="N51" i="2" s="1"/>
  <c r="D55" i="1"/>
  <c r="T55" i="1" s="1"/>
  <c r="M51" i="2" s="1"/>
  <c r="P31" i="2"/>
  <c r="P9" i="1" s="1"/>
  <c r="K9" i="1"/>
  <c r="G9" i="1" s="1"/>
  <c r="J21" i="2"/>
  <c r="J71" i="2"/>
  <c r="P71" i="2" s="1"/>
  <c r="J60" i="2"/>
  <c r="P60" i="2" s="1"/>
  <c r="D51" i="1"/>
  <c r="T51" i="1" s="1"/>
  <c r="M47" i="2" s="1"/>
  <c r="M20" i="2"/>
  <c r="M144" i="2"/>
  <c r="P51" i="2"/>
  <c r="P55" i="1" s="1"/>
  <c r="K55" i="1"/>
  <c r="G55" i="1" s="1"/>
  <c r="P68" i="2"/>
  <c r="P47" i="1" s="1"/>
  <c r="K47" i="1"/>
  <c r="G47" i="1" s="1"/>
  <c r="K38" i="1"/>
  <c r="G38" i="1" s="1"/>
  <c r="P73" i="2"/>
  <c r="P38" i="1" s="1"/>
  <c r="D48" i="1"/>
  <c r="T48" i="1" s="1"/>
  <c r="M48" i="2" s="1"/>
  <c r="O7" i="4"/>
  <c r="W16" i="1" s="1"/>
  <c r="D16" i="1" s="1"/>
  <c r="T16" i="1" s="1"/>
  <c r="P7" i="4"/>
  <c r="X16" i="1" s="1"/>
  <c r="E16" i="1" s="1"/>
  <c r="E1" i="3" s="1"/>
  <c r="K4" i="4"/>
  <c r="AZ6" i="7" s="1"/>
  <c r="P6" i="7" s="1"/>
  <c r="Q6" i="1" s="1"/>
  <c r="I4" i="4"/>
  <c r="AX6" i="7" s="1"/>
  <c r="I6" i="7" s="1"/>
  <c r="L6" i="1" s="1"/>
  <c r="S6" i="1" s="1"/>
  <c r="L5" i="4"/>
  <c r="BA5" i="7" s="1"/>
  <c r="AO5" i="7" s="1"/>
  <c r="J5" i="4"/>
  <c r="AY5" i="7" s="1"/>
  <c r="J5" i="7" s="1"/>
  <c r="H5" i="1" s="1"/>
  <c r="N5" i="4"/>
  <c r="BC5" i="7" s="1"/>
  <c r="K5" i="7" s="1"/>
  <c r="J5" i="1" s="1"/>
  <c r="E2" i="3" s="1"/>
  <c r="O5" i="4"/>
  <c r="W5" i="1" s="1"/>
  <c r="P33" i="2"/>
  <c r="P27" i="1" s="1"/>
  <c r="K27" i="1"/>
  <c r="G27" i="1" s="1"/>
  <c r="M60" i="2"/>
  <c r="M21" i="2"/>
  <c r="M71" i="2"/>
  <c r="F59" i="1"/>
  <c r="O80" i="2"/>
  <c r="R59" i="1" s="1"/>
  <c r="O59" i="1" s="1"/>
  <c r="S29" i="1"/>
  <c r="L28" i="2" s="1"/>
  <c r="N28" i="2" s="1"/>
  <c r="D29" i="1"/>
  <c r="T29" i="1" s="1"/>
  <c r="M28" i="2" s="1"/>
  <c r="P107" i="2"/>
  <c r="P33" i="1" s="1"/>
  <c r="K33" i="1"/>
  <c r="G33" i="1" s="1"/>
  <c r="O4" i="1"/>
  <c r="M56" i="2"/>
  <c r="M44" i="2"/>
  <c r="P109" i="2"/>
  <c r="P35" i="1" s="1"/>
  <c r="K35" i="1"/>
  <c r="G35" i="1" s="1"/>
  <c r="P12" i="7"/>
  <c r="Q12" i="1" s="1"/>
  <c r="J8" i="2" s="1"/>
  <c r="P92" i="2"/>
  <c r="P60" i="1" s="1"/>
  <c r="K60" i="1"/>
  <c r="G60" i="1" s="1"/>
  <c r="P16" i="2"/>
  <c r="P20" i="1" s="1"/>
  <c r="K20" i="1"/>
  <c r="G20" i="1" s="1"/>
  <c r="J96" i="2"/>
  <c r="P96" i="2" s="1"/>
  <c r="J18" i="2"/>
  <c r="P18" i="2" s="1"/>
  <c r="J147" i="2"/>
  <c r="P147" i="2" s="1"/>
  <c r="J126" i="2"/>
  <c r="P126" i="2" s="1"/>
  <c r="J94" i="2"/>
  <c r="P94" i="2" s="1"/>
  <c r="J98" i="2"/>
  <c r="P98" i="2" s="1"/>
  <c r="J95" i="2"/>
  <c r="P95" i="2" s="1"/>
  <c r="J97" i="2"/>
  <c r="P97" i="2" s="1"/>
  <c r="J17" i="2"/>
  <c r="S30" i="1"/>
  <c r="L19" i="2" s="1"/>
  <c r="N19" i="2" s="1"/>
  <c r="D30" i="1"/>
  <c r="T30" i="1" s="1"/>
  <c r="M19" i="2" s="1"/>
  <c r="M137" i="2"/>
  <c r="M26" i="2"/>
  <c r="M12" i="2"/>
  <c r="P64" i="2"/>
  <c r="P56" i="1" s="1"/>
  <c r="K56" i="1"/>
  <c r="G56" i="1" s="1"/>
  <c r="J34" i="2"/>
  <c r="J35" i="2"/>
  <c r="P35" i="2" s="1"/>
  <c r="D46" i="1"/>
  <c r="T46" i="1" s="1"/>
  <c r="D54" i="1"/>
  <c r="T54" i="1" s="1"/>
  <c r="M52" i="2" s="1"/>
  <c r="P29" i="2"/>
  <c r="P16" i="1" s="1"/>
  <c r="K16" i="1"/>
  <c r="G16" i="1" s="1"/>
  <c r="K14" i="1"/>
  <c r="G14" i="1" s="1"/>
  <c r="P10" i="2"/>
  <c r="P14" i="1" s="1"/>
  <c r="K19" i="1"/>
  <c r="G19" i="1" s="1"/>
  <c r="P85" i="2"/>
  <c r="P19" i="1" s="1"/>
  <c r="J69" i="2"/>
  <c r="P69" i="2" s="1"/>
  <c r="J54" i="2"/>
  <c r="J61" i="2"/>
  <c r="P61" i="2" s="1"/>
  <c r="J57" i="2"/>
  <c r="P57" i="2" s="1"/>
  <c r="P46" i="2"/>
  <c r="P49" i="1" s="1"/>
  <c r="K49" i="1"/>
  <c r="G49" i="1" s="1"/>
  <c r="K23" i="1"/>
  <c r="G23" i="1" s="1"/>
  <c r="P4" i="2"/>
  <c r="P23" i="1" s="1"/>
  <c r="P100" i="2"/>
  <c r="P37" i="1" s="1"/>
  <c r="K37" i="1"/>
  <c r="G37" i="1" s="1"/>
  <c r="D58" i="1"/>
  <c r="T58" i="1" s="1"/>
  <c r="M84" i="2" s="1"/>
  <c r="K18" i="1"/>
  <c r="G18" i="1" s="1"/>
  <c r="P22" i="2"/>
  <c r="P18" i="1" s="1"/>
  <c r="Q21" i="1"/>
  <c r="J15" i="2" s="1"/>
  <c r="J110" i="2"/>
  <c r="P110" i="2" s="1"/>
  <c r="J104" i="2"/>
  <c r="D33" i="1"/>
  <c r="T33" i="1" s="1"/>
  <c r="M107" i="2" s="1"/>
  <c r="J112" i="2"/>
  <c r="P112" i="2" s="1"/>
  <c r="J99" i="2"/>
  <c r="P99" i="2" s="1"/>
  <c r="J124" i="2"/>
  <c r="P124" i="2" s="1"/>
  <c r="J102" i="2"/>
  <c r="P102" i="2" s="1"/>
  <c r="J101" i="2"/>
  <c r="P101" i="2" s="1"/>
  <c r="J6" i="2"/>
  <c r="S57" i="1"/>
  <c r="L79" i="2" s="1"/>
  <c r="N79" i="2" s="1"/>
  <c r="D57" i="1"/>
  <c r="T57" i="1" s="1"/>
  <c r="M79" i="2" s="1"/>
  <c r="P28" i="2"/>
  <c r="P29" i="1" s="1"/>
  <c r="K29" i="1"/>
  <c r="G29" i="1" s="1"/>
  <c r="P13" i="2"/>
  <c r="P10" i="1" s="1"/>
  <c r="K10" i="1"/>
  <c r="G10" i="1" s="1"/>
  <c r="O51" i="1"/>
  <c r="D3" i="1" l="1"/>
  <c r="K3" i="1"/>
  <c r="T3" i="1"/>
  <c r="D5" i="1"/>
  <c r="T5" i="1" s="1"/>
  <c r="M38" i="2" s="1"/>
  <c r="M37" i="2"/>
  <c r="M105" i="2"/>
  <c r="M32" i="2"/>
  <c r="M111" i="2"/>
  <c r="M5" i="2"/>
  <c r="M110" i="2"/>
  <c r="M104" i="2"/>
  <c r="M99" i="2"/>
  <c r="M102" i="2"/>
  <c r="M101" i="2"/>
  <c r="M124" i="2"/>
  <c r="M112" i="2"/>
  <c r="M6" i="2"/>
  <c r="M76" i="2"/>
  <c r="M78" i="2"/>
  <c r="M75" i="2"/>
  <c r="M72" i="2"/>
  <c r="M74" i="2"/>
  <c r="M81" i="2"/>
  <c r="M86" i="2"/>
  <c r="M77" i="2"/>
  <c r="M82" i="2"/>
  <c r="M29" i="2"/>
  <c r="P6" i="2"/>
  <c r="P4" i="1" s="1"/>
  <c r="K4" i="1"/>
  <c r="G4" i="1" s="1"/>
  <c r="P104" i="2"/>
  <c r="P31" i="1" s="1"/>
  <c r="K31" i="1"/>
  <c r="G31" i="1" s="1"/>
  <c r="P34" i="2"/>
  <c r="P28" i="1" s="1"/>
  <c r="K28" i="1"/>
  <c r="G28" i="1" s="1"/>
  <c r="G3" i="1"/>
  <c r="P17" i="2"/>
  <c r="P3" i="1" s="1"/>
  <c r="D6" i="1"/>
  <c r="T6" i="1" s="1"/>
  <c r="K8" i="1"/>
  <c r="G8" i="1" s="1"/>
  <c r="P54" i="2"/>
  <c r="P46" i="1" s="1"/>
  <c r="K46" i="1"/>
  <c r="G46" i="1" s="1"/>
  <c r="K12" i="1"/>
  <c r="G12" i="1" s="1"/>
  <c r="P8" i="2"/>
  <c r="P12" i="1" s="1"/>
  <c r="L24" i="2"/>
  <c r="N24" i="2" s="1"/>
  <c r="L89" i="2"/>
  <c r="N89" i="2" s="1"/>
  <c r="L90" i="2"/>
  <c r="N90" i="2" s="1"/>
  <c r="L66" i="2"/>
  <c r="N66" i="2" s="1"/>
  <c r="L59" i="2"/>
  <c r="N59" i="2" s="1"/>
  <c r="L25" i="2"/>
  <c r="N25" i="2" s="1"/>
  <c r="L70" i="2"/>
  <c r="N70" i="2" s="1"/>
  <c r="P21" i="2"/>
  <c r="P24" i="1" s="1"/>
  <c r="K24" i="1"/>
  <c r="G24" i="1" s="1"/>
  <c r="P80" i="2"/>
  <c r="P59" i="1" s="1"/>
  <c r="K59" i="1"/>
  <c r="G59" i="1" s="1"/>
  <c r="P15" i="2"/>
  <c r="P21" i="1" s="1"/>
  <c r="K21" i="1"/>
  <c r="G21" i="1" s="1"/>
  <c r="M54" i="2"/>
  <c r="M69" i="2"/>
  <c r="M61" i="2"/>
  <c r="M57" i="2"/>
  <c r="D59" i="1"/>
  <c r="T59" i="1" s="1"/>
  <c r="J24" i="2"/>
  <c r="J66" i="2"/>
  <c r="P66" i="2" s="1"/>
  <c r="J90" i="2"/>
  <c r="P90" i="2" s="1"/>
  <c r="J59" i="2"/>
  <c r="P59" i="2" s="1"/>
  <c r="J70" i="2"/>
  <c r="P70" i="2" s="1"/>
  <c r="J89" i="2"/>
  <c r="P89" i="2" s="1"/>
  <c r="J25" i="2"/>
  <c r="P25" i="2" s="1"/>
  <c r="K40" i="1"/>
  <c r="G40" i="1" s="1"/>
  <c r="P44" i="2"/>
  <c r="P40" i="1" s="1"/>
  <c r="M96" i="2" l="1"/>
  <c r="M98" i="2"/>
  <c r="M94" i="2"/>
  <c r="M95" i="2"/>
  <c r="M97" i="2"/>
  <c r="M147" i="2"/>
  <c r="M126" i="2"/>
  <c r="M17" i="2"/>
  <c r="M18" i="2"/>
  <c r="L96" i="2"/>
  <c r="N96" i="2" s="1"/>
  <c r="L17" i="2"/>
  <c r="N17" i="2" s="1"/>
  <c r="L98" i="2"/>
  <c r="N98" i="2" s="1"/>
  <c r="L94" i="2"/>
  <c r="N94" i="2" s="1"/>
  <c r="L126" i="2"/>
  <c r="N126" i="2" s="1"/>
  <c r="L18" i="2"/>
  <c r="N18" i="2" s="1"/>
  <c r="L147" i="2"/>
  <c r="N147" i="2" s="1"/>
  <c r="L97" i="2"/>
  <c r="N97" i="2" s="1"/>
  <c r="L95" i="2"/>
  <c r="N95" i="2" s="1"/>
  <c r="M83" i="2"/>
  <c r="M80" i="2"/>
  <c r="M24" i="2"/>
  <c r="M66" i="2"/>
  <c r="M59" i="2"/>
  <c r="M90" i="2"/>
  <c r="M89" i="2"/>
  <c r="M70" i="2"/>
  <c r="M25" i="2"/>
  <c r="P24" i="2"/>
  <c r="P6" i="1" s="1"/>
  <c r="K6" i="1"/>
  <c r="G6" i="1" s="1"/>
  <c r="D8" i="1"/>
  <c r="P2" i="2"/>
  <c r="P8" i="1" s="1"/>
  <c r="R8" i="1"/>
  <c r="F8" i="1"/>
  <c r="T8" i="1" s="1"/>
  <c r="O8" i="1" l="1"/>
  <c r="B1" i="6"/>
  <c r="B2" i="6"/>
  <c r="M30" i="2"/>
  <c r="M2" i="2"/>
  <c r="B4" i="6" l="1"/>
  <c r="B3" i="6"/>
</calcChain>
</file>

<file path=xl/sharedStrings.xml><?xml version="1.0" encoding="utf-8"?>
<sst xmlns="http://schemas.openxmlformats.org/spreadsheetml/2006/main" count="1148" uniqueCount="501">
  <si>
    <t>TAG</t>
  </si>
  <si>
    <t>Country</t>
  </si>
  <si>
    <t>Austria</t>
  </si>
  <si>
    <t>Italy</t>
  </si>
  <si>
    <t>France</t>
  </si>
  <si>
    <t>Ireland</t>
  </si>
  <si>
    <t>Finland</t>
  </si>
  <si>
    <t>Japan</t>
  </si>
  <si>
    <t>Netherlands</t>
  </si>
  <si>
    <t>Korea</t>
  </si>
  <si>
    <t>Population</t>
  </si>
  <si>
    <t>Switzerland</t>
  </si>
  <si>
    <t>Sweden</t>
  </si>
  <si>
    <t>Romania</t>
  </si>
  <si>
    <t>Croatia</t>
  </si>
  <si>
    <t>Bulgaria</t>
  </si>
  <si>
    <t>Albania</t>
  </si>
  <si>
    <t>Greece</t>
  </si>
  <si>
    <t>Burma</t>
  </si>
  <si>
    <t>Taiwan</t>
  </si>
  <si>
    <t>Australia</t>
  </si>
  <si>
    <t>Region</t>
  </si>
  <si>
    <t>IC</t>
  </si>
  <si>
    <t>ENG</t>
  </si>
  <si>
    <t>AUS</t>
  </si>
  <si>
    <t>ROM</t>
  </si>
  <si>
    <t>ITA</t>
  </si>
  <si>
    <t>RUS</t>
  </si>
  <si>
    <t>FRA</t>
  </si>
  <si>
    <t>PER</t>
  </si>
  <si>
    <t>NET</t>
  </si>
  <si>
    <t>KOR</t>
  </si>
  <si>
    <t>POP</t>
  </si>
  <si>
    <t>Main/Sub</t>
  </si>
  <si>
    <t>M</t>
  </si>
  <si>
    <t>Occ%</t>
  </si>
  <si>
    <t>s</t>
  </si>
  <si>
    <t>Sri Lanka</t>
  </si>
  <si>
    <t>MP</t>
  </si>
  <si>
    <t>EP</t>
  </si>
  <si>
    <t>TXP</t>
  </si>
  <si>
    <t>STAB</t>
  </si>
  <si>
    <t>MxMP</t>
  </si>
  <si>
    <t>Base IC:</t>
  </si>
  <si>
    <t>P</t>
  </si>
  <si>
    <t>CC</t>
  </si>
  <si>
    <t>CA</t>
  </si>
  <si>
    <t>Owner</t>
  </si>
  <si>
    <t>YEAR:</t>
  </si>
  <si>
    <t>TEP</t>
  </si>
  <si>
    <t>Modifiers</t>
  </si>
  <si>
    <t>Modifier</t>
  </si>
  <si>
    <t>Inertia</t>
  </si>
  <si>
    <t>Great Britain</t>
  </si>
  <si>
    <t>GER</t>
  </si>
  <si>
    <t>PRR</t>
  </si>
  <si>
    <t>GFA</t>
  </si>
  <si>
    <t>BWR</t>
  </si>
  <si>
    <t>USA</t>
  </si>
  <si>
    <t>TUR</t>
  </si>
  <si>
    <t>The United Kingdom of Great Britain and Ireland</t>
  </si>
  <si>
    <t>SWI</t>
  </si>
  <si>
    <t>SWE</t>
  </si>
  <si>
    <t>The People's Republic of Sweden</t>
  </si>
  <si>
    <t>NOR</t>
  </si>
  <si>
    <t>The Kingdom of Norway</t>
  </si>
  <si>
    <t>DMK</t>
  </si>
  <si>
    <t>The Kingdom of Denmark and Iceland</t>
  </si>
  <si>
    <t>SPA</t>
  </si>
  <si>
    <t>The Spanish Republic</t>
  </si>
  <si>
    <t>POR</t>
  </si>
  <si>
    <t>The Kingdom of Portugal</t>
  </si>
  <si>
    <t>MEX</t>
  </si>
  <si>
    <t>The Republic of the Netherlands</t>
  </si>
  <si>
    <t>ALS</t>
  </si>
  <si>
    <t>The Free Republic of Alsace-Lorraine</t>
  </si>
  <si>
    <t>The Empire of the Great Qing</t>
  </si>
  <si>
    <t>NRC</t>
  </si>
  <si>
    <t>GXI</t>
  </si>
  <si>
    <t>The Kingdom of Korea</t>
  </si>
  <si>
    <t>AFG</t>
  </si>
  <si>
    <t>The Sultanate of Afghanistan</t>
  </si>
  <si>
    <t>The Persian Empire</t>
  </si>
  <si>
    <t>AZJ</t>
  </si>
  <si>
    <t>ETH</t>
  </si>
  <si>
    <t>The Kingdom of Ethiopia</t>
  </si>
  <si>
    <t>BRA</t>
  </si>
  <si>
    <t>The Empire of Brazil</t>
  </si>
  <si>
    <t>COL</t>
  </si>
  <si>
    <t>BEL</t>
  </si>
  <si>
    <t>The Republic of Belgium</t>
  </si>
  <si>
    <t>The Kingdom of Romania</t>
  </si>
  <si>
    <t>SER</t>
  </si>
  <si>
    <t>The Kingdom of Serbia</t>
  </si>
  <si>
    <t>GRE</t>
  </si>
  <si>
    <t>The Hellenic Republic of Greece</t>
  </si>
  <si>
    <t>QIN</t>
  </si>
  <si>
    <t>Belgium</t>
  </si>
  <si>
    <t>Serbia</t>
  </si>
  <si>
    <t>Denmark</t>
  </si>
  <si>
    <t>Germany</t>
  </si>
  <si>
    <t>Norway</t>
  </si>
  <si>
    <t>Portugal</t>
  </si>
  <si>
    <t>Spain</t>
  </si>
  <si>
    <t>New Zealand</t>
  </si>
  <si>
    <t>Canada</t>
  </si>
  <si>
    <t>United States</t>
  </si>
  <si>
    <t>Czechoslovakia</t>
  </si>
  <si>
    <t>Bulgaria proper</t>
  </si>
  <si>
    <t>Edirne</t>
  </si>
  <si>
    <t>Hungary</t>
  </si>
  <si>
    <t>Poland</t>
  </si>
  <si>
    <t>RUSSIA</t>
  </si>
  <si>
    <t>Argentina</t>
  </si>
  <si>
    <t>Chile</t>
  </si>
  <si>
    <t>Colombia</t>
  </si>
  <si>
    <t>Mexico</t>
  </si>
  <si>
    <t>Peru</t>
  </si>
  <si>
    <t>Uruguay</t>
  </si>
  <si>
    <t>Venezuela</t>
  </si>
  <si>
    <t>Bolivia</t>
  </si>
  <si>
    <t>Costa Rica</t>
  </si>
  <si>
    <t>Cuba</t>
  </si>
  <si>
    <t>Dominican</t>
  </si>
  <si>
    <t>Ecuador</t>
  </si>
  <si>
    <t>El Salvador</t>
  </si>
  <si>
    <t>Guatemala</t>
  </si>
  <si>
    <t>Haiti</t>
  </si>
  <si>
    <t>Honduras</t>
  </si>
  <si>
    <t>Jamaica</t>
  </si>
  <si>
    <t>Nicaragua</t>
  </si>
  <si>
    <t>Panama</t>
  </si>
  <si>
    <t>Paraguay</t>
  </si>
  <si>
    <t>Puerto Rico</t>
  </si>
  <si>
    <t>Trinidad and Tobago</t>
  </si>
  <si>
    <t>Turkey</t>
  </si>
  <si>
    <t>China</t>
  </si>
  <si>
    <t>India</t>
  </si>
  <si>
    <t>Indonesia</t>
  </si>
  <si>
    <t>Philippines</t>
  </si>
  <si>
    <t>Thailand</t>
  </si>
  <si>
    <t>Hong Kong</t>
  </si>
  <si>
    <t>Malaysia</t>
  </si>
  <si>
    <t>Singapore</t>
  </si>
  <si>
    <t>BUL</t>
  </si>
  <si>
    <t>HUN</t>
  </si>
  <si>
    <t>Vietnam</t>
  </si>
  <si>
    <t>The Hungarian Empire</t>
  </si>
  <si>
    <t>The United Republics of Austria and Bohemia</t>
  </si>
  <si>
    <t>North China</t>
  </si>
  <si>
    <t>Mongolia</t>
  </si>
  <si>
    <t>Northeast China</t>
  </si>
  <si>
    <t>East China</t>
  </si>
  <si>
    <t>South Central China</t>
  </si>
  <si>
    <t>Northwest China</t>
  </si>
  <si>
    <t>CEN</t>
  </si>
  <si>
    <t>The Democratic Republic of Central America</t>
  </si>
  <si>
    <t>BRZ</t>
  </si>
  <si>
    <t>The Democratic Republic of Brazil</t>
  </si>
  <si>
    <t>The Dominion of Colombia</t>
  </si>
  <si>
    <t>CHL</t>
  </si>
  <si>
    <t>The Republic of Chile</t>
  </si>
  <si>
    <t>ARG</t>
  </si>
  <si>
    <t>The Republic of Argentina</t>
  </si>
  <si>
    <t>BOL</t>
  </si>
  <si>
    <t>The Great Bolivian Empire</t>
  </si>
  <si>
    <t>PAN</t>
  </si>
  <si>
    <t>The Dominion of Panama</t>
  </si>
  <si>
    <t>TIB</t>
  </si>
  <si>
    <t>YUN</t>
  </si>
  <si>
    <t>The State of Yunnan</t>
  </si>
  <si>
    <t>The Heavenly Domain of Tibet</t>
  </si>
  <si>
    <t>Yunnan</t>
  </si>
  <si>
    <t>Tibet</t>
  </si>
  <si>
    <t>Brazil - south</t>
  </si>
  <si>
    <t>Brazil - north</t>
  </si>
  <si>
    <t>IND</t>
  </si>
  <si>
    <t>OCE</t>
  </si>
  <si>
    <t>The Imperial Domain of India</t>
  </si>
  <si>
    <t>The Imperial Domain of Australasia</t>
  </si>
  <si>
    <t>SAF</t>
  </si>
  <si>
    <t>The Imperial Domain of South Africa</t>
  </si>
  <si>
    <t>Ruhr</t>
  </si>
  <si>
    <t>Prussia</t>
  </si>
  <si>
    <t>Bayern</t>
  </si>
  <si>
    <t>Alsace-Lorraine</t>
  </si>
  <si>
    <t>Devo</t>
  </si>
  <si>
    <t>Iran</t>
  </si>
  <si>
    <t>Iraq</t>
  </si>
  <si>
    <t xml:space="preserve">Israel </t>
  </si>
  <si>
    <t xml:space="preserve">Jordan </t>
  </si>
  <si>
    <t xml:space="preserve">Kuwait </t>
  </si>
  <si>
    <t xml:space="preserve">Lebanon </t>
  </si>
  <si>
    <t>Oman</t>
  </si>
  <si>
    <t>Qatar</t>
  </si>
  <si>
    <t xml:space="preserve">Saudi Arabia </t>
  </si>
  <si>
    <t xml:space="preserve">Syria </t>
  </si>
  <si>
    <t xml:space="preserve">United Arab Emirates </t>
  </si>
  <si>
    <t xml:space="preserve">Yemen </t>
  </si>
  <si>
    <t xml:space="preserve">West Bank and Gaza </t>
  </si>
  <si>
    <t>OMA</t>
  </si>
  <si>
    <t>YEM</t>
  </si>
  <si>
    <t>Western Russia</t>
  </si>
  <si>
    <t>Siberia</t>
  </si>
  <si>
    <t>The French Social Democratic Republic</t>
  </si>
  <si>
    <t>The Russian Empire</t>
  </si>
  <si>
    <t>The United States of America</t>
  </si>
  <si>
    <t>The Kingdom of Italy</t>
  </si>
  <si>
    <t>The Union of German Workers' Council Republics</t>
  </si>
  <si>
    <t>The People's Republic of the Ruhr</t>
  </si>
  <si>
    <t>The German Federalist Alliance</t>
  </si>
  <si>
    <t>The Bavarian Workers' Council Republic</t>
  </si>
  <si>
    <t>The Federal Republic of Switzerland</t>
  </si>
  <si>
    <t>South Africa</t>
  </si>
  <si>
    <t>A</t>
  </si>
  <si>
    <t>C</t>
  </si>
  <si>
    <t>Avg. EPC</t>
  </si>
  <si>
    <t>StDev EPC</t>
  </si>
  <si>
    <t>Low Gate</t>
  </si>
  <si>
    <t>Hi Gate</t>
  </si>
  <si>
    <t>AP</t>
  </si>
  <si>
    <t>Govt. Types</t>
  </si>
  <si>
    <t>Unitary</t>
  </si>
  <si>
    <t>Hegemony</t>
  </si>
  <si>
    <t>Federation</t>
  </si>
  <si>
    <t>Confederation</t>
  </si>
  <si>
    <t>Coalition</t>
  </si>
  <si>
    <t>Anarchy</t>
  </si>
  <si>
    <t>Legitimacy</t>
  </si>
  <si>
    <t>Appointed</t>
  </si>
  <si>
    <t>Hereditary</t>
  </si>
  <si>
    <t>Elective</t>
  </si>
  <si>
    <t>Support</t>
  </si>
  <si>
    <t>Monarchist</t>
  </si>
  <si>
    <t>Socialist</t>
  </si>
  <si>
    <t>Anarchist</t>
  </si>
  <si>
    <t>Fascist</t>
  </si>
  <si>
    <t>Imperialist</t>
  </si>
  <si>
    <t>Factions</t>
  </si>
  <si>
    <t>The Confederation of Guangxi</t>
  </si>
  <si>
    <t>Base Tax</t>
  </si>
  <si>
    <t>Bas. Stab.</t>
  </si>
  <si>
    <t>Base AP</t>
  </si>
  <si>
    <t>Tax</t>
  </si>
  <si>
    <t>Stab</t>
  </si>
  <si>
    <t>Inertia Del</t>
  </si>
  <si>
    <t>BT</t>
  </si>
  <si>
    <t>BS</t>
  </si>
  <si>
    <t>BAP</t>
  </si>
  <si>
    <t>Inr. Tick</t>
  </si>
  <si>
    <t>Democrat</t>
  </si>
  <si>
    <t>Influence</t>
  </si>
  <si>
    <t>Approval</t>
  </si>
  <si>
    <t>Total Influence</t>
  </si>
  <si>
    <t>Dissent Scores</t>
  </si>
  <si>
    <t>Majority</t>
  </si>
  <si>
    <t>Unity</t>
  </si>
  <si>
    <t>Centralization</t>
  </si>
  <si>
    <t>Unity Avg:</t>
  </si>
  <si>
    <t>Unity STD:</t>
  </si>
  <si>
    <t>Unity Coef</t>
  </si>
  <si>
    <t>Support Avg:</t>
  </si>
  <si>
    <t>Support STD:</t>
  </si>
  <si>
    <t>BMP</t>
  </si>
  <si>
    <t>Militarism</t>
  </si>
  <si>
    <t>Militarism Contributions</t>
  </si>
  <si>
    <t>Min Approval</t>
  </si>
  <si>
    <t>The Sublime State of Turkey</t>
  </si>
  <si>
    <t>VER</t>
  </si>
  <si>
    <t>The Emergency State of Veracruz</t>
  </si>
  <si>
    <t>SON</t>
  </si>
  <si>
    <t>The State of Sonora</t>
  </si>
  <si>
    <t>RAD</t>
  </si>
  <si>
    <t>RIO</t>
  </si>
  <si>
    <t>The State of the Rio Grande</t>
  </si>
  <si>
    <t>MIM</t>
  </si>
  <si>
    <t>The Empire of Mexico</t>
  </si>
  <si>
    <t>HAI</t>
  </si>
  <si>
    <t>The Freeman Republic of Haiti</t>
  </si>
  <si>
    <t>KON</t>
  </si>
  <si>
    <t>The Sultanate of Oman</t>
  </si>
  <si>
    <t>The Sultanate of Yemen</t>
  </si>
  <si>
    <t>ABU</t>
  </si>
  <si>
    <t>The Sultanate of Abu Dhabi</t>
  </si>
  <si>
    <t>SIA</t>
  </si>
  <si>
    <t xml:space="preserve">Algeria </t>
  </si>
  <si>
    <t xml:space="preserve"> </t>
  </si>
  <si>
    <t>Angola</t>
  </si>
  <si>
    <t xml:space="preserve">Benin </t>
  </si>
  <si>
    <t>Botswana</t>
  </si>
  <si>
    <t>Burkina Faso</t>
  </si>
  <si>
    <t>Burundi</t>
  </si>
  <si>
    <t xml:space="preserve">Cameroon </t>
  </si>
  <si>
    <t xml:space="preserve">Cape Verde </t>
  </si>
  <si>
    <t xml:space="preserve">Central African Republic </t>
  </si>
  <si>
    <t xml:space="preserve">Chad </t>
  </si>
  <si>
    <t xml:space="preserve">Comoro Islands </t>
  </si>
  <si>
    <t>Congo</t>
  </si>
  <si>
    <t>Côte d'Ivoire</t>
  </si>
  <si>
    <t>Djibouti</t>
  </si>
  <si>
    <t xml:space="preserve">Egypt </t>
  </si>
  <si>
    <t xml:space="preserve">Equatorial Guinea </t>
  </si>
  <si>
    <t xml:space="preserve">Eritrea and Ethiopia </t>
  </si>
  <si>
    <t>Gabon</t>
  </si>
  <si>
    <t xml:space="preserve">Gambia </t>
  </si>
  <si>
    <t>Ghana</t>
  </si>
  <si>
    <t xml:space="preserve">Guinea </t>
  </si>
  <si>
    <t xml:space="preserve">Guinea Bissau </t>
  </si>
  <si>
    <t>Kenya</t>
  </si>
  <si>
    <t>Lesotho</t>
  </si>
  <si>
    <t>Liberia</t>
  </si>
  <si>
    <t xml:space="preserve">Libya </t>
  </si>
  <si>
    <t>Madagascar</t>
  </si>
  <si>
    <t>Malawi</t>
  </si>
  <si>
    <t>Mali</t>
  </si>
  <si>
    <t xml:space="preserve">Mauritania </t>
  </si>
  <si>
    <t xml:space="preserve">Mauritius </t>
  </si>
  <si>
    <t xml:space="preserve">Morocco </t>
  </si>
  <si>
    <t>Mozambique</t>
  </si>
  <si>
    <t xml:space="preserve">Namibia </t>
  </si>
  <si>
    <t>Niger</t>
  </si>
  <si>
    <t>Nigeria</t>
  </si>
  <si>
    <t xml:space="preserve">Reunion </t>
  </si>
  <si>
    <t>Rwanda</t>
  </si>
  <si>
    <t xml:space="preserve">São Tomé and Principe </t>
  </si>
  <si>
    <t xml:space="preserve">Senegal </t>
  </si>
  <si>
    <t>Seychelles</t>
  </si>
  <si>
    <t>Sierra Leone</t>
  </si>
  <si>
    <t xml:space="preserve">Somalia </t>
  </si>
  <si>
    <t xml:space="preserve">Sudan </t>
  </si>
  <si>
    <t>Swaziland</t>
  </si>
  <si>
    <t xml:space="preserve">Tanzania </t>
  </si>
  <si>
    <t>Togo</t>
  </si>
  <si>
    <t xml:space="preserve">Tunisia </t>
  </si>
  <si>
    <t xml:space="preserve">Uganda </t>
  </si>
  <si>
    <t xml:space="preserve">Zaire </t>
  </si>
  <si>
    <t xml:space="preserve">Zambia </t>
  </si>
  <si>
    <t>Zimbabwe</t>
  </si>
  <si>
    <t>MOR</t>
  </si>
  <si>
    <t>Afghanistan</t>
  </si>
  <si>
    <t>Cambodia</t>
  </si>
  <si>
    <t>Laos</t>
  </si>
  <si>
    <t>Azerbaijan</t>
  </si>
  <si>
    <t>The Kingdom of Bulgaria</t>
  </si>
  <si>
    <t>Prime Dissenter</t>
  </si>
  <si>
    <t>Apparatus</t>
  </si>
  <si>
    <t>Military</t>
  </si>
  <si>
    <t>Bureaucratic</t>
  </si>
  <si>
    <t>Aristocratic</t>
  </si>
  <si>
    <t>Cartels</t>
  </si>
  <si>
    <t>MAY</t>
  </si>
  <si>
    <t>The Mayan Kingdom</t>
  </si>
  <si>
    <t>The National Han Republic of China</t>
  </si>
  <si>
    <t>Support Bon</t>
  </si>
  <si>
    <t>Milit</t>
  </si>
  <si>
    <t>Govt-Mods</t>
  </si>
  <si>
    <t>Econ Mods</t>
  </si>
  <si>
    <t>EP Mod</t>
  </si>
  <si>
    <t>IC Mod</t>
  </si>
  <si>
    <t>AP Mod</t>
  </si>
  <si>
    <t>STAB Mod</t>
  </si>
  <si>
    <t>TXP Mod</t>
  </si>
  <si>
    <t>MP Mod</t>
  </si>
  <si>
    <t>IT Mod</t>
  </si>
  <si>
    <t>Milit Mod</t>
  </si>
  <si>
    <t>Legalism</t>
  </si>
  <si>
    <t>Libertarian</t>
  </si>
  <si>
    <t>Communitarian</t>
  </si>
  <si>
    <t>Utilitarian</t>
  </si>
  <si>
    <t>Count</t>
  </si>
  <si>
    <t>NOT IMPLEMENTED</t>
  </si>
  <si>
    <t>Sonora</t>
  </si>
  <si>
    <t>Rio Grande</t>
  </si>
  <si>
    <t>Veracruz</t>
  </si>
  <si>
    <t>Zacatecas-Durango</t>
  </si>
  <si>
    <t>The Raiders of Zacatecas</t>
  </si>
  <si>
    <t>Sinaloa</t>
  </si>
  <si>
    <t>Oaxaca</t>
  </si>
  <si>
    <t>Yucatan</t>
  </si>
  <si>
    <t>Central Mexico</t>
  </si>
  <si>
    <t>OAX</t>
  </si>
  <si>
    <t>The Oaxaca Commune</t>
  </si>
  <si>
    <t>The Mexican Republic</t>
  </si>
  <si>
    <t>Classical Physics</t>
  </si>
  <si>
    <t>Technology</t>
  </si>
  <si>
    <t>Differential Calculus</t>
  </si>
  <si>
    <t>Chemistry</t>
  </si>
  <si>
    <t>Applied Electricity</t>
  </si>
  <si>
    <t>Radio Transmission</t>
  </si>
  <si>
    <t>Theory of Relativity</t>
  </si>
  <si>
    <t>Atomic Theory</t>
  </si>
  <si>
    <t>Internal Combustion</t>
  </si>
  <si>
    <t>Materials Development</t>
  </si>
  <si>
    <t>Refrigeration</t>
  </si>
  <si>
    <t>Electronics</t>
  </si>
  <si>
    <t>Fission Power</t>
  </si>
  <si>
    <t>Mass Production</t>
  </si>
  <si>
    <t>Powered Flight</t>
  </si>
  <si>
    <t>Cryogenics</t>
  </si>
  <si>
    <t>Semiconductors</t>
  </si>
  <si>
    <t>Electronic Computers</t>
  </si>
  <si>
    <t>Applied Electromagnetics</t>
  </si>
  <si>
    <t>Quantum Mechanics</t>
  </si>
  <si>
    <t>Aerospace Engineering</t>
  </si>
  <si>
    <t>Orbital Spaceflight</t>
  </si>
  <si>
    <t>Plastics</t>
  </si>
  <si>
    <t>Industrial Metallurgy</t>
  </si>
  <si>
    <t>Integrated Circuits</t>
  </si>
  <si>
    <t>Robotic Manufacturing</t>
  </si>
  <si>
    <t>Composites</t>
  </si>
  <si>
    <t>Information Networks</t>
  </si>
  <si>
    <t>Fiber Optics</t>
  </si>
  <si>
    <t>Nonlinear Mathematics</t>
  </si>
  <si>
    <t>Autonomous Systems</t>
  </si>
  <si>
    <t>Deep Space Exploration</t>
  </si>
  <si>
    <t>Superconductors</t>
  </si>
  <si>
    <t>Fusion Power</t>
  </si>
  <si>
    <t>Optical Computers</t>
  </si>
  <si>
    <t>Artificial Intelligence</t>
  </si>
  <si>
    <t>Nanotechnology</t>
  </si>
  <si>
    <t>ID</t>
  </si>
  <si>
    <t>Prereq.</t>
  </si>
  <si>
    <t>1,2</t>
  </si>
  <si>
    <t>4,5</t>
  </si>
  <si>
    <t>6,7</t>
  </si>
  <si>
    <t>16,17</t>
  </si>
  <si>
    <t>15,27,28,29</t>
  </si>
  <si>
    <t>19,32</t>
  </si>
  <si>
    <t>19,27,28,32</t>
  </si>
  <si>
    <t>29,30</t>
  </si>
  <si>
    <t>19,22,23</t>
  </si>
  <si>
    <t>Base S:</t>
  </si>
  <si>
    <t>S</t>
  </si>
  <si>
    <t>Base S</t>
  </si>
  <si>
    <t>Sci</t>
  </si>
  <si>
    <t>Sci Mod</t>
  </si>
  <si>
    <t>Dissem</t>
  </si>
  <si>
    <t>Year</t>
  </si>
  <si>
    <t>Bonus EP</t>
  </si>
  <si>
    <t>Bonus IC</t>
  </si>
  <si>
    <t>Bonus MP</t>
  </si>
  <si>
    <t>First</t>
  </si>
  <si>
    <t>PGR</t>
  </si>
  <si>
    <t>IGR</t>
  </si>
  <si>
    <t>PNT</t>
  </si>
  <si>
    <t>ICNT</t>
  </si>
  <si>
    <t>EPREIN</t>
  </si>
  <si>
    <t>EPRIN E</t>
  </si>
  <si>
    <t>Bailouts for Industry</t>
  </si>
  <si>
    <t>%Gro</t>
  </si>
  <si>
    <t>Settler Encouragement</t>
  </si>
  <si>
    <t>Centralize the Government</t>
  </si>
  <si>
    <t>Effort</t>
  </si>
  <si>
    <t>Power</t>
  </si>
  <si>
    <t>To the Ramparts, Patriots</t>
  </si>
  <si>
    <t>EPIC</t>
  </si>
  <si>
    <t>EP/POP</t>
  </si>
  <si>
    <t>Quality</t>
  </si>
  <si>
    <t>Good</t>
  </si>
  <si>
    <t>Average</t>
  </si>
  <si>
    <t>Poor</t>
  </si>
  <si>
    <t>Qcoef</t>
  </si>
  <si>
    <t>Excellent</t>
  </si>
  <si>
    <t>Military Build-Up</t>
  </si>
  <si>
    <t>The Holy People's Republic of Thailand</t>
  </si>
  <si>
    <t>MPC</t>
  </si>
  <si>
    <t>MOB</t>
  </si>
  <si>
    <t>Egalitarian</t>
  </si>
  <si>
    <t>Dissent</t>
  </si>
  <si>
    <t>Worldwide Economic Growth</t>
  </si>
  <si>
    <t>Description</t>
  </si>
  <si>
    <t>Value</t>
  </si>
  <si>
    <t>This Year:</t>
  </si>
  <si>
    <t>Bust</t>
  </si>
  <si>
    <t>Bull</t>
  </si>
  <si>
    <t>Collapse</t>
  </si>
  <si>
    <t>Bear</t>
  </si>
  <si>
    <t>Expected:</t>
  </si>
  <si>
    <t>Median:</t>
  </si>
  <si>
    <t>INDEX</t>
  </si>
  <si>
    <t>Mrkt Sens.</t>
  </si>
  <si>
    <t>Mrkt Sens</t>
  </si>
  <si>
    <t>MS</t>
  </si>
  <si>
    <t>5-Year Plan</t>
  </si>
  <si>
    <t>The Holy Kingdom of Thailand</t>
  </si>
  <si>
    <t>FullName</t>
  </si>
  <si>
    <t>StartMP</t>
  </si>
  <si>
    <t>MA</t>
  </si>
  <si>
    <t>IA</t>
  </si>
  <si>
    <t>IS</t>
  </si>
  <si>
    <t>DA</t>
  </si>
  <si>
    <t>DS</t>
  </si>
  <si>
    <t>FA</t>
  </si>
  <si>
    <t>FS</t>
  </si>
  <si>
    <t>AA</t>
  </si>
  <si>
    <t>AS</t>
  </si>
  <si>
    <t>SA</t>
  </si>
  <si>
    <t>SS</t>
  </si>
  <si>
    <t>Development</t>
  </si>
  <si>
    <t>Acceptance</t>
  </si>
  <si>
    <t>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</si>
</sst>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#,\K"/>
    <numFmt numFmtId="165" formatCode="0.0"/>
    <numFmt numFmtId="166" formatCode="0.0%"/>
    <numFmt numFmtId="167" formatCode="0.000000000000000%"/>
    <numFmt numFmtId="168" formatCode="0.000%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theme="1" tint="4.9989318521683403E-2"/>
      </left>
      <right style="thick">
        <color theme="1" tint="4.9989318521683403E-2"/>
      </right>
      <top/>
      <bottom/>
      <diagonal/>
    </border>
  </borders>
  <cellStyleXfs count="86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7">
    <xf numFmtId="0" fontId="0" fillId="0" borderId="0" xfId="0"/>
    <xf numFmtId="3" fontId="0" fillId="0" borderId="0" xfId="0" applyNumberFormat="1"/>
    <xf numFmtId="3" fontId="4" fillId="0" borderId="0" xfId="0" applyNumberFormat="1" applyFont="1"/>
    <xf numFmtId="10" fontId="0" fillId="0" borderId="0" xfId="0" applyNumberFormat="1"/>
    <xf numFmtId="3" fontId="5" fillId="0" borderId="0" xfId="0" applyNumberFormat="1" applyFont="1"/>
    <xf numFmtId="0" fontId="5" fillId="0" borderId="0" xfId="0" applyFont="1"/>
    <xf numFmtId="0" fontId="4" fillId="0" borderId="0" xfId="0" applyFont="1"/>
    <xf numFmtId="1" fontId="5" fillId="0" borderId="0" xfId="0" applyNumberFormat="1" applyFont="1"/>
    <xf numFmtId="1" fontId="0" fillId="0" borderId="0" xfId="0" applyNumberFormat="1" applyFont="1"/>
    <xf numFmtId="164" fontId="0" fillId="0" borderId="0" xfId="0" applyNumberFormat="1"/>
    <xf numFmtId="164" fontId="5" fillId="0" borderId="0" xfId="0" applyNumberFormat="1" applyFont="1"/>
    <xf numFmtId="164" fontId="0" fillId="0" borderId="0" xfId="0" applyNumberFormat="1" applyFont="1"/>
    <xf numFmtId="9" fontId="0" fillId="0" borderId="0" xfId="0" applyNumberFormat="1"/>
    <xf numFmtId="1" fontId="4" fillId="0" borderId="0" xfId="0" applyNumberFormat="1" applyFont="1"/>
    <xf numFmtId="1" fontId="4" fillId="0" borderId="0" xfId="0" applyNumberFormat="1" applyFont="1" applyAlignment="1">
      <alignment horizontal="center" vertical="center"/>
    </xf>
    <xf numFmtId="0" fontId="0" fillId="3" borderId="0" xfId="0" applyFill="1"/>
    <xf numFmtId="164" fontId="0" fillId="3" borderId="0" xfId="0" applyNumberFormat="1" applyFill="1"/>
    <xf numFmtId="1" fontId="4" fillId="3" borderId="0" xfId="0" applyNumberFormat="1" applyFont="1" applyFill="1" applyAlignment="1">
      <alignment horizontal="center" vertical="center"/>
    </xf>
    <xf numFmtId="165" fontId="5" fillId="0" borderId="0" xfId="0" applyNumberFormat="1" applyFont="1"/>
    <xf numFmtId="165" fontId="0" fillId="0" borderId="0" xfId="0" applyNumberFormat="1" applyFont="1"/>
    <xf numFmtId="0" fontId="6" fillId="2" borderId="0" xfId="111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 applyBorder="1"/>
    <xf numFmtId="165" fontId="0" fillId="0" borderId="0" xfId="0" applyNumberFormat="1"/>
    <xf numFmtId="0" fontId="0" fillId="0" borderId="3" xfId="0" applyBorder="1"/>
    <xf numFmtId="0" fontId="4" fillId="0" borderId="3" xfId="0" applyFont="1" applyBorder="1"/>
    <xf numFmtId="2" fontId="0" fillId="0" borderId="0" xfId="0" applyNumberFormat="1"/>
    <xf numFmtId="166" fontId="0" fillId="0" borderId="0" xfId="0" applyNumberFormat="1"/>
    <xf numFmtId="0" fontId="4" fillId="4" borderId="0" xfId="0" applyFont="1" applyFill="1"/>
    <xf numFmtId="0" fontId="0" fillId="4" borderId="0" xfId="0" applyFill="1"/>
    <xf numFmtId="166" fontId="4" fillId="4" borderId="0" xfId="0" applyNumberFormat="1" applyFont="1" applyFill="1"/>
    <xf numFmtId="0" fontId="0" fillId="0" borderId="4" xfId="0" applyBorder="1"/>
    <xf numFmtId="166" fontId="0" fillId="3" borderId="0" xfId="0" applyNumberFormat="1" applyFill="1" applyAlignment="1">
      <alignment horizontal="center"/>
    </xf>
    <xf numFmtId="10" fontId="0" fillId="3" borderId="0" xfId="0" applyNumberFormat="1" applyFill="1"/>
    <xf numFmtId="9" fontId="5" fillId="0" borderId="0" xfId="0" applyNumberFormat="1" applyFont="1"/>
    <xf numFmtId="9" fontId="0" fillId="0" borderId="0" xfId="0" applyNumberFormat="1" applyFont="1"/>
    <xf numFmtId="0" fontId="9" fillId="0" borderId="0" xfId="0" applyFont="1" applyFill="1" applyAlignment="1">
      <alignment horizontal="left"/>
    </xf>
    <xf numFmtId="3" fontId="9" fillId="0" borderId="0" xfId="0" applyNumberFormat="1" applyFont="1" applyFill="1"/>
    <xf numFmtId="0" fontId="9" fillId="0" borderId="0" xfId="0" applyFont="1" applyFill="1"/>
    <xf numFmtId="164" fontId="0" fillId="3" borderId="0" xfId="0" applyNumberFormat="1" applyFont="1" applyFill="1" applyAlignment="1">
      <alignment horizontal="right"/>
    </xf>
    <xf numFmtId="0" fontId="0" fillId="3" borderId="0" xfId="0" applyFont="1" applyFill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  <xf numFmtId="9" fontId="7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0" fontId="7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7" fontId="0" fillId="0" borderId="0" xfId="0" applyNumberFormat="1"/>
    <xf numFmtId="10" fontId="4" fillId="0" borderId="0" xfId="0" applyNumberFormat="1" applyFont="1"/>
    <xf numFmtId="10" fontId="4" fillId="0" borderId="0" xfId="0" applyNumberFormat="1" applyFont="1" applyAlignment="1">
      <alignment horizontal="right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4" fillId="3" borderId="0" xfId="0" applyNumberFormat="1" applyFont="1" applyFill="1" applyAlignment="1">
      <alignment horizontal="center" vertical="center"/>
    </xf>
    <xf numFmtId="165" fontId="4" fillId="0" borderId="0" xfId="0" applyNumberFormat="1" applyFont="1" applyAlignment="1">
      <alignment horizontal="right" vertical="center"/>
    </xf>
    <xf numFmtId="165" fontId="0" fillId="3" borderId="0" xfId="0" applyNumberFormat="1" applyFill="1"/>
    <xf numFmtId="165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3" borderId="0" xfId="0" applyNumberFormat="1" applyFill="1"/>
    <xf numFmtId="1" fontId="4" fillId="0" borderId="0" xfId="0" applyNumberFormat="1" applyFont="1" applyAlignment="1">
      <alignment horizontal="left"/>
    </xf>
    <xf numFmtId="1" fontId="0" fillId="0" borderId="0" xfId="0" applyNumberFormat="1"/>
    <xf numFmtId="165" fontId="4" fillId="0" borderId="0" xfId="0" applyNumberFormat="1" applyFont="1" applyAlignment="1">
      <alignment horizontal="left"/>
    </xf>
    <xf numFmtId="167" fontId="4" fillId="0" borderId="0" xfId="0" applyNumberFormat="1" applyFont="1"/>
    <xf numFmtId="10" fontId="0" fillId="3" borderId="1" xfId="0" applyNumberFormat="1" applyFill="1" applyBorder="1"/>
    <xf numFmtId="10" fontId="0" fillId="3" borderId="2" xfId="0" applyNumberFormat="1" applyFill="1" applyBorder="1"/>
    <xf numFmtId="10" fontId="4" fillId="0" borderId="1" xfId="0" applyNumberFormat="1" applyFont="1" applyBorder="1" applyAlignment="1">
      <alignment horizontal="right"/>
    </xf>
    <xf numFmtId="10" fontId="4" fillId="0" borderId="2" xfId="0" applyNumberFormat="1" applyFont="1" applyBorder="1" applyAlignment="1">
      <alignment horizontal="right"/>
    </xf>
    <xf numFmtId="10" fontId="0" fillId="0" borderId="1" xfId="0" applyNumberFormat="1" applyBorder="1"/>
    <xf numFmtId="10" fontId="0" fillId="0" borderId="2" xfId="0" applyNumberFormat="1" applyBorder="1"/>
    <xf numFmtId="168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10" fontId="0" fillId="3" borderId="0" xfId="0" applyNumberFormat="1" applyFont="1" applyFill="1" applyAlignment="1">
      <alignment horizontal="right" vertical="center"/>
    </xf>
    <xf numFmtId="10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0" fillId="4" borderId="0" xfId="0" applyFont="1" applyFill="1"/>
    <xf numFmtId="2" fontId="10" fillId="0" borderId="0" xfId="0" applyNumberFormat="1" applyFont="1" applyAlignment="1">
      <alignment horizontal="center" vertical="center" shrinkToFit="1"/>
    </xf>
    <xf numFmtId="165" fontId="10" fillId="0" borderId="0" xfId="0" applyNumberFormat="1" applyFont="1" applyAlignment="1">
      <alignment horizontal="center" shrinkToFit="1"/>
    </xf>
    <xf numFmtId="0" fontId="0" fillId="5" borderId="0" xfId="0" applyFill="1"/>
    <xf numFmtId="0" fontId="10" fillId="0" borderId="0" xfId="0" applyFont="1" applyAlignment="1">
      <alignment horizontal="right"/>
    </xf>
    <xf numFmtId="10" fontId="10" fillId="0" borderId="0" xfId="0" applyNumberFormat="1" applyFont="1" applyAlignment="1">
      <alignment horizontal="right"/>
    </xf>
    <xf numFmtId="0" fontId="10" fillId="0" borderId="1" xfId="0" applyFont="1" applyBorder="1" applyAlignment="1">
      <alignment horizontal="right"/>
    </xf>
    <xf numFmtId="165" fontId="0" fillId="0" borderId="0" xfId="0" applyNumberFormat="1" applyBorder="1"/>
    <xf numFmtId="10" fontId="0" fillId="0" borderId="0" xfId="0" applyNumberFormat="1" applyBorder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1" fillId="0" borderId="0" xfId="0" applyFont="1"/>
    <xf numFmtId="0" fontId="10" fillId="0" borderId="0" xfId="0" applyFont="1"/>
    <xf numFmtId="10" fontId="10" fillId="0" borderId="0" xfId="0" applyNumberFormat="1" applyFont="1"/>
    <xf numFmtId="165" fontId="4" fillId="0" borderId="0" xfId="0" applyNumberFormat="1" applyFont="1"/>
    <xf numFmtId="165" fontId="10" fillId="0" borderId="0" xfId="0" applyNumberFormat="1" applyFont="1"/>
    <xf numFmtId="165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4" fillId="0" borderId="0" xfId="0" applyFont="1" applyFill="1" applyBorder="1"/>
    <xf numFmtId="165" fontId="8" fillId="0" borderId="0" xfId="0" applyNumberFormat="1" applyFont="1"/>
    <xf numFmtId="1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 vertical="center"/>
    </xf>
    <xf numFmtId="1" fontId="0" fillId="0" borderId="0" xfId="0" applyNumberFormat="1" applyFont="1" applyAlignment="1">
      <alignment horizontal="center" vertical="center"/>
    </xf>
    <xf numFmtId="10" fontId="4" fillId="3" borderId="0" xfId="0" applyNumberFormat="1" applyFont="1" applyFill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5" fillId="0" borderId="0" xfId="0" applyNumberFormat="1" applyFont="1"/>
    <xf numFmtId="10" fontId="4" fillId="4" borderId="0" xfId="0" applyNumberFormat="1" applyFont="1" applyFill="1"/>
    <xf numFmtId="165" fontId="10" fillId="4" borderId="0" xfId="0" applyNumberFormat="1" applyFont="1" applyFill="1"/>
    <xf numFmtId="165" fontId="4" fillId="4" borderId="0" xfId="0" applyNumberFormat="1" applyFont="1" applyFill="1"/>
    <xf numFmtId="0" fontId="5" fillId="4" borderId="0" xfId="0" applyFont="1" applyFill="1"/>
    <xf numFmtId="2" fontId="0" fillId="6" borderId="5" xfId="0" applyNumberFormat="1" applyFont="1" applyFill="1" applyBorder="1"/>
    <xf numFmtId="2" fontId="4" fillId="6" borderId="6" xfId="0" applyNumberFormat="1" applyFont="1" applyFill="1" applyBorder="1"/>
    <xf numFmtId="2" fontId="0" fillId="6" borderId="6" xfId="0" applyNumberFormat="1" applyFont="1" applyFill="1" applyBorder="1"/>
    <xf numFmtId="0" fontId="0" fillId="5" borderId="7" xfId="0" applyFill="1" applyBorder="1"/>
    <xf numFmtId="0" fontId="5" fillId="4" borderId="7" xfId="0" applyFont="1" applyFill="1" applyBorder="1"/>
    <xf numFmtId="0" fontId="0" fillId="0" borderId="7" xfId="0" applyBorder="1"/>
    <xf numFmtId="2" fontId="5" fillId="0" borderId="0" xfId="0" applyNumberFormat="1" applyFont="1"/>
    <xf numFmtId="2" fontId="4" fillId="3" borderId="0" xfId="0" applyNumberFormat="1" applyFont="1" applyFill="1" applyAlignment="1">
      <alignment horizontal="right" vertical="center"/>
    </xf>
    <xf numFmtId="1" fontId="4" fillId="3" borderId="0" xfId="0" applyNumberFormat="1" applyFont="1" applyFill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1" fontId="0" fillId="0" borderId="0" xfId="0" applyNumberFormat="1" applyAlignment="1">
      <alignment horizontal="right"/>
    </xf>
    <xf numFmtId="0" fontId="12" fillId="0" borderId="0" xfId="0" applyFont="1"/>
    <xf numFmtId="0" fontId="7" fillId="0" borderId="0" xfId="0" applyFont="1"/>
    <xf numFmtId="9" fontId="0" fillId="3" borderId="0" xfId="0" applyNumberFormat="1" applyFill="1"/>
    <xf numFmtId="9" fontId="4" fillId="0" borderId="0" xfId="0" applyNumberFormat="1" applyFont="1" applyAlignment="1">
      <alignment horizontal="right"/>
    </xf>
    <xf numFmtId="166" fontId="4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0" fillId="3" borderId="1" xfId="0" applyFont="1" applyFill="1" applyBorder="1" applyAlignment="1">
      <alignment horizontal="center"/>
    </xf>
    <xf numFmtId="10" fontId="4" fillId="3" borderId="0" xfId="0" applyNumberFormat="1" applyFont="1" applyFill="1" applyAlignment="1">
      <alignment horizontal="center"/>
    </xf>
    <xf numFmtId="10" fontId="0" fillId="0" borderId="0" xfId="0" applyNumberFormat="1" applyAlignment="1">
      <alignment horizontal="center"/>
    </xf>
    <xf numFmtId="0" fontId="4" fillId="3" borderId="1" xfId="0" applyFont="1" applyFill="1" applyBorder="1" applyAlignment="1">
      <alignment horizontal="center"/>
    </xf>
    <xf numFmtId="9" fontId="4" fillId="3" borderId="0" xfId="0" applyNumberFormat="1" applyFont="1" applyFill="1" applyAlignment="1">
      <alignment horizontal="center"/>
    </xf>
    <xf numFmtId="9" fontId="4" fillId="0" borderId="0" xfId="0" applyNumberFormat="1" applyFont="1" applyAlignment="1">
      <alignment horizontal="center"/>
    </xf>
    <xf numFmtId="0" fontId="10" fillId="5" borderId="0" xfId="0" applyFont="1" applyFill="1" applyAlignment="1">
      <alignment horizontal="center"/>
    </xf>
    <xf numFmtId="0" fontId="0" fillId="0" borderId="0" xfId="0" applyAlignment="1"/>
    <xf numFmtId="2" fontId="0" fillId="0" borderId="0" xfId="0" applyNumberFormat="1" applyFont="1"/>
  </cellXfs>
  <cellStyles count="868">
    <cellStyle name="40% - Accent1" xfId="111" builtinId="3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"/>
  <sheetViews>
    <sheetView workbookViewId="0">
      <selection activeCell="X5" sqref="X5"/>
    </sheetView>
  </sheetViews>
  <sheetFormatPr defaultRowHeight="15" x14ac:dyDescent="0.25"/>
  <cols>
    <col min="1" max="1" width="8" bestFit="1" customWidth="1"/>
    <col min="2" max="2" width="23.28515625" customWidth="1"/>
    <col min="3" max="3" width="12" bestFit="1" customWidth="1"/>
    <col min="4" max="4" width="13.5703125" bestFit="1" customWidth="1"/>
    <col min="5" max="5" width="10.42578125" bestFit="1" customWidth="1"/>
    <col min="6" max="6" width="6.85546875" bestFit="1" customWidth="1"/>
    <col min="7" max="7" width="8" bestFit="1" customWidth="1"/>
    <col min="8" max="19" width="4.28515625" customWidth="1"/>
    <col min="21" max="21" width="12.85546875" customWidth="1"/>
    <col min="22" max="22" width="10.7109375" bestFit="1" customWidth="1"/>
    <col min="23" max="23" width="7.5703125" style="25" customWidth="1"/>
    <col min="24" max="24" width="7.7109375" customWidth="1"/>
    <col min="25" max="25" width="8" customWidth="1"/>
    <col min="26" max="26" width="7" bestFit="1" customWidth="1"/>
  </cols>
  <sheetData>
    <row r="1" spans="1:26" x14ac:dyDescent="0.25">
      <c r="A1" t="s">
        <v>1</v>
      </c>
      <c r="B1" t="s">
        <v>485</v>
      </c>
      <c r="C1" t="s">
        <v>345</v>
      </c>
      <c r="D1" t="s">
        <v>257</v>
      </c>
      <c r="E1" t="s">
        <v>228</v>
      </c>
      <c r="F1" t="s">
        <v>52</v>
      </c>
      <c r="G1" t="s">
        <v>486</v>
      </c>
      <c r="H1" t="s">
        <v>487</v>
      </c>
      <c r="I1" t="s">
        <v>482</v>
      </c>
      <c r="J1" t="s">
        <v>488</v>
      </c>
      <c r="K1" t="s">
        <v>489</v>
      </c>
      <c r="L1" t="s">
        <v>490</v>
      </c>
      <c r="M1" t="s">
        <v>491</v>
      </c>
      <c r="N1" t="s">
        <v>492</v>
      </c>
      <c r="O1" t="s">
        <v>493</v>
      </c>
      <c r="P1" t="s">
        <v>494</v>
      </c>
      <c r="Q1" t="s">
        <v>495</v>
      </c>
      <c r="R1" t="s">
        <v>496</v>
      </c>
      <c r="S1" t="s">
        <v>497</v>
      </c>
      <c r="U1" t="s">
        <v>21</v>
      </c>
      <c r="V1" t="s">
        <v>10</v>
      </c>
      <c r="W1" s="25" t="s">
        <v>498</v>
      </c>
      <c r="X1" t="s">
        <v>499</v>
      </c>
      <c r="Y1" t="s">
        <v>500</v>
      </c>
      <c r="Z1" t="s">
        <v>47</v>
      </c>
    </row>
    <row r="2" spans="1:26" x14ac:dyDescent="0.25">
      <c r="A2" t="str">
        <f>Stats!A3</f>
        <v>ENG</v>
      </c>
      <c r="B2" t="str">
        <f>Stats!B3</f>
        <v>The United Kingdom of Great Britain and Ireland</v>
      </c>
      <c r="C2" t="str">
        <f>Govt!C3</f>
        <v>Bureaucratic</v>
      </c>
      <c r="D2" t="str">
        <f>Govt!D3</f>
        <v>Hegemony</v>
      </c>
      <c r="E2" t="str">
        <f>Govt!E3</f>
        <v>Elective</v>
      </c>
      <c r="F2" s="74">
        <f>Govt!AN3*100</f>
        <v>45</v>
      </c>
      <c r="G2">
        <f>Stats!G3</f>
        <v>339</v>
      </c>
      <c r="H2" s="74">
        <f>Govt!U3*100</f>
        <v>25</v>
      </c>
      <c r="I2" s="74">
        <f>Govt!V3*100</f>
        <v>75</v>
      </c>
      <c r="J2" s="74">
        <f>Govt!W3*100</f>
        <v>45</v>
      </c>
      <c r="K2" s="74">
        <f>Govt!X3*100</f>
        <v>90</v>
      </c>
      <c r="L2" s="74">
        <f>Govt!Y3*100</f>
        <v>15</v>
      </c>
      <c r="M2" s="74">
        <f>Govt!Z3*100</f>
        <v>45</v>
      </c>
      <c r="N2" s="74">
        <f>Govt!AA3*100</f>
        <v>10</v>
      </c>
      <c r="O2" s="74">
        <f>Govt!AB3*100</f>
        <v>15</v>
      </c>
      <c r="P2" s="74">
        <f>Govt!AC3*100</f>
        <v>2</v>
      </c>
      <c r="Q2" s="74">
        <f>Govt!AD3*100</f>
        <v>1</v>
      </c>
      <c r="R2" s="74">
        <f>Govt!AE3*100</f>
        <v>3</v>
      </c>
      <c r="S2" s="74">
        <f>Govt!AF3*100</f>
        <v>5</v>
      </c>
      <c r="U2" t="str">
        <f>Regions!B2</f>
        <v>Austria</v>
      </c>
      <c r="V2">
        <f>Regions!C2</f>
        <v>6684000</v>
      </c>
      <c r="W2" s="25">
        <f>Regions!D2</f>
        <v>34</v>
      </c>
      <c r="X2" s="25">
        <f>Regions!I2</f>
        <v>1</v>
      </c>
      <c r="Y2" s="25">
        <f>Regions!G2</f>
        <v>0</v>
      </c>
      <c r="Z2" s="25" t="str">
        <f>Regions!K2</f>
        <v>AUS</v>
      </c>
    </row>
    <row r="3" spans="1:26" x14ac:dyDescent="0.25">
      <c r="A3" t="str">
        <f>Stats!A4</f>
        <v>FRA</v>
      </c>
      <c r="B3" t="str">
        <f>Stats!B4</f>
        <v>The French Social Democratic Republic</v>
      </c>
      <c r="C3" t="str">
        <f>Govt!C4</f>
        <v>Bureaucratic</v>
      </c>
      <c r="D3" t="str">
        <f>Govt!D4</f>
        <v>Unitary</v>
      </c>
      <c r="E3" t="str">
        <f>Govt!E4</f>
        <v>Elective</v>
      </c>
      <c r="F3" s="74">
        <f>Govt!AN4*100</f>
        <v>25</v>
      </c>
      <c r="G3">
        <f>Stats!G4</f>
        <v>446</v>
      </c>
      <c r="H3" s="74">
        <f>Govt!U4*100</f>
        <v>2</v>
      </c>
      <c r="I3" s="74">
        <f>Govt!V4*100</f>
        <v>20</v>
      </c>
      <c r="J3" s="74">
        <f>Govt!W4*100</f>
        <v>14.000000000000002</v>
      </c>
      <c r="K3" s="74">
        <f>Govt!X4*100</f>
        <v>55.000000000000007</v>
      </c>
      <c r="L3" s="74">
        <f>Govt!Y4*100</f>
        <v>30</v>
      </c>
      <c r="M3" s="74">
        <f>Govt!Z4*100</f>
        <v>80</v>
      </c>
      <c r="N3" s="74">
        <f>Govt!AA4*100</f>
        <v>4</v>
      </c>
      <c r="O3" s="74">
        <f>Govt!AB4*100</f>
        <v>1</v>
      </c>
      <c r="P3" s="74">
        <f>Govt!AC4*100</f>
        <v>5</v>
      </c>
      <c r="Q3" s="74">
        <f>Govt!AD4*100</f>
        <v>20</v>
      </c>
      <c r="R3" s="74">
        <f>Govt!AE4*100</f>
        <v>45</v>
      </c>
      <c r="S3" s="74">
        <f>Govt!AF4*100</f>
        <v>90</v>
      </c>
      <c r="U3" t="str">
        <f>Regions!B3</f>
        <v>Belgium</v>
      </c>
      <c r="V3">
        <f>Regions!C3</f>
        <v>8076000</v>
      </c>
      <c r="W3" s="25">
        <f>Regions!D3</f>
        <v>24</v>
      </c>
      <c r="X3" s="25">
        <f>Regions!I3</f>
        <v>1</v>
      </c>
      <c r="Y3" s="25">
        <f>Regions!G3</f>
        <v>0</v>
      </c>
      <c r="Z3" s="25" t="str">
        <f>Regions!K3</f>
        <v>BEL</v>
      </c>
    </row>
    <row r="4" spans="1:26" x14ac:dyDescent="0.25">
      <c r="A4" t="str">
        <f>Stats!A5</f>
        <v>RUS</v>
      </c>
      <c r="B4" t="str">
        <f>Stats!B5</f>
        <v>The Russian Empire</v>
      </c>
      <c r="C4" t="str">
        <f>Govt!C5</f>
        <v>Aristocratic</v>
      </c>
      <c r="D4" t="str">
        <f>Govt!D5</f>
        <v>Hegemony</v>
      </c>
      <c r="E4" t="str">
        <f>Govt!E5</f>
        <v>Hereditary</v>
      </c>
      <c r="F4" s="74">
        <f>Govt!AN5*100</f>
        <v>70</v>
      </c>
      <c r="G4">
        <f>Stats!G5</f>
        <v>680</v>
      </c>
      <c r="H4" s="74">
        <f>Govt!U5*100</f>
        <v>20</v>
      </c>
      <c r="I4" s="74">
        <f>Govt!V5*100</f>
        <v>90</v>
      </c>
      <c r="J4" s="74">
        <f>Govt!W5*100</f>
        <v>30</v>
      </c>
      <c r="K4" s="74">
        <f>Govt!X5*100</f>
        <v>90</v>
      </c>
      <c r="L4" s="74">
        <f>Govt!Y5*100</f>
        <v>12</v>
      </c>
      <c r="M4" s="74">
        <f>Govt!Z5*100</f>
        <v>5</v>
      </c>
      <c r="N4" s="74">
        <f>Govt!AA5*100</f>
        <v>1</v>
      </c>
      <c r="O4" s="74">
        <f>Govt!AB5*100</f>
        <v>20</v>
      </c>
      <c r="P4" s="74">
        <f>Govt!AC5*100</f>
        <v>15</v>
      </c>
      <c r="Q4" s="74">
        <f>Govt!AD5*100</f>
        <v>1</v>
      </c>
      <c r="R4" s="74">
        <f>Govt!AE5*100</f>
        <v>22</v>
      </c>
      <c r="S4" s="74">
        <f>Govt!AF5*100</f>
        <v>5</v>
      </c>
      <c r="U4" t="str">
        <f>Regions!B4</f>
        <v>Denmark</v>
      </c>
      <c r="V4">
        <f>Regions!C4</f>
        <v>3542000</v>
      </c>
      <c r="W4" s="25">
        <f>Regions!D4</f>
        <v>18</v>
      </c>
      <c r="X4" s="25">
        <f>Regions!I4</f>
        <v>1</v>
      </c>
      <c r="Y4" s="25">
        <f>Regions!G4</f>
        <v>0</v>
      </c>
      <c r="Z4" s="25" t="str">
        <f>Regions!K4</f>
        <v>DMK</v>
      </c>
    </row>
    <row r="5" spans="1:26" x14ac:dyDescent="0.25">
      <c r="A5" t="str">
        <f>Stats!A6</f>
        <v>USA</v>
      </c>
      <c r="B5" t="str">
        <f>Stats!B6</f>
        <v>The United States of America</v>
      </c>
      <c r="C5" t="str">
        <f>Govt!C6</f>
        <v>Aristocratic</v>
      </c>
      <c r="D5" t="str">
        <f>Govt!D6</f>
        <v>Confederation</v>
      </c>
      <c r="E5" t="str">
        <f>Govt!E6</f>
        <v>Elective</v>
      </c>
      <c r="F5" s="74">
        <f>Govt!AN6*100</f>
        <v>40</v>
      </c>
      <c r="G5">
        <f>Stats!G6</f>
        <v>560</v>
      </c>
      <c r="H5" s="74">
        <f>Govt!U6*100</f>
        <v>0</v>
      </c>
      <c r="I5" s="74">
        <f>Govt!V6*100</f>
        <v>0</v>
      </c>
      <c r="J5" s="74">
        <f>Govt!W6*100</f>
        <v>45</v>
      </c>
      <c r="K5" s="74">
        <f>Govt!X6*100</f>
        <v>90</v>
      </c>
      <c r="L5" s="74">
        <f>Govt!Y6*100</f>
        <v>35</v>
      </c>
      <c r="M5" s="74">
        <f>Govt!Z6*100</f>
        <v>45</v>
      </c>
      <c r="N5" s="74">
        <f>Govt!AA6*100</f>
        <v>5</v>
      </c>
      <c r="O5" s="74">
        <f>Govt!AB6*100</f>
        <v>15</v>
      </c>
      <c r="P5" s="74">
        <f>Govt!AC6*100</f>
        <v>10</v>
      </c>
      <c r="Q5" s="74">
        <f>Govt!AD6*100</f>
        <v>1</v>
      </c>
      <c r="R5" s="74">
        <f>Govt!AE6*100</f>
        <v>5</v>
      </c>
      <c r="S5" s="74">
        <f>Govt!AF6*100</f>
        <v>1</v>
      </c>
      <c r="U5" t="str">
        <f>Regions!B5</f>
        <v>Finland</v>
      </c>
      <c r="V5">
        <f>Regions!C5</f>
        <v>3449000</v>
      </c>
      <c r="W5" s="25">
        <f>Regions!D5</f>
        <v>19</v>
      </c>
      <c r="X5" s="25">
        <f>Regions!I5</f>
        <v>0.25</v>
      </c>
      <c r="Y5" s="25">
        <f>Regions!G5</f>
        <v>0</v>
      </c>
      <c r="Z5" s="25" t="str">
        <f>Regions!K5</f>
        <v>RUS</v>
      </c>
    </row>
    <row r="6" spans="1:26" x14ac:dyDescent="0.25">
      <c r="A6" t="str">
        <f>Stats!A7</f>
        <v>ITA</v>
      </c>
      <c r="B6" t="str">
        <f>Stats!B7</f>
        <v>The Kingdom of Italy</v>
      </c>
      <c r="C6" t="str">
        <f>Govt!C7</f>
        <v>Aristocratic</v>
      </c>
      <c r="D6" t="str">
        <f>Govt!D7</f>
        <v>Hegemony</v>
      </c>
      <c r="E6" t="str">
        <f>Govt!E7</f>
        <v>Elective</v>
      </c>
      <c r="F6" s="74">
        <f>Govt!AN7*100</f>
        <v>35</v>
      </c>
      <c r="G6">
        <f>Stats!G7</f>
        <v>189</v>
      </c>
      <c r="H6" s="74">
        <f>Govt!U7*100</f>
        <v>25</v>
      </c>
      <c r="I6" s="74">
        <f>Govt!V7*100</f>
        <v>90</v>
      </c>
      <c r="J6" s="74">
        <f>Govt!W7*100</f>
        <v>20</v>
      </c>
      <c r="K6" s="74">
        <f>Govt!X7*100</f>
        <v>85</v>
      </c>
      <c r="L6" s="74">
        <f>Govt!Y7*100</f>
        <v>35</v>
      </c>
      <c r="M6" s="74">
        <f>Govt!Z7*100</f>
        <v>85</v>
      </c>
      <c r="N6" s="74">
        <f>Govt!AA7*100</f>
        <v>5</v>
      </c>
      <c r="O6" s="74">
        <f>Govt!AB7*100</f>
        <v>10</v>
      </c>
      <c r="P6" s="74">
        <f>Govt!AC7*100</f>
        <v>5</v>
      </c>
      <c r="Q6" s="74">
        <f>Govt!AD7*100</f>
        <v>10</v>
      </c>
      <c r="R6" s="74">
        <f>Govt!AE7*100</f>
        <v>10</v>
      </c>
      <c r="S6" s="74">
        <f>Govt!AF7*100</f>
        <v>15</v>
      </c>
      <c r="U6" t="str">
        <f>Regions!B6</f>
        <v>France</v>
      </c>
      <c r="V6">
        <f>Regions!C6</f>
        <v>41610000</v>
      </c>
      <c r="W6" s="25">
        <f>Regions!D6</f>
        <v>36</v>
      </c>
      <c r="X6" s="25">
        <f>Regions!I6</f>
        <v>1</v>
      </c>
      <c r="Y6" s="25">
        <f>Regions!G6</f>
        <v>0</v>
      </c>
      <c r="Z6" s="25" t="str">
        <f>Regions!K6</f>
        <v>FRA</v>
      </c>
    </row>
    <row r="7" spans="1:26" x14ac:dyDescent="0.25">
      <c r="A7" t="str">
        <f>Stats!A8</f>
        <v>AUS</v>
      </c>
      <c r="B7" t="str">
        <f>Stats!B8</f>
        <v>The United Republics of Austria and Bohemia</v>
      </c>
      <c r="C7" t="str">
        <f>Govt!C8</f>
        <v>Cartels</v>
      </c>
      <c r="D7" t="str">
        <f>Govt!D8</f>
        <v>Coalition</v>
      </c>
      <c r="E7" t="str">
        <f>Govt!E8</f>
        <v>Elective</v>
      </c>
      <c r="F7" s="74">
        <f>Govt!AN8*100</f>
        <v>12</v>
      </c>
      <c r="G7">
        <f>Stats!G8</f>
        <v>36</v>
      </c>
      <c r="H7" s="74">
        <f>Govt!U8*100</f>
        <v>20</v>
      </c>
      <c r="I7" s="74">
        <f>Govt!V8*100</f>
        <v>1</v>
      </c>
      <c r="J7" s="74">
        <f>Govt!W8*100</f>
        <v>5</v>
      </c>
      <c r="K7" s="74">
        <f>Govt!X8*100</f>
        <v>1</v>
      </c>
      <c r="L7" s="74">
        <f>Govt!Y8*100</f>
        <v>10</v>
      </c>
      <c r="M7" s="74">
        <f>Govt!Z8*100</f>
        <v>55.000000000000007</v>
      </c>
      <c r="N7" s="74">
        <f>Govt!AA8*100</f>
        <v>15</v>
      </c>
      <c r="O7" s="74">
        <f>Govt!AB8*100</f>
        <v>10</v>
      </c>
      <c r="P7" s="74">
        <f>Govt!AC8*100</f>
        <v>35</v>
      </c>
      <c r="Q7" s="74">
        <f>Govt!AD8*100</f>
        <v>95</v>
      </c>
      <c r="R7" s="74">
        <f>Govt!AE8*100</f>
        <v>15</v>
      </c>
      <c r="S7" s="74">
        <f>Govt!AF8*100</f>
        <v>25</v>
      </c>
      <c r="U7" t="str">
        <f>Regions!B7</f>
        <v>Germany</v>
      </c>
      <c r="V7">
        <f>Regions!C7</f>
        <v>65084000</v>
      </c>
      <c r="W7" s="25">
        <f>Regions!D7</f>
        <v>38</v>
      </c>
      <c r="X7" s="25">
        <f>Regions!I7</f>
        <v>1</v>
      </c>
      <c r="Y7" s="25">
        <f>Regions!G7</f>
        <v>0</v>
      </c>
      <c r="Z7" s="25" t="str">
        <f>Regions!K7</f>
        <v>GER</v>
      </c>
    </row>
    <row r="8" spans="1:26" x14ac:dyDescent="0.25">
      <c r="A8" t="str">
        <f>Stats!A9</f>
        <v>HUN</v>
      </c>
      <c r="B8" t="str">
        <f>Stats!B9</f>
        <v>The Hungarian Empire</v>
      </c>
      <c r="C8" t="str">
        <f>Govt!C9</f>
        <v>Aristocratic</v>
      </c>
      <c r="D8" t="str">
        <f>Govt!D9</f>
        <v>Hegemony</v>
      </c>
      <c r="E8" t="str">
        <f>Govt!E9</f>
        <v>Hereditary</v>
      </c>
      <c r="F8" s="74">
        <f>Govt!AN9*100</f>
        <v>35</v>
      </c>
      <c r="G8">
        <f>Stats!G9</f>
        <v>34</v>
      </c>
      <c r="H8" s="74">
        <f>Govt!U9*100</f>
        <v>35</v>
      </c>
      <c r="I8" s="74">
        <f>Govt!V9*100</f>
        <v>85</v>
      </c>
      <c r="J8" s="74">
        <f>Govt!W9*100</f>
        <v>20</v>
      </c>
      <c r="K8" s="74">
        <f>Govt!X9*100</f>
        <v>75</v>
      </c>
      <c r="L8" s="74">
        <f>Govt!Y9*100</f>
        <v>25</v>
      </c>
      <c r="M8" s="74">
        <f>Govt!Z9*100</f>
        <v>15</v>
      </c>
      <c r="N8" s="74">
        <f>Govt!AA9*100</f>
        <v>5</v>
      </c>
      <c r="O8" s="74">
        <f>Govt!AB9*100</f>
        <v>10</v>
      </c>
      <c r="P8" s="74">
        <f>Govt!AC9*100</f>
        <v>10</v>
      </c>
      <c r="Q8" s="74">
        <f>Govt!AD9*100</f>
        <v>1</v>
      </c>
      <c r="R8" s="74">
        <f>Govt!AE9*100</f>
        <v>5</v>
      </c>
      <c r="S8" s="74">
        <f>Govt!AF9*100</f>
        <v>1</v>
      </c>
      <c r="U8" t="str">
        <f>Regions!B8</f>
        <v>Ruhr</v>
      </c>
      <c r="V8">
        <f>Regions!C8</f>
        <v>38791717.947149999</v>
      </c>
      <c r="W8" s="25">
        <f>Regions!D8</f>
        <v>38</v>
      </c>
      <c r="X8" s="25">
        <f>Regions!I8</f>
        <v>1</v>
      </c>
      <c r="Y8" s="25">
        <f>Regions!G8</f>
        <v>0</v>
      </c>
      <c r="Z8" s="25" t="str">
        <f>Regions!K8</f>
        <v>PRR</v>
      </c>
    </row>
    <row r="9" spans="1:26" x14ac:dyDescent="0.25">
      <c r="A9" t="str">
        <f>Stats!A10</f>
        <v>NET</v>
      </c>
      <c r="B9" t="str">
        <f>Stats!B10</f>
        <v>The Republic of the Netherlands</v>
      </c>
      <c r="C9" t="str">
        <f>Govt!C10</f>
        <v>Bureaucratic</v>
      </c>
      <c r="D9" t="str">
        <f>Govt!D10</f>
        <v>Unitary</v>
      </c>
      <c r="E9" t="str">
        <f>Govt!E10</f>
        <v>Elective</v>
      </c>
      <c r="F9" s="74">
        <f>Govt!AN10*100</f>
        <v>35</v>
      </c>
      <c r="G9">
        <f>Stats!G10</f>
        <v>49</v>
      </c>
      <c r="H9" s="74">
        <f>Govt!U10*100</f>
        <v>5</v>
      </c>
      <c r="I9" s="74">
        <f>Govt!V10*100</f>
        <v>50</v>
      </c>
      <c r="J9" s="74">
        <f>Govt!W10*100</f>
        <v>35</v>
      </c>
      <c r="K9" s="74">
        <f>Govt!X10*100</f>
        <v>90</v>
      </c>
      <c r="L9" s="74">
        <f>Govt!Y10*100</f>
        <v>35</v>
      </c>
      <c r="M9" s="74">
        <f>Govt!Z10*100</f>
        <v>90</v>
      </c>
      <c r="N9" s="74">
        <f>Govt!AA10*100</f>
        <v>3</v>
      </c>
      <c r="O9" s="74">
        <f>Govt!AB10*100</f>
        <v>10</v>
      </c>
      <c r="P9" s="74">
        <f>Govt!AC10*100</f>
        <v>5</v>
      </c>
      <c r="Q9" s="74">
        <f>Govt!AD10*100</f>
        <v>15</v>
      </c>
      <c r="R9" s="74">
        <f>Govt!AE10*100</f>
        <v>17</v>
      </c>
      <c r="S9" s="74">
        <f>Govt!AF10*100</f>
        <v>20</v>
      </c>
      <c r="U9" t="str">
        <f>Regions!B9</f>
        <v>Prussia</v>
      </c>
      <c r="V9">
        <f>Regions!C9</f>
        <v>25182707.523467105</v>
      </c>
      <c r="W9" s="25">
        <f>Regions!D9</f>
        <v>38</v>
      </c>
      <c r="X9" s="25">
        <f>Regions!I9</f>
        <v>1</v>
      </c>
      <c r="Y9" s="25">
        <f>Regions!G9</f>
        <v>0</v>
      </c>
      <c r="Z9" s="25" t="str">
        <f>Regions!K9</f>
        <v>GFA</v>
      </c>
    </row>
    <row r="10" spans="1:26" x14ac:dyDescent="0.25">
      <c r="A10" t="str">
        <f>Stats!A11</f>
        <v>GER</v>
      </c>
      <c r="B10" t="str">
        <f>Stats!B11</f>
        <v>The Union of German Workers' Council Republics</v>
      </c>
      <c r="C10" t="str">
        <f>Govt!C11</f>
        <v>Bureaucratic</v>
      </c>
      <c r="D10" t="str">
        <f>Govt!D11</f>
        <v>Coalition</v>
      </c>
      <c r="E10" t="str">
        <f>Govt!E11</f>
        <v>Elective</v>
      </c>
      <c r="F10" s="74">
        <f>Govt!AN11*100</f>
        <v>10</v>
      </c>
      <c r="G10">
        <f>Stats!G11</f>
        <v>359</v>
      </c>
      <c r="H10" s="74">
        <f>Govt!U11*100</f>
        <v>10</v>
      </c>
      <c r="I10" s="74">
        <f>Govt!V11*100</f>
        <v>33</v>
      </c>
      <c r="J10" s="74">
        <f>Govt!W11*100</f>
        <v>20</v>
      </c>
      <c r="K10" s="74">
        <f>Govt!X11*100</f>
        <v>33</v>
      </c>
      <c r="L10" s="74">
        <f>Govt!Y11*100</f>
        <v>20</v>
      </c>
      <c r="M10" s="74">
        <f>Govt!Z11*100</f>
        <v>66</v>
      </c>
      <c r="N10" s="74">
        <f>Govt!AA11*100</f>
        <v>10</v>
      </c>
      <c r="O10" s="74">
        <f>Govt!AB11*100</f>
        <v>33</v>
      </c>
      <c r="P10" s="74">
        <f>Govt!AC11*100</f>
        <v>10</v>
      </c>
      <c r="Q10" s="74">
        <f>Govt!AD11*100</f>
        <v>10</v>
      </c>
      <c r="R10" s="74">
        <f>Govt!AE11*100</f>
        <v>30</v>
      </c>
      <c r="S10" s="74">
        <f>Govt!AF11*100</f>
        <v>99</v>
      </c>
      <c r="U10" t="str">
        <f>Regions!B10</f>
        <v>Bayern</v>
      </c>
      <c r="V10">
        <f>Regions!C10</f>
        <v>10254182.7062</v>
      </c>
      <c r="W10" s="25">
        <f>Regions!D10</f>
        <v>38</v>
      </c>
      <c r="X10" s="25">
        <f>Regions!I10</f>
        <v>1</v>
      </c>
      <c r="Y10" s="25">
        <f>Regions!G10</f>
        <v>0</v>
      </c>
      <c r="Z10" s="25" t="str">
        <f>Regions!K10</f>
        <v>BWR</v>
      </c>
    </row>
    <row r="11" spans="1:26" x14ac:dyDescent="0.25">
      <c r="A11" t="str">
        <f>Stats!A12</f>
        <v>PRR</v>
      </c>
      <c r="B11" t="str">
        <f>Stats!B12</f>
        <v>The People's Republic of the Ruhr</v>
      </c>
      <c r="C11" t="str">
        <f>Govt!C12</f>
        <v>Military</v>
      </c>
      <c r="D11" t="str">
        <f>Govt!D12</f>
        <v>Unitary</v>
      </c>
      <c r="E11" t="str">
        <f>Govt!E12</f>
        <v>Appointed</v>
      </c>
      <c r="F11" s="74">
        <f>Govt!AN12*100</f>
        <v>12.5</v>
      </c>
      <c r="G11">
        <f>Stats!G12</f>
        <v>393</v>
      </c>
      <c r="H11" s="74">
        <f>Govt!U12*100</f>
        <v>10</v>
      </c>
      <c r="I11" s="74">
        <f>Govt!V12*100</f>
        <v>20</v>
      </c>
      <c r="J11" s="74">
        <f>Govt!W12*100</f>
        <v>30</v>
      </c>
      <c r="K11" s="74">
        <f>Govt!X12*100</f>
        <v>75</v>
      </c>
      <c r="L11" s="74">
        <f>Govt!Y12*100</f>
        <v>10</v>
      </c>
      <c r="M11" s="74">
        <f>Govt!Z12*100</f>
        <v>5</v>
      </c>
      <c r="N11" s="74">
        <f>Govt!AA12*100</f>
        <v>10</v>
      </c>
      <c r="O11" s="74">
        <f>Govt!AB12*100</f>
        <v>50</v>
      </c>
      <c r="P11" s="74">
        <f>Govt!AC12*100</f>
        <v>5</v>
      </c>
      <c r="Q11" s="74">
        <f>Govt!AD12*100</f>
        <v>1</v>
      </c>
      <c r="R11" s="74">
        <f>Govt!AE12*100</f>
        <v>35</v>
      </c>
      <c r="S11" s="74">
        <f>Govt!AF12*100</f>
        <v>90</v>
      </c>
      <c r="U11" t="str">
        <f>Regions!B11</f>
        <v>Alsace-Lorraine</v>
      </c>
      <c r="V11">
        <f>Regions!C11</f>
        <v>1874410</v>
      </c>
      <c r="W11" s="25">
        <f>Regions!D11</f>
        <v>30</v>
      </c>
      <c r="X11" s="25">
        <f>Regions!I11</f>
        <v>1</v>
      </c>
      <c r="Y11" s="25">
        <f>Regions!G11</f>
        <v>0</v>
      </c>
      <c r="Z11" s="25" t="str">
        <f>Regions!K11</f>
        <v>ALS</v>
      </c>
    </row>
    <row r="12" spans="1:26" x14ac:dyDescent="0.25">
      <c r="A12" t="str">
        <f>Stats!A13</f>
        <v>GFA</v>
      </c>
      <c r="B12" t="str">
        <f>Stats!B13</f>
        <v>The German Federalist Alliance</v>
      </c>
      <c r="C12" t="str">
        <f>Govt!C13</f>
        <v>Military</v>
      </c>
      <c r="D12" t="str">
        <f>Govt!D13</f>
        <v>Hegemony</v>
      </c>
      <c r="E12" t="str">
        <f>Govt!E13</f>
        <v>Appointed</v>
      </c>
      <c r="F12" s="74">
        <f>Govt!AN13*100</f>
        <v>12.5</v>
      </c>
      <c r="G12">
        <f>Stats!G13</f>
        <v>220</v>
      </c>
      <c r="H12" s="74">
        <f>Govt!U13*100</f>
        <v>10</v>
      </c>
      <c r="I12" s="74">
        <f>Govt!V13*100</f>
        <v>65</v>
      </c>
      <c r="J12" s="74">
        <f>Govt!W13*100</f>
        <v>35</v>
      </c>
      <c r="K12" s="74">
        <f>Govt!X13*100</f>
        <v>50</v>
      </c>
      <c r="L12" s="74">
        <f>Govt!Y13*100</f>
        <v>15</v>
      </c>
      <c r="M12" s="74">
        <f>Govt!Z13*100</f>
        <v>35</v>
      </c>
      <c r="N12" s="74">
        <f>Govt!AA13*100</f>
        <v>3</v>
      </c>
      <c r="O12" s="74">
        <f>Govt!AB13*100</f>
        <v>5</v>
      </c>
      <c r="P12" s="74">
        <f>Govt!AC13*100</f>
        <v>2</v>
      </c>
      <c r="Q12" s="74">
        <f>Govt!AD13*100</f>
        <v>1</v>
      </c>
      <c r="R12" s="74">
        <f>Govt!AE13*100</f>
        <v>35</v>
      </c>
      <c r="S12" s="74">
        <f>Govt!AF13*100</f>
        <v>90</v>
      </c>
      <c r="U12" t="str">
        <f>Regions!B12</f>
        <v>Italy</v>
      </c>
      <c r="V12">
        <f>Regions!C12</f>
        <v>40791000</v>
      </c>
      <c r="W12" s="25">
        <f>Regions!D12</f>
        <v>36</v>
      </c>
      <c r="X12" s="25">
        <f>Regions!I12</f>
        <v>1</v>
      </c>
      <c r="Y12" s="25">
        <f>Regions!G12</f>
        <v>0</v>
      </c>
      <c r="Z12" s="25" t="str">
        <f>Regions!K12</f>
        <v>ITA</v>
      </c>
    </row>
    <row r="13" spans="1:26" x14ac:dyDescent="0.25">
      <c r="A13" t="str">
        <f>Stats!A14</f>
        <v>BWR</v>
      </c>
      <c r="B13" t="str">
        <f>Stats!B14</f>
        <v>The Bavarian Workers' Council Republic</v>
      </c>
      <c r="C13" t="str">
        <f>Govt!C14</f>
        <v>Bureaucratic</v>
      </c>
      <c r="D13" t="str">
        <f>Govt!D14</f>
        <v>Confederation</v>
      </c>
      <c r="E13" t="str">
        <f>Govt!E14</f>
        <v>Elective</v>
      </c>
      <c r="F13" s="74">
        <f>Govt!AN14*100</f>
        <v>7.5</v>
      </c>
      <c r="G13">
        <f>Stats!G14</f>
        <v>62</v>
      </c>
      <c r="H13" s="74">
        <f>Govt!U14*100</f>
        <v>10</v>
      </c>
      <c r="I13" s="74">
        <f>Govt!V14*100</f>
        <v>1</v>
      </c>
      <c r="J13" s="74">
        <f>Govt!W14*100</f>
        <v>5</v>
      </c>
      <c r="K13" s="74">
        <f>Govt!X14*100</f>
        <v>1</v>
      </c>
      <c r="L13" s="74">
        <f>Govt!Y14*100</f>
        <v>35</v>
      </c>
      <c r="M13" s="74">
        <f>Govt!Z14*100</f>
        <v>90</v>
      </c>
      <c r="N13" s="74">
        <f>Govt!AA14*100</f>
        <v>5</v>
      </c>
      <c r="O13" s="74">
        <f>Govt!AB14*100</f>
        <v>1</v>
      </c>
      <c r="P13" s="74">
        <f>Govt!AC14*100</f>
        <v>10</v>
      </c>
      <c r="Q13" s="74">
        <f>Govt!AD14*100</f>
        <v>50</v>
      </c>
      <c r="R13" s="74">
        <f>Govt!AE14*100</f>
        <v>35</v>
      </c>
      <c r="S13" s="74">
        <f>Govt!AF14*100</f>
        <v>90</v>
      </c>
      <c r="U13" t="str">
        <f>Regions!B13</f>
        <v>Netherlands</v>
      </c>
      <c r="V13">
        <f>Regions!C13</f>
        <v>7884000</v>
      </c>
      <c r="W13" s="25">
        <f>Regions!D13</f>
        <v>36</v>
      </c>
      <c r="X13" s="25">
        <f>Regions!I13</f>
        <v>1</v>
      </c>
      <c r="Y13" s="25">
        <f>Regions!G13</f>
        <v>0</v>
      </c>
      <c r="Z13" s="25" t="str">
        <f>Regions!K13</f>
        <v>NET</v>
      </c>
    </row>
    <row r="14" spans="1:26" x14ac:dyDescent="0.25">
      <c r="A14" t="str">
        <f>Stats!A15</f>
        <v>ALS</v>
      </c>
      <c r="B14" t="str">
        <f>Stats!B15</f>
        <v>The Free Republic of Alsace-Lorraine</v>
      </c>
      <c r="C14" t="str">
        <f>Govt!C15</f>
        <v>Bureaucratic</v>
      </c>
      <c r="D14" t="str">
        <f>Govt!D15</f>
        <v>Unitary</v>
      </c>
      <c r="E14" t="str">
        <f>Govt!E15</f>
        <v>Elective</v>
      </c>
      <c r="F14" s="74">
        <f>Govt!AN15*100</f>
        <v>15</v>
      </c>
      <c r="G14">
        <f>Stats!G15</f>
        <v>14</v>
      </c>
      <c r="H14" s="74">
        <f>Govt!U15*100</f>
        <v>5</v>
      </c>
      <c r="I14" s="74">
        <f>Govt!V15*100</f>
        <v>1</v>
      </c>
      <c r="J14" s="74">
        <f>Govt!W15*100</f>
        <v>5</v>
      </c>
      <c r="K14" s="74">
        <f>Govt!X15*100</f>
        <v>1</v>
      </c>
      <c r="L14" s="74">
        <f>Govt!Y15*100</f>
        <v>40</v>
      </c>
      <c r="M14" s="74">
        <f>Govt!Z15*100</f>
        <v>85</v>
      </c>
      <c r="N14" s="74">
        <f>Govt!AA15*100</f>
        <v>5</v>
      </c>
      <c r="O14" s="74">
        <f>Govt!AB15*100</f>
        <v>1</v>
      </c>
      <c r="P14" s="74">
        <f>Govt!AC15*100</f>
        <v>5</v>
      </c>
      <c r="Q14" s="74">
        <f>Govt!AD15*100</f>
        <v>5</v>
      </c>
      <c r="R14" s="74">
        <f>Govt!AE15*100</f>
        <v>40</v>
      </c>
      <c r="S14" s="74">
        <f>Govt!AF15*100</f>
        <v>85</v>
      </c>
      <c r="U14" t="str">
        <f>Regions!B14</f>
        <v>Norway</v>
      </c>
      <c r="V14">
        <f>Regions!C14</f>
        <v>2807000</v>
      </c>
      <c r="W14" s="25">
        <f>Regions!D14</f>
        <v>20</v>
      </c>
      <c r="X14" s="25">
        <f>Regions!I14</f>
        <v>1</v>
      </c>
      <c r="Y14" s="25">
        <f>Regions!G14</f>
        <v>0</v>
      </c>
      <c r="Z14" s="25" t="str">
        <f>Regions!K14</f>
        <v>NOR</v>
      </c>
    </row>
    <row r="15" spans="1:26" x14ac:dyDescent="0.25">
      <c r="A15" t="str">
        <f>Stats!A16</f>
        <v>TUR</v>
      </c>
      <c r="B15" t="str">
        <f>Stats!B16</f>
        <v>The Sublime State of Turkey</v>
      </c>
      <c r="C15" t="str">
        <f>Govt!C16</f>
        <v>Military</v>
      </c>
      <c r="D15" t="str">
        <f>Govt!D16</f>
        <v>Unitary</v>
      </c>
      <c r="E15" t="str">
        <f>Govt!E16</f>
        <v>Appointed</v>
      </c>
      <c r="F15" s="74">
        <f>Govt!AN16*100</f>
        <v>20</v>
      </c>
      <c r="G15">
        <f>Stats!G16</f>
        <v>230</v>
      </c>
      <c r="H15" s="74">
        <f>Govt!U16*100</f>
        <v>10</v>
      </c>
      <c r="I15" s="74">
        <f>Govt!V16*100</f>
        <v>55.000000000000007</v>
      </c>
      <c r="J15" s="74">
        <f>Govt!W16*100</f>
        <v>25</v>
      </c>
      <c r="K15" s="74">
        <f>Govt!X16*100</f>
        <v>75</v>
      </c>
      <c r="L15" s="74">
        <f>Govt!Y16*100</f>
        <v>10</v>
      </c>
      <c r="M15" s="74">
        <f>Govt!Z16*100</f>
        <v>20</v>
      </c>
      <c r="N15" s="74">
        <f>Govt!AA16*100</f>
        <v>40</v>
      </c>
      <c r="O15" s="74">
        <f>Govt!AB16*100</f>
        <v>98</v>
      </c>
      <c r="P15" s="74">
        <f>Govt!AC16*100</f>
        <v>5</v>
      </c>
      <c r="Q15" s="74">
        <f>Govt!AD16*100</f>
        <v>1</v>
      </c>
      <c r="R15" s="74">
        <f>Govt!AE16*100</f>
        <v>10</v>
      </c>
      <c r="S15" s="74">
        <f>Govt!AF16*100</f>
        <v>1</v>
      </c>
      <c r="U15" t="str">
        <f>Regions!B15</f>
        <v>Sweden</v>
      </c>
      <c r="V15">
        <f>Regions!C15</f>
        <v>6152000</v>
      </c>
      <c r="W15" s="25">
        <f>Regions!D15</f>
        <v>22</v>
      </c>
      <c r="X15" s="25">
        <f>Regions!I15</f>
        <v>1</v>
      </c>
      <c r="Y15" s="25">
        <f>Regions!G15</f>
        <v>0</v>
      </c>
      <c r="Z15" s="25" t="str">
        <f>Regions!K15</f>
        <v>SWE</v>
      </c>
    </row>
    <row r="16" spans="1:26" x14ac:dyDescent="0.25">
      <c r="A16" t="str">
        <f>Stats!A17</f>
        <v>IND</v>
      </c>
      <c r="B16" t="str">
        <f>Stats!B17</f>
        <v>The Imperial Domain of India</v>
      </c>
      <c r="C16" t="str">
        <f>Govt!C17</f>
        <v>Military</v>
      </c>
      <c r="D16" t="str">
        <f>Govt!D17</f>
        <v>Hegemony</v>
      </c>
      <c r="E16" t="str">
        <f>Govt!E17</f>
        <v>Appointed</v>
      </c>
      <c r="F16" s="74">
        <f>Govt!AN17*100</f>
        <v>60</v>
      </c>
      <c r="G16">
        <f>Stats!G17</f>
        <v>538</v>
      </c>
      <c r="H16" s="74">
        <f>Govt!U17*100</f>
        <v>20</v>
      </c>
      <c r="I16" s="74">
        <f>Govt!V17*100</f>
        <v>75</v>
      </c>
      <c r="J16" s="74">
        <f>Govt!W17*100</f>
        <v>25</v>
      </c>
      <c r="K16" s="74">
        <f>Govt!X17*100</f>
        <v>90</v>
      </c>
      <c r="L16" s="74">
        <f>Govt!Y17*100</f>
        <v>15</v>
      </c>
      <c r="M16" s="74">
        <f>Govt!Z17*100</f>
        <v>55.000000000000007</v>
      </c>
      <c r="N16" s="74">
        <f>Govt!AA17*100</f>
        <v>1</v>
      </c>
      <c r="O16" s="74">
        <f>Govt!AB17*100</f>
        <v>1</v>
      </c>
      <c r="P16" s="74">
        <f>Govt!AC17*100</f>
        <v>20</v>
      </c>
      <c r="Q16" s="74">
        <f>Govt!AD17*100</f>
        <v>5</v>
      </c>
      <c r="R16" s="74">
        <f>Govt!AE17*100</f>
        <v>19</v>
      </c>
      <c r="S16" s="74">
        <f>Govt!AF17*100</f>
        <v>10</v>
      </c>
      <c r="U16" t="str">
        <f>Regions!B16</f>
        <v>Switzerland</v>
      </c>
      <c r="V16">
        <f>Regions!C16</f>
        <v>4051000</v>
      </c>
      <c r="W16" s="25">
        <f>Regions!D16</f>
        <v>32</v>
      </c>
      <c r="X16" s="25">
        <f>Regions!I16</f>
        <v>1</v>
      </c>
      <c r="Y16" s="25">
        <f>Regions!G16</f>
        <v>0</v>
      </c>
      <c r="Z16" s="25" t="str">
        <f>Regions!K16</f>
        <v>SWI</v>
      </c>
    </row>
    <row r="17" spans="1:26" x14ac:dyDescent="0.25">
      <c r="A17" t="str">
        <f>Stats!A18</f>
        <v>OCE</v>
      </c>
      <c r="B17" t="str">
        <f>Stats!B18</f>
        <v>The Imperial Domain of Australasia</v>
      </c>
      <c r="C17" t="str">
        <f>Govt!C18</f>
        <v>Military</v>
      </c>
      <c r="D17" t="str">
        <f>Govt!D18</f>
        <v>Hegemony</v>
      </c>
      <c r="E17" t="str">
        <f>Govt!E18</f>
        <v>Appointed</v>
      </c>
      <c r="F17" s="74">
        <f>Govt!AN18*100</f>
        <v>50</v>
      </c>
      <c r="G17">
        <f>Stats!G18</f>
        <v>158</v>
      </c>
      <c r="H17" s="74">
        <f>Govt!U18*100</f>
        <v>20</v>
      </c>
      <c r="I17" s="74">
        <f>Govt!V18*100</f>
        <v>80</v>
      </c>
      <c r="J17" s="74">
        <f>Govt!W18*100</f>
        <v>30</v>
      </c>
      <c r="K17" s="74">
        <f>Govt!X18*100</f>
        <v>85</v>
      </c>
      <c r="L17" s="74">
        <f>Govt!Y18*100</f>
        <v>20</v>
      </c>
      <c r="M17" s="74">
        <f>Govt!Z18*100</f>
        <v>75</v>
      </c>
      <c r="N17" s="74">
        <f>Govt!AA18*100</f>
        <v>5</v>
      </c>
      <c r="O17" s="74">
        <f>Govt!AB18*100</f>
        <v>10</v>
      </c>
      <c r="P17" s="74">
        <f>Govt!AC18*100</f>
        <v>15</v>
      </c>
      <c r="Q17" s="74">
        <f>Govt!AD18*100</f>
        <v>5</v>
      </c>
      <c r="R17" s="74">
        <f>Govt!AE18*100</f>
        <v>10</v>
      </c>
      <c r="S17" s="74">
        <f>Govt!AF18*100</f>
        <v>10</v>
      </c>
      <c r="U17" t="str">
        <f>Regions!B17</f>
        <v>Great Britain</v>
      </c>
      <c r="V17">
        <f>Regions!C17</f>
        <v>45866000</v>
      </c>
      <c r="W17" s="25">
        <f>Regions!D17</f>
        <v>40</v>
      </c>
      <c r="X17" s="25">
        <f>Regions!I17</f>
        <v>1</v>
      </c>
      <c r="Y17" s="25">
        <f>Regions!G17</f>
        <v>0</v>
      </c>
      <c r="Z17" s="25" t="str">
        <f>Regions!K17</f>
        <v>ENG</v>
      </c>
    </row>
    <row r="18" spans="1:26" x14ac:dyDescent="0.25">
      <c r="A18" t="str">
        <f>Stats!A19</f>
        <v>SAF</v>
      </c>
      <c r="B18" t="str">
        <f>Stats!B19</f>
        <v>The Imperial Domain of South Africa</v>
      </c>
      <c r="C18" t="str">
        <f>Govt!C19</f>
        <v>Military</v>
      </c>
      <c r="D18" t="str">
        <f>Govt!D19</f>
        <v>Hegemony</v>
      </c>
      <c r="E18" t="str">
        <f>Govt!E19</f>
        <v>Appointed</v>
      </c>
      <c r="F18" s="74">
        <f>Govt!AN19*100</f>
        <v>50</v>
      </c>
      <c r="G18">
        <f>Stats!G19</f>
        <v>64</v>
      </c>
      <c r="H18" s="74">
        <f>Govt!U19*100</f>
        <v>20</v>
      </c>
      <c r="I18" s="74">
        <f>Govt!V19*100</f>
        <v>75</v>
      </c>
      <c r="J18" s="74">
        <f>Govt!W19*100</f>
        <v>35</v>
      </c>
      <c r="K18" s="74">
        <f>Govt!X19*100</f>
        <v>90</v>
      </c>
      <c r="L18" s="74">
        <f>Govt!Y19*100</f>
        <v>10</v>
      </c>
      <c r="M18" s="74">
        <f>Govt!Z19*100</f>
        <v>55.000000000000007</v>
      </c>
      <c r="N18" s="74">
        <f>Govt!AA19*100</f>
        <v>5</v>
      </c>
      <c r="O18" s="74">
        <f>Govt!AB19*100</f>
        <v>1</v>
      </c>
      <c r="P18" s="74">
        <f>Govt!AC19*100</f>
        <v>15</v>
      </c>
      <c r="Q18" s="74">
        <f>Govt!AD19*100</f>
        <v>5</v>
      </c>
      <c r="R18" s="74">
        <f>Govt!AE19*100</f>
        <v>15</v>
      </c>
      <c r="S18" s="74">
        <f>Govt!AF19*100</f>
        <v>10</v>
      </c>
      <c r="U18" t="str">
        <f>Regions!B18</f>
        <v>Ireland</v>
      </c>
      <c r="V18">
        <f>Regions!C18</f>
        <v>2927000</v>
      </c>
      <c r="W18" s="25">
        <f>Regions!D18</f>
        <v>22</v>
      </c>
      <c r="X18" s="25">
        <f>Regions!I18</f>
        <v>0.75</v>
      </c>
      <c r="Y18" s="25">
        <f>Regions!G18</f>
        <v>0</v>
      </c>
      <c r="Z18" s="25" t="str">
        <f>Regions!K18</f>
        <v>ENG</v>
      </c>
    </row>
    <row r="19" spans="1:26" x14ac:dyDescent="0.25">
      <c r="A19" t="str">
        <f>Stats!A20</f>
        <v>SWI</v>
      </c>
      <c r="B19" t="str">
        <f>Stats!B20</f>
        <v>The Federal Republic of Switzerland</v>
      </c>
      <c r="C19" t="str">
        <f>Govt!C20</f>
        <v>Bureaucratic</v>
      </c>
      <c r="D19" t="str">
        <f>Govt!D20</f>
        <v>Federation</v>
      </c>
      <c r="E19" t="str">
        <f>Govt!E20</f>
        <v>Elective</v>
      </c>
      <c r="F19" s="74">
        <f>Govt!AN20*100</f>
        <v>45</v>
      </c>
      <c r="G19">
        <f>Stats!G20</f>
        <v>24</v>
      </c>
      <c r="H19" s="74">
        <f>Govt!U20*100</f>
        <v>10</v>
      </c>
      <c r="I19" s="74">
        <f>Govt!V20*100</f>
        <v>80</v>
      </c>
      <c r="J19" s="74">
        <f>Govt!W20*100</f>
        <v>15</v>
      </c>
      <c r="K19" s="74">
        <f>Govt!X20*100</f>
        <v>85</v>
      </c>
      <c r="L19" s="74">
        <f>Govt!Y20*100</f>
        <v>55.000000000000007</v>
      </c>
      <c r="M19" s="74">
        <f>Govt!Z20*100</f>
        <v>90</v>
      </c>
      <c r="N19" s="74">
        <f>Govt!AA20*100</f>
        <v>3</v>
      </c>
      <c r="O19" s="74">
        <f>Govt!AB20*100</f>
        <v>10</v>
      </c>
      <c r="P19" s="74">
        <f>Govt!AC20*100</f>
        <v>7.0000000000000009</v>
      </c>
      <c r="Q19" s="74">
        <f>Govt!AD20*100</f>
        <v>5</v>
      </c>
      <c r="R19" s="74">
        <f>Govt!AE20*100</f>
        <v>10</v>
      </c>
      <c r="S19" s="74">
        <f>Govt!AF20*100</f>
        <v>10</v>
      </c>
      <c r="U19" t="str">
        <f>Regions!B19</f>
        <v>Greece</v>
      </c>
      <c r="V19">
        <f>Regions!C19</f>
        <v>6351000</v>
      </c>
      <c r="W19" s="25">
        <f>Regions!D19</f>
        <v>18</v>
      </c>
      <c r="X19" s="25">
        <f>Regions!I19</f>
        <v>1</v>
      </c>
      <c r="Y19" s="25">
        <f>Regions!G19</f>
        <v>0</v>
      </c>
      <c r="Z19" s="25" t="str">
        <f>Regions!K19</f>
        <v>GRE</v>
      </c>
    </row>
    <row r="20" spans="1:26" x14ac:dyDescent="0.25">
      <c r="A20" t="str">
        <f>Stats!A21</f>
        <v>SWE</v>
      </c>
      <c r="B20" t="str">
        <f>Stats!B21</f>
        <v>The People's Republic of Sweden</v>
      </c>
      <c r="C20" t="str">
        <f>Govt!C21</f>
        <v>Military</v>
      </c>
      <c r="D20" t="str">
        <f>Govt!D21</f>
        <v>Unitary</v>
      </c>
      <c r="E20" t="str">
        <f>Govt!E21</f>
        <v>Appointed</v>
      </c>
      <c r="F20" s="74">
        <f>Govt!AN21*100</f>
        <v>20</v>
      </c>
      <c r="G20">
        <f>Stats!G21</f>
        <v>53</v>
      </c>
      <c r="H20" s="74">
        <f>Govt!U21*100</f>
        <v>25</v>
      </c>
      <c r="I20" s="74">
        <f>Govt!V21*100</f>
        <v>30</v>
      </c>
      <c r="J20" s="74">
        <f>Govt!W21*100</f>
        <v>10</v>
      </c>
      <c r="K20" s="74">
        <f>Govt!X21*100</f>
        <v>30</v>
      </c>
      <c r="L20" s="74">
        <f>Govt!Y21*100</f>
        <v>15</v>
      </c>
      <c r="M20" s="74">
        <f>Govt!Z21*100</f>
        <v>40</v>
      </c>
      <c r="N20" s="74">
        <f>Govt!AA21*100</f>
        <v>10</v>
      </c>
      <c r="O20" s="74">
        <f>Govt!AB21*100</f>
        <v>1</v>
      </c>
      <c r="P20" s="74">
        <f>Govt!AC21*100</f>
        <v>10</v>
      </c>
      <c r="Q20" s="74">
        <f>Govt!AD21*100</f>
        <v>40</v>
      </c>
      <c r="R20" s="74">
        <f>Govt!AE21*100</f>
        <v>30</v>
      </c>
      <c r="S20" s="74">
        <f>Govt!AF21*100</f>
        <v>80</v>
      </c>
      <c r="U20" t="str">
        <f>Regions!B20</f>
        <v>Portugal</v>
      </c>
      <c r="V20">
        <f>Regions!C20</f>
        <v>6784000</v>
      </c>
      <c r="W20" s="25">
        <f>Regions!D20</f>
        <v>22</v>
      </c>
      <c r="X20" s="25">
        <f>Regions!I20</f>
        <v>1</v>
      </c>
      <c r="Y20" s="25">
        <f>Regions!G20</f>
        <v>0</v>
      </c>
      <c r="Z20" s="25" t="str">
        <f>Regions!K20</f>
        <v>POR</v>
      </c>
    </row>
    <row r="21" spans="1:26" x14ac:dyDescent="0.25">
      <c r="A21" t="str">
        <f>Stats!A22</f>
        <v>NOR</v>
      </c>
      <c r="B21" t="str">
        <f>Stats!B22</f>
        <v>The Kingdom of Norway</v>
      </c>
      <c r="C21" t="str">
        <f>Govt!C22</f>
        <v>Aristocratic</v>
      </c>
      <c r="D21" t="str">
        <f>Govt!D22</f>
        <v>Hegemony</v>
      </c>
      <c r="E21" t="str">
        <f>Govt!E22</f>
        <v>Hereditary</v>
      </c>
      <c r="F21" s="74">
        <f>Govt!AN22*100</f>
        <v>35</v>
      </c>
      <c r="G21">
        <f>Stats!G22</f>
        <v>14</v>
      </c>
      <c r="H21" s="74">
        <f>Govt!U22*100</f>
        <v>35</v>
      </c>
      <c r="I21" s="74">
        <f>Govt!V22*100</f>
        <v>85</v>
      </c>
      <c r="J21" s="74">
        <f>Govt!W22*100</f>
        <v>10</v>
      </c>
      <c r="K21" s="74">
        <f>Govt!X22*100</f>
        <v>74</v>
      </c>
      <c r="L21" s="74">
        <f>Govt!Y22*100</f>
        <v>30</v>
      </c>
      <c r="M21" s="74">
        <f>Govt!Z22*100</f>
        <v>65</v>
      </c>
      <c r="N21" s="74">
        <f>Govt!AA22*100</f>
        <v>5</v>
      </c>
      <c r="O21" s="74">
        <f>Govt!AB22*100</f>
        <v>1</v>
      </c>
      <c r="P21" s="74">
        <f>Govt!AC22*100</f>
        <v>10</v>
      </c>
      <c r="Q21" s="74">
        <f>Govt!AD22*100</f>
        <v>10</v>
      </c>
      <c r="R21" s="74">
        <f>Govt!AE22*100</f>
        <v>10</v>
      </c>
      <c r="S21" s="74">
        <f>Govt!AF22*100</f>
        <v>15</v>
      </c>
      <c r="U21" t="str">
        <f>Regions!B21</f>
        <v>Spain</v>
      </c>
      <c r="V21">
        <f>Regions!C21</f>
        <v>23445000</v>
      </c>
      <c r="W21" s="25">
        <f>Regions!D21</f>
        <v>24</v>
      </c>
      <c r="X21" s="25">
        <f>Regions!I21</f>
        <v>1</v>
      </c>
      <c r="Y21" s="25">
        <f>Regions!G21</f>
        <v>0</v>
      </c>
      <c r="Z21" s="25" t="str">
        <f>Regions!K21</f>
        <v>SPA</v>
      </c>
    </row>
    <row r="22" spans="1:26" x14ac:dyDescent="0.25">
      <c r="A22" t="str">
        <f>Stats!A23</f>
        <v>DMK</v>
      </c>
      <c r="B22" t="str">
        <f>Stats!B23</f>
        <v>The Kingdom of Denmark and Iceland</v>
      </c>
      <c r="C22" t="str">
        <f>Govt!C23</f>
        <v>Aristocratic</v>
      </c>
      <c r="D22" t="str">
        <f>Govt!D23</f>
        <v>Hegemony</v>
      </c>
      <c r="E22" t="str">
        <f>Govt!E23</f>
        <v>Hereditary</v>
      </c>
      <c r="F22" s="74">
        <f>Govt!AN23*100</f>
        <v>35</v>
      </c>
      <c r="G22">
        <f>Stats!G23</f>
        <v>16</v>
      </c>
      <c r="H22" s="74">
        <f>Govt!U23*100</f>
        <v>30</v>
      </c>
      <c r="I22" s="74">
        <f>Govt!V23*100</f>
        <v>85</v>
      </c>
      <c r="J22" s="74">
        <f>Govt!W23*100</f>
        <v>25</v>
      </c>
      <c r="K22" s="74">
        <f>Govt!X23*100</f>
        <v>90</v>
      </c>
      <c r="L22" s="74">
        <f>Govt!Y23*100</f>
        <v>20</v>
      </c>
      <c r="M22" s="74">
        <f>Govt!Z23*100</f>
        <v>55.000000000000007</v>
      </c>
      <c r="N22" s="74">
        <f>Govt!AA23*100</f>
        <v>10</v>
      </c>
      <c r="O22" s="74">
        <f>Govt!AB23*100</f>
        <v>1</v>
      </c>
      <c r="P22" s="74">
        <f>Govt!AC23*100</f>
        <v>10</v>
      </c>
      <c r="Q22" s="74">
        <f>Govt!AD23*100</f>
        <v>1</v>
      </c>
      <c r="R22" s="74">
        <f>Govt!AE23*100</f>
        <v>5</v>
      </c>
      <c r="S22" s="74">
        <f>Govt!AF23*100</f>
        <v>1</v>
      </c>
      <c r="U22" t="str">
        <f>Regions!B22</f>
        <v>Australia</v>
      </c>
      <c r="V22">
        <f>Regions!C22</f>
        <v>6469000</v>
      </c>
      <c r="W22" s="25">
        <f>Regions!D22</f>
        <v>16</v>
      </c>
      <c r="X22" s="25">
        <f>Regions!I22</f>
        <v>1</v>
      </c>
      <c r="Y22" s="25">
        <f>Regions!G22</f>
        <v>0</v>
      </c>
      <c r="Z22" s="25" t="str">
        <f>Regions!K22</f>
        <v>OCE</v>
      </c>
    </row>
    <row r="23" spans="1:26" x14ac:dyDescent="0.25">
      <c r="A23" t="str">
        <f>Stats!A24</f>
        <v>SPA</v>
      </c>
      <c r="B23" t="str">
        <f>Stats!B24</f>
        <v>The Spanish Republic</v>
      </c>
      <c r="C23" t="str">
        <f>Govt!C24</f>
        <v>Bureaucratic</v>
      </c>
      <c r="D23" t="str">
        <f>Govt!D24</f>
        <v>Unitary</v>
      </c>
      <c r="E23" t="str">
        <f>Govt!E24</f>
        <v>Elective</v>
      </c>
      <c r="F23" s="74">
        <f>Govt!AN24*100</f>
        <v>20</v>
      </c>
      <c r="G23">
        <f>Stats!G24</f>
        <v>146</v>
      </c>
      <c r="H23" s="74">
        <f>Govt!U24*100</f>
        <v>20</v>
      </c>
      <c r="I23" s="74">
        <f>Govt!V24*100</f>
        <v>30</v>
      </c>
      <c r="J23" s="74">
        <f>Govt!W24*100</f>
        <v>5</v>
      </c>
      <c r="K23" s="74">
        <f>Govt!X24*100</f>
        <v>20</v>
      </c>
      <c r="L23" s="74">
        <f>Govt!Y24*100</f>
        <v>35</v>
      </c>
      <c r="M23" s="74">
        <f>Govt!Z24*100</f>
        <v>75</v>
      </c>
      <c r="N23" s="74">
        <f>Govt!AA24*100</f>
        <v>10</v>
      </c>
      <c r="O23" s="74">
        <f>Govt!AB24*100</f>
        <v>1</v>
      </c>
      <c r="P23" s="74">
        <f>Govt!AC24*100</f>
        <v>15</v>
      </c>
      <c r="Q23" s="74">
        <f>Govt!AD24*100</f>
        <v>15</v>
      </c>
      <c r="R23" s="74">
        <f>Govt!AE24*100</f>
        <v>15</v>
      </c>
      <c r="S23" s="74">
        <f>Govt!AF24*100</f>
        <v>20</v>
      </c>
      <c r="U23" t="str">
        <f>Regions!B23</f>
        <v>New Zealand</v>
      </c>
      <c r="V23">
        <f>Regions!C23</f>
        <v>1493000</v>
      </c>
      <c r="W23" s="25">
        <f>Regions!D23</f>
        <v>12</v>
      </c>
      <c r="X23" s="25">
        <f>Regions!I23</f>
        <v>1</v>
      </c>
      <c r="Y23" s="25">
        <f>Regions!G23</f>
        <v>0</v>
      </c>
      <c r="Z23" s="25" t="str">
        <f>Regions!K23</f>
        <v>OCE</v>
      </c>
    </row>
    <row r="24" spans="1:26" x14ac:dyDescent="0.25">
      <c r="A24" t="str">
        <f>Stats!A25</f>
        <v>POR</v>
      </c>
      <c r="B24" t="str">
        <f>Stats!B25</f>
        <v>The Kingdom of Portugal</v>
      </c>
      <c r="C24" t="str">
        <f>Govt!C25</f>
        <v>Bureaucratic</v>
      </c>
      <c r="D24" t="str">
        <f>Govt!D25</f>
        <v>Hegemony</v>
      </c>
      <c r="E24" t="str">
        <f>Govt!E25</f>
        <v>Hereditary</v>
      </c>
      <c r="F24" s="74">
        <f>Govt!AN25*100</f>
        <v>35</v>
      </c>
      <c r="G24">
        <f>Stats!G25</f>
        <v>47</v>
      </c>
      <c r="H24" s="74">
        <f>Govt!U25*100</f>
        <v>30</v>
      </c>
      <c r="I24" s="74">
        <f>Govt!V25*100</f>
        <v>85</v>
      </c>
      <c r="J24" s="74">
        <f>Govt!W25*100</f>
        <v>20</v>
      </c>
      <c r="K24" s="74">
        <f>Govt!X25*100</f>
        <v>85</v>
      </c>
      <c r="L24" s="74">
        <f>Govt!Y25*100</f>
        <v>25</v>
      </c>
      <c r="M24" s="74">
        <f>Govt!Z25*100</f>
        <v>75</v>
      </c>
      <c r="N24" s="74">
        <f>Govt!AA25*100</f>
        <v>5</v>
      </c>
      <c r="O24" s="74">
        <f>Govt!AB25*100</f>
        <v>5</v>
      </c>
      <c r="P24" s="74">
        <f>Govt!AC25*100</f>
        <v>10</v>
      </c>
      <c r="Q24" s="74">
        <f>Govt!AD25*100</f>
        <v>5</v>
      </c>
      <c r="R24" s="74">
        <f>Govt!AE25*100</f>
        <v>10</v>
      </c>
      <c r="S24" s="74">
        <f>Govt!AF25*100</f>
        <v>10</v>
      </c>
      <c r="U24" t="str">
        <f>Regions!B24</f>
        <v>Canada</v>
      </c>
      <c r="V24">
        <f>Regions!C24</f>
        <v>10488000</v>
      </c>
      <c r="W24" s="25">
        <f>Regions!D24</f>
        <v>18</v>
      </c>
      <c r="X24" s="25">
        <f>Regions!I24</f>
        <v>0.1</v>
      </c>
      <c r="Y24" s="25">
        <f>Regions!G24</f>
        <v>0</v>
      </c>
      <c r="Z24" s="25" t="str">
        <f>Regions!K24</f>
        <v>USA</v>
      </c>
    </row>
    <row r="25" spans="1:26" x14ac:dyDescent="0.25">
      <c r="A25" t="str">
        <f>Stats!A26</f>
        <v>BEL</v>
      </c>
      <c r="B25" t="str">
        <f>Stats!B26</f>
        <v>The Republic of Belgium</v>
      </c>
      <c r="C25" t="str">
        <f>Govt!C26</f>
        <v>Bureaucratic</v>
      </c>
      <c r="D25" t="str">
        <f>Govt!D26</f>
        <v>Unitary</v>
      </c>
      <c r="E25" t="str">
        <f>Govt!E26</f>
        <v>Elective</v>
      </c>
      <c r="F25" s="74">
        <f>Govt!AN26*100</f>
        <v>25</v>
      </c>
      <c r="G25">
        <f>Stats!G26</f>
        <v>51</v>
      </c>
      <c r="H25" s="74">
        <f>Govt!U26*100</f>
        <v>5</v>
      </c>
      <c r="I25" s="74">
        <f>Govt!V26*100</f>
        <v>45</v>
      </c>
      <c r="J25" s="74">
        <f>Govt!W26*100</f>
        <v>30</v>
      </c>
      <c r="K25" s="74">
        <f>Govt!X26*100</f>
        <v>90</v>
      </c>
      <c r="L25" s="74">
        <f>Govt!Y26*100</f>
        <v>45</v>
      </c>
      <c r="M25" s="74">
        <f>Govt!Z26*100</f>
        <v>95</v>
      </c>
      <c r="N25" s="74">
        <f>Govt!AA26*100</f>
        <v>5</v>
      </c>
      <c r="O25" s="74">
        <f>Govt!AB26*100</f>
        <v>5</v>
      </c>
      <c r="P25" s="74">
        <f>Govt!AC26*100</f>
        <v>5</v>
      </c>
      <c r="Q25" s="74">
        <f>Govt!AD26*100</f>
        <v>5</v>
      </c>
      <c r="R25" s="74">
        <f>Govt!AE26*100</f>
        <v>10</v>
      </c>
      <c r="S25" s="74">
        <f>Govt!AF26*100</f>
        <v>10</v>
      </c>
      <c r="U25" t="str">
        <f>Regions!B25</f>
        <v>United States</v>
      </c>
      <c r="V25">
        <f>Regions!C25</f>
        <v>123668000</v>
      </c>
      <c r="W25" s="25">
        <f>Regions!D25</f>
        <v>19</v>
      </c>
      <c r="X25" s="25">
        <f>Regions!I25</f>
        <v>1</v>
      </c>
      <c r="Y25" s="25">
        <f>Regions!G25</f>
        <v>0</v>
      </c>
      <c r="Z25" s="25" t="str">
        <f>Regions!K25</f>
        <v>USA</v>
      </c>
    </row>
    <row r="26" spans="1:26" x14ac:dyDescent="0.25">
      <c r="A26" t="str">
        <f>Stats!A27</f>
        <v>ROM</v>
      </c>
      <c r="B26" t="str">
        <f>Stats!B27</f>
        <v>The Kingdom of Romania</v>
      </c>
      <c r="C26" t="str">
        <f>Govt!C27</f>
        <v>Aristocratic</v>
      </c>
      <c r="D26" t="str">
        <f>Govt!D27</f>
        <v>Hegemony</v>
      </c>
      <c r="E26" t="str">
        <f>Govt!E27</f>
        <v>Hereditary</v>
      </c>
      <c r="F26" s="74">
        <f>Govt!AN27*100</f>
        <v>45</v>
      </c>
      <c r="G26">
        <f>Stats!G27</f>
        <v>53</v>
      </c>
      <c r="H26" s="74">
        <f>Govt!U27*100</f>
        <v>30</v>
      </c>
      <c r="I26" s="74">
        <f>Govt!V27*100</f>
        <v>85</v>
      </c>
      <c r="J26" s="74">
        <f>Govt!W27*100</f>
        <v>0</v>
      </c>
      <c r="K26" s="74">
        <f>Govt!X27*100</f>
        <v>10</v>
      </c>
      <c r="L26" s="74">
        <f>Govt!Y27*100</f>
        <v>25</v>
      </c>
      <c r="M26" s="74">
        <f>Govt!Z27*100</f>
        <v>35</v>
      </c>
      <c r="N26" s="74">
        <f>Govt!AA27*100</f>
        <v>15</v>
      </c>
      <c r="O26" s="74">
        <f>Govt!AB27*100</f>
        <v>1</v>
      </c>
      <c r="P26" s="74">
        <f>Govt!AC27*100</f>
        <v>15</v>
      </c>
      <c r="Q26" s="74">
        <f>Govt!AD27*100</f>
        <v>1</v>
      </c>
      <c r="R26" s="74">
        <f>Govt!AE27*100</f>
        <v>15</v>
      </c>
      <c r="S26" s="74">
        <f>Govt!AF27*100</f>
        <v>1</v>
      </c>
      <c r="U26" t="str">
        <f>Regions!B26</f>
        <v>Albania</v>
      </c>
      <c r="V26">
        <f>Regions!C26</f>
        <v>982000</v>
      </c>
      <c r="W26" s="25">
        <f>Regions!D26</f>
        <v>16</v>
      </c>
      <c r="X26" s="25">
        <f>Regions!I26</f>
        <v>1</v>
      </c>
      <c r="Y26" s="25">
        <f>Regions!G26</f>
        <v>0</v>
      </c>
      <c r="Z26" s="25" t="str">
        <f>Regions!K26</f>
        <v>ITA</v>
      </c>
    </row>
    <row r="27" spans="1:26" x14ac:dyDescent="0.25">
      <c r="A27" t="str">
        <f>Stats!A28</f>
        <v>SER</v>
      </c>
      <c r="B27" t="str">
        <f>Stats!B28</f>
        <v>The Kingdom of Serbia</v>
      </c>
      <c r="C27" t="str">
        <f>Govt!C28</f>
        <v>Aristocratic</v>
      </c>
      <c r="D27" t="str">
        <f>Govt!D28</f>
        <v>Hegemony</v>
      </c>
      <c r="E27" t="str">
        <f>Govt!E28</f>
        <v>Hereditary</v>
      </c>
      <c r="F27" s="74">
        <f>Govt!AN28*100</f>
        <v>45</v>
      </c>
      <c r="G27">
        <f>Stats!G28</f>
        <v>54</v>
      </c>
      <c r="H27" s="74">
        <f>Govt!U28*100</f>
        <v>30</v>
      </c>
      <c r="I27" s="74">
        <f>Govt!V28*100</f>
        <v>85</v>
      </c>
      <c r="J27" s="74">
        <f>Govt!W28*100</f>
        <v>0</v>
      </c>
      <c r="K27" s="74">
        <f>Govt!X28*100</f>
        <v>10</v>
      </c>
      <c r="L27" s="74">
        <f>Govt!Y28*100</f>
        <v>25</v>
      </c>
      <c r="M27" s="74">
        <f>Govt!Z28*100</f>
        <v>35</v>
      </c>
      <c r="N27" s="74">
        <f>Govt!AA28*100</f>
        <v>15</v>
      </c>
      <c r="O27" s="74">
        <f>Govt!AB28*100</f>
        <v>1</v>
      </c>
      <c r="P27" s="74">
        <f>Govt!AC28*100</f>
        <v>15</v>
      </c>
      <c r="Q27" s="74">
        <f>Govt!AD28*100</f>
        <v>1</v>
      </c>
      <c r="R27" s="74">
        <f>Govt!AE28*100</f>
        <v>15</v>
      </c>
      <c r="S27" s="74">
        <f>Govt!AF28*100</f>
        <v>1</v>
      </c>
      <c r="U27" t="str">
        <f>Regions!B27</f>
        <v>Bulgaria</v>
      </c>
      <c r="V27">
        <f>Regions!C27</f>
        <v>6027000</v>
      </c>
      <c r="W27" s="25">
        <f>Regions!D27</f>
        <v>16</v>
      </c>
      <c r="X27" s="25">
        <f>Regions!I27</f>
        <v>1</v>
      </c>
      <c r="Y27" s="25">
        <f>Regions!G27</f>
        <v>0</v>
      </c>
      <c r="Z27" s="25">
        <f>Regions!K27</f>
        <v>0</v>
      </c>
    </row>
    <row r="28" spans="1:26" x14ac:dyDescent="0.25">
      <c r="A28" t="str">
        <f>Stats!A29</f>
        <v>BUL</v>
      </c>
      <c r="B28" t="str">
        <f>Stats!B29</f>
        <v>The Kingdom of Bulgaria</v>
      </c>
      <c r="C28" t="str">
        <f>Govt!C29</f>
        <v>Aristocratic</v>
      </c>
      <c r="D28" t="str">
        <f>Govt!D29</f>
        <v>Hegemony</v>
      </c>
      <c r="E28" t="str">
        <f>Govt!E29</f>
        <v>Hereditary</v>
      </c>
      <c r="F28" s="74">
        <f>Govt!AN29*100</f>
        <v>45</v>
      </c>
      <c r="G28">
        <f>Stats!G29</f>
        <v>21</v>
      </c>
      <c r="H28" s="74">
        <f>Govt!U29*100</f>
        <v>30</v>
      </c>
      <c r="I28" s="74">
        <f>Govt!V29*100</f>
        <v>85</v>
      </c>
      <c r="J28" s="74">
        <f>Govt!W29*100</f>
        <v>0</v>
      </c>
      <c r="K28" s="74">
        <f>Govt!X29*100</f>
        <v>10</v>
      </c>
      <c r="L28" s="74">
        <f>Govt!Y29*100</f>
        <v>25</v>
      </c>
      <c r="M28" s="74">
        <f>Govt!Z29*100</f>
        <v>35</v>
      </c>
      <c r="N28" s="74">
        <f>Govt!AA29*100</f>
        <v>15</v>
      </c>
      <c r="O28" s="74">
        <f>Govt!AB29*100</f>
        <v>1</v>
      </c>
      <c r="P28" s="74">
        <f>Govt!AC29*100</f>
        <v>15</v>
      </c>
      <c r="Q28" s="74">
        <f>Govt!AD29*100</f>
        <v>1</v>
      </c>
      <c r="R28" s="74">
        <f>Govt!AE29*100</f>
        <v>15</v>
      </c>
      <c r="S28" s="74">
        <f>Govt!AF29*100</f>
        <v>1</v>
      </c>
      <c r="U28" t="str">
        <f>Regions!B28</f>
        <v>Bulgaria proper</v>
      </c>
      <c r="V28">
        <f>Regions!C28</f>
        <v>5500000</v>
      </c>
      <c r="W28" s="25">
        <f>Regions!D28</f>
        <v>16</v>
      </c>
      <c r="X28" s="25">
        <f>Regions!I28</f>
        <v>1</v>
      </c>
      <c r="Y28" s="25">
        <f>Regions!G28</f>
        <v>0</v>
      </c>
      <c r="Z28" s="25" t="str">
        <f>Regions!K28</f>
        <v>BUL</v>
      </c>
    </row>
    <row r="29" spans="1:26" x14ac:dyDescent="0.25">
      <c r="A29" t="str">
        <f>Stats!A30</f>
        <v>GRE</v>
      </c>
      <c r="B29" t="str">
        <f>Stats!B30</f>
        <v>The Hellenic Republic of Greece</v>
      </c>
      <c r="C29" t="str">
        <f>Govt!C30</f>
        <v>Aristocratic</v>
      </c>
      <c r="D29" t="str">
        <f>Govt!D30</f>
        <v>Federation</v>
      </c>
      <c r="E29" t="str">
        <f>Govt!E30</f>
        <v>Elective</v>
      </c>
      <c r="F29" s="74">
        <f>Govt!AN30*100</f>
        <v>35</v>
      </c>
      <c r="G29">
        <f>Stats!G30</f>
        <v>25</v>
      </c>
      <c r="H29" s="74">
        <f>Govt!U30*100</f>
        <v>25</v>
      </c>
      <c r="I29" s="74">
        <f>Govt!V30*100</f>
        <v>45</v>
      </c>
      <c r="J29" s="74">
        <f>Govt!W30*100</f>
        <v>0</v>
      </c>
      <c r="K29" s="74">
        <f>Govt!X30*100</f>
        <v>10</v>
      </c>
      <c r="L29" s="74">
        <f>Govt!Y30*100</f>
        <v>30</v>
      </c>
      <c r="M29" s="74">
        <f>Govt!Z30*100</f>
        <v>85</v>
      </c>
      <c r="N29" s="74">
        <f>Govt!AA30*100</f>
        <v>10</v>
      </c>
      <c r="O29" s="74">
        <f>Govt!AB30*100</f>
        <v>10</v>
      </c>
      <c r="P29" s="74">
        <f>Govt!AC30*100</f>
        <v>15</v>
      </c>
      <c r="Q29" s="74">
        <f>Govt!AD30*100</f>
        <v>10</v>
      </c>
      <c r="R29" s="74">
        <f>Govt!AE30*100</f>
        <v>20</v>
      </c>
      <c r="S29" s="74">
        <f>Govt!AF30*100</f>
        <v>20</v>
      </c>
      <c r="U29" t="str">
        <f>Regions!B29</f>
        <v>Edirne</v>
      </c>
      <c r="V29">
        <f>Regions!C29</f>
        <v>527000</v>
      </c>
      <c r="W29" s="25">
        <f>Regions!D29</f>
        <v>20</v>
      </c>
      <c r="X29" s="25">
        <f>Regions!I29</f>
        <v>0.75</v>
      </c>
      <c r="Y29" s="25">
        <f>Regions!G29</f>
        <v>0</v>
      </c>
      <c r="Z29" s="25" t="str">
        <f>Regions!K29</f>
        <v>TUR</v>
      </c>
    </row>
    <row r="30" spans="1:26" x14ac:dyDescent="0.25">
      <c r="A30" t="str">
        <f>Stats!A31</f>
        <v>QIN</v>
      </c>
      <c r="B30" t="str">
        <f>Stats!B31</f>
        <v>The Empire of the Great Qing</v>
      </c>
      <c r="C30" t="str">
        <f>Govt!C31</f>
        <v>Bureaucratic</v>
      </c>
      <c r="D30" t="str">
        <f>Govt!D31</f>
        <v>Hegemony</v>
      </c>
      <c r="E30" t="str">
        <f>Govt!E31</f>
        <v>Hereditary</v>
      </c>
      <c r="F30" s="74">
        <f>Govt!AN31*100</f>
        <v>85</v>
      </c>
      <c r="G30">
        <f>Stats!G31</f>
        <v>441</v>
      </c>
      <c r="H30" s="74">
        <f>Govt!U31*100</f>
        <v>20</v>
      </c>
      <c r="I30" s="74">
        <f>Govt!V31*100</f>
        <v>95</v>
      </c>
      <c r="J30" s="74">
        <f>Govt!W31*100</f>
        <v>35</v>
      </c>
      <c r="K30" s="74">
        <f>Govt!X31*100</f>
        <v>80</v>
      </c>
      <c r="L30" s="74">
        <f>Govt!Y31*100</f>
        <v>15</v>
      </c>
      <c r="M30" s="74">
        <f>Govt!Z31*100</f>
        <v>15</v>
      </c>
      <c r="N30" s="74">
        <f>Govt!AA31*100</f>
        <v>5</v>
      </c>
      <c r="O30" s="74">
        <f>Govt!AB31*100</f>
        <v>1</v>
      </c>
      <c r="P30" s="74">
        <f>Govt!AC31*100</f>
        <v>10</v>
      </c>
      <c r="Q30" s="74">
        <f>Govt!AD31*100</f>
        <v>1</v>
      </c>
      <c r="R30" s="74">
        <f>Govt!AE31*100</f>
        <v>15</v>
      </c>
      <c r="S30" s="74">
        <f>Govt!AF31*100</f>
        <v>1</v>
      </c>
      <c r="U30" t="str">
        <f>Regions!B30</f>
        <v>Czechoslovakia</v>
      </c>
      <c r="V30">
        <f>Regions!C30</f>
        <v>13964000</v>
      </c>
      <c r="W30" s="25">
        <f>Regions!D30</f>
        <v>38</v>
      </c>
      <c r="X30" s="25">
        <f>Regions!I30</f>
        <v>0.75</v>
      </c>
      <c r="Y30" s="25">
        <f>Regions!G30</f>
        <v>0</v>
      </c>
      <c r="Z30" s="25" t="str">
        <f>Regions!K30</f>
        <v>AUS</v>
      </c>
    </row>
    <row r="31" spans="1:26" x14ac:dyDescent="0.25">
      <c r="A31" t="str">
        <f>Stats!A32</f>
        <v>NRC</v>
      </c>
      <c r="B31" t="str">
        <f>Stats!B32</f>
        <v>The National Han Republic of China</v>
      </c>
      <c r="C31" t="str">
        <f>Govt!C32</f>
        <v>Military</v>
      </c>
      <c r="D31" t="str">
        <f>Govt!D32</f>
        <v>Coalition</v>
      </c>
      <c r="E31" t="str">
        <f>Govt!E32</f>
        <v>Elective</v>
      </c>
      <c r="F31" s="74">
        <f>Govt!AN32*100</f>
        <v>25</v>
      </c>
      <c r="G31">
        <f>Stats!G32</f>
        <v>846</v>
      </c>
      <c r="H31" s="74">
        <f>Govt!U32*100</f>
        <v>15</v>
      </c>
      <c r="I31" s="74">
        <f>Govt!V32*100</f>
        <v>5</v>
      </c>
      <c r="J31" s="74">
        <f>Govt!W32*100</f>
        <v>10</v>
      </c>
      <c r="K31" s="74">
        <f>Govt!X32*100</f>
        <v>55.000000000000007</v>
      </c>
      <c r="L31" s="74">
        <f>Govt!Y32*100</f>
        <v>35</v>
      </c>
      <c r="M31" s="74">
        <f>Govt!Z32*100</f>
        <v>75</v>
      </c>
      <c r="N31" s="74">
        <f>Govt!AA32*100</f>
        <v>10</v>
      </c>
      <c r="O31" s="74">
        <f>Govt!AB32*100</f>
        <v>35</v>
      </c>
      <c r="P31" s="74">
        <f>Govt!AC32*100</f>
        <v>10</v>
      </c>
      <c r="Q31" s="74">
        <f>Govt!AD32*100</f>
        <v>45</v>
      </c>
      <c r="R31" s="74">
        <f>Govt!AE32*100</f>
        <v>20</v>
      </c>
      <c r="S31" s="74">
        <f>Govt!AF32*100</f>
        <v>60</v>
      </c>
      <c r="U31" t="str">
        <f>Regions!B31</f>
        <v>Hungary</v>
      </c>
      <c r="V31">
        <f>Regions!C31</f>
        <v>8649000</v>
      </c>
      <c r="W31" s="25">
        <f>Regions!D31</f>
        <v>28</v>
      </c>
      <c r="X31" s="25">
        <f>Regions!I31</f>
        <v>1</v>
      </c>
      <c r="Y31" s="25">
        <f>Regions!G31</f>
        <v>0</v>
      </c>
      <c r="Z31" s="25" t="str">
        <f>Regions!K31</f>
        <v>HUN</v>
      </c>
    </row>
    <row r="32" spans="1:26" x14ac:dyDescent="0.25">
      <c r="A32" t="str">
        <f>Stats!A33</f>
        <v>GXI</v>
      </c>
      <c r="B32" t="str">
        <f>Stats!B33</f>
        <v>The Confederation of Guangxi</v>
      </c>
      <c r="C32" t="str">
        <f>Govt!C33</f>
        <v>Aristocratic</v>
      </c>
      <c r="D32" t="str">
        <f>Govt!D33</f>
        <v>Confederation</v>
      </c>
      <c r="E32" t="str">
        <f>Govt!E33</f>
        <v>Hereditary</v>
      </c>
      <c r="F32" s="74">
        <f>Govt!AN33*100</f>
        <v>55.000000000000007</v>
      </c>
      <c r="G32">
        <f>Stats!G33</f>
        <v>524</v>
      </c>
      <c r="H32" s="74">
        <f>Govt!U33*100</f>
        <v>35</v>
      </c>
      <c r="I32" s="74">
        <f>Govt!V33*100</f>
        <v>75</v>
      </c>
      <c r="J32" s="74">
        <f>Govt!W33*100</f>
        <v>10</v>
      </c>
      <c r="K32" s="74">
        <f>Govt!X33*100</f>
        <v>75</v>
      </c>
      <c r="L32" s="74">
        <f>Govt!Y33*100</f>
        <v>20</v>
      </c>
      <c r="M32" s="74">
        <f>Govt!Z33*100</f>
        <v>55.000000000000007</v>
      </c>
      <c r="N32" s="74">
        <f>Govt!AA33*100</f>
        <v>10</v>
      </c>
      <c r="O32" s="74">
        <f>Govt!AB33*100</f>
        <v>1</v>
      </c>
      <c r="P32" s="74">
        <f>Govt!AC33*100</f>
        <v>10</v>
      </c>
      <c r="Q32" s="74">
        <f>Govt!AD33*100</f>
        <v>10</v>
      </c>
      <c r="R32" s="74">
        <f>Govt!AE33*100</f>
        <v>15</v>
      </c>
      <c r="S32" s="74">
        <f>Govt!AF33*100</f>
        <v>1</v>
      </c>
      <c r="U32" t="str">
        <f>Regions!B32</f>
        <v>Poland</v>
      </c>
      <c r="V32">
        <f>Regions!C32</f>
        <v>28204000</v>
      </c>
      <c r="W32" s="25">
        <f>Regions!D32</f>
        <v>20</v>
      </c>
      <c r="X32" s="25">
        <f>Regions!I32</f>
        <v>0.25</v>
      </c>
      <c r="Y32" s="25">
        <f>Regions!G32</f>
        <v>0</v>
      </c>
      <c r="Z32" s="25" t="str">
        <f>Regions!K32</f>
        <v>RUS</v>
      </c>
    </row>
    <row r="33" spans="1:26" x14ac:dyDescent="0.25">
      <c r="A33" t="str">
        <f>Stats!A34</f>
        <v>YUN</v>
      </c>
      <c r="B33" t="str">
        <f>Stats!B34</f>
        <v>The State of Yunnan</v>
      </c>
      <c r="C33" t="str">
        <f>Govt!C34</f>
        <v>Aristocratic</v>
      </c>
      <c r="D33" t="str">
        <f>Govt!D34</f>
        <v>Unitary</v>
      </c>
      <c r="E33" t="str">
        <f>Govt!E34</f>
        <v>Hereditary</v>
      </c>
      <c r="F33" s="74">
        <f>Govt!AN34*100</f>
        <v>35</v>
      </c>
      <c r="G33">
        <f>Stats!G34</f>
        <v>292</v>
      </c>
      <c r="H33" s="74">
        <f>Govt!U34*100</f>
        <v>40</v>
      </c>
      <c r="I33" s="74">
        <f>Govt!V34*100</f>
        <v>55.000000000000007</v>
      </c>
      <c r="J33" s="74">
        <f>Govt!W34*100</f>
        <v>0</v>
      </c>
      <c r="K33" s="74">
        <f>Govt!X34*100</f>
        <v>10</v>
      </c>
      <c r="L33" s="74">
        <f>Govt!Y34*100</f>
        <v>20</v>
      </c>
      <c r="M33" s="74">
        <f>Govt!Z34*100</f>
        <v>45</v>
      </c>
      <c r="N33" s="74">
        <f>Govt!AA34*100</f>
        <v>5</v>
      </c>
      <c r="O33" s="74">
        <f>Govt!AB34*100</f>
        <v>10</v>
      </c>
      <c r="P33" s="74">
        <f>Govt!AC34*100</f>
        <v>10</v>
      </c>
      <c r="Q33" s="74">
        <f>Govt!AD34*100</f>
        <v>5</v>
      </c>
      <c r="R33" s="74">
        <f>Govt!AE34*100</f>
        <v>25</v>
      </c>
      <c r="S33" s="74">
        <f>Govt!AF34*100</f>
        <v>5</v>
      </c>
      <c r="U33" t="str">
        <f>Regions!B33</f>
        <v>Romania</v>
      </c>
      <c r="V33">
        <f>Regions!C33</f>
        <v>14141000</v>
      </c>
      <c r="W33" s="25">
        <f>Regions!D33</f>
        <v>18</v>
      </c>
      <c r="X33" s="25">
        <f>Regions!I33</f>
        <v>1</v>
      </c>
      <c r="Y33" s="25">
        <f>Regions!G33</f>
        <v>0</v>
      </c>
      <c r="Z33" s="25" t="str">
        <f>Regions!K33</f>
        <v>ROM</v>
      </c>
    </row>
    <row r="34" spans="1:26" x14ac:dyDescent="0.25">
      <c r="A34" t="str">
        <f>Stats!A35</f>
        <v>TIB</v>
      </c>
      <c r="B34" t="str">
        <f>Stats!B35</f>
        <v>The Heavenly Domain of Tibet</v>
      </c>
      <c r="C34" t="str">
        <f>Govt!C35</f>
        <v>Aristocratic</v>
      </c>
      <c r="D34" t="str">
        <f>Govt!D35</f>
        <v>Hegemony</v>
      </c>
      <c r="E34" t="str">
        <f>Govt!E35</f>
        <v>Appointed</v>
      </c>
      <c r="F34" s="74">
        <f>Govt!AN35*100</f>
        <v>90</v>
      </c>
      <c r="G34">
        <f>Stats!G35</f>
        <v>19</v>
      </c>
      <c r="H34" s="74">
        <f>Govt!U35*100</f>
        <v>50</v>
      </c>
      <c r="I34" s="74">
        <f>Govt!V35*100</f>
        <v>90</v>
      </c>
      <c r="J34" s="74">
        <f>Govt!W35*100</f>
        <v>0</v>
      </c>
      <c r="K34" s="74">
        <f>Govt!X35*100</f>
        <v>10</v>
      </c>
      <c r="L34" s="74">
        <f>Govt!Y35*100</f>
        <v>20</v>
      </c>
      <c r="M34" s="74">
        <f>Govt!Z35*100</f>
        <v>1</v>
      </c>
      <c r="N34" s="74">
        <f>Govt!AA35*100</f>
        <v>5</v>
      </c>
      <c r="O34" s="74">
        <f>Govt!AB35*100</f>
        <v>5</v>
      </c>
      <c r="P34" s="74">
        <f>Govt!AC35*100</f>
        <v>5</v>
      </c>
      <c r="Q34" s="74">
        <f>Govt!AD35*100</f>
        <v>10</v>
      </c>
      <c r="R34" s="74">
        <f>Govt!AE35*100</f>
        <v>20</v>
      </c>
      <c r="S34" s="74">
        <f>Govt!AF35*100</f>
        <v>1</v>
      </c>
      <c r="U34" t="str">
        <f>Regions!B34</f>
        <v>Serbia</v>
      </c>
      <c r="V34">
        <f>Regions!C34</f>
        <v>10207000</v>
      </c>
      <c r="W34" s="25">
        <f>Regions!D34</f>
        <v>18</v>
      </c>
      <c r="X34" s="25">
        <f>Regions!I34</f>
        <v>1</v>
      </c>
      <c r="Y34" s="25">
        <f>Regions!G34</f>
        <v>0</v>
      </c>
      <c r="Z34" s="25" t="str">
        <f>Regions!K34</f>
        <v>SER</v>
      </c>
    </row>
    <row r="35" spans="1:26" x14ac:dyDescent="0.25">
      <c r="A35" t="str">
        <f>Stats!A36</f>
        <v>KOR</v>
      </c>
      <c r="B35" t="str">
        <f>Stats!B36</f>
        <v>The Kingdom of Korea</v>
      </c>
      <c r="C35" t="str">
        <f>Govt!C36</f>
        <v>Aristocratic</v>
      </c>
      <c r="D35" t="str">
        <f>Govt!D36</f>
        <v>Hegemony</v>
      </c>
      <c r="E35" t="str">
        <f>Govt!E36</f>
        <v>Hereditary</v>
      </c>
      <c r="F35" s="74">
        <f>Govt!AN36*100</f>
        <v>80</v>
      </c>
      <c r="G35">
        <f>Stats!G36</f>
        <v>92</v>
      </c>
      <c r="H35" s="74">
        <f>Govt!U36*100</f>
        <v>55.000000000000007</v>
      </c>
      <c r="I35" s="74">
        <f>Govt!V36*100</f>
        <v>85</v>
      </c>
      <c r="J35" s="74">
        <f>Govt!W36*100</f>
        <v>20</v>
      </c>
      <c r="K35" s="74">
        <f>Govt!X36*100</f>
        <v>85</v>
      </c>
      <c r="L35" s="74">
        <f>Govt!Y36*100</f>
        <v>15</v>
      </c>
      <c r="M35" s="74">
        <f>Govt!Z36*100</f>
        <v>25</v>
      </c>
      <c r="N35" s="74">
        <f>Govt!AA36*100</f>
        <v>0</v>
      </c>
      <c r="O35" s="74">
        <f>Govt!AB36*100</f>
        <v>10</v>
      </c>
      <c r="P35" s="74">
        <f>Govt!AC36*100</f>
        <v>5</v>
      </c>
      <c r="Q35" s="74">
        <f>Govt!AD36*100</f>
        <v>10</v>
      </c>
      <c r="R35" s="74">
        <f>Govt!AE36*100</f>
        <v>5</v>
      </c>
      <c r="S35" s="74">
        <f>Govt!AF36*100</f>
        <v>1</v>
      </c>
      <c r="U35" t="str">
        <f>Regions!B35</f>
        <v>Croatia</v>
      </c>
      <c r="V35">
        <f>Regions!C35</f>
        <v>4200000</v>
      </c>
      <c r="W35" s="25">
        <f>Regions!D35</f>
        <v>18</v>
      </c>
      <c r="X35" s="25">
        <f>Regions!I35</f>
        <v>1</v>
      </c>
      <c r="Y35" s="25">
        <f>Regions!G35</f>
        <v>0</v>
      </c>
      <c r="Z35" s="25" t="str">
        <f>Regions!K35</f>
        <v>SER</v>
      </c>
    </row>
    <row r="36" spans="1:26" x14ac:dyDescent="0.25">
      <c r="A36" t="str">
        <f>Stats!A37</f>
        <v>AFG</v>
      </c>
      <c r="B36" t="str">
        <f>Stats!B37</f>
        <v>The Sultanate of Afghanistan</v>
      </c>
      <c r="C36" t="str">
        <f>Govt!C37</f>
        <v>Aristocratic</v>
      </c>
      <c r="D36" t="str">
        <f>Govt!D37</f>
        <v>Hegemony</v>
      </c>
      <c r="E36" t="str">
        <f>Govt!E37</f>
        <v>Hereditary</v>
      </c>
      <c r="F36" s="74">
        <f>Govt!AN37*100</f>
        <v>85</v>
      </c>
      <c r="G36">
        <f>Stats!G37</f>
        <v>26</v>
      </c>
      <c r="H36" s="74">
        <f>Govt!U37*100</f>
        <v>55.000000000000007</v>
      </c>
      <c r="I36" s="74">
        <f>Govt!V37*100</f>
        <v>85</v>
      </c>
      <c r="J36" s="74">
        <f>Govt!W37*100</f>
        <v>25</v>
      </c>
      <c r="K36" s="74">
        <f>Govt!X37*100</f>
        <v>45</v>
      </c>
      <c r="L36" s="74">
        <f>Govt!Y37*100</f>
        <v>10</v>
      </c>
      <c r="M36" s="74">
        <f>Govt!Z37*100</f>
        <v>15</v>
      </c>
      <c r="N36" s="74">
        <f>Govt!AA37*100</f>
        <v>0</v>
      </c>
      <c r="O36" s="74">
        <f>Govt!AB37*100</f>
        <v>10</v>
      </c>
      <c r="P36" s="74">
        <f>Govt!AC37*100</f>
        <v>5</v>
      </c>
      <c r="Q36" s="74">
        <f>Govt!AD37*100</f>
        <v>1</v>
      </c>
      <c r="R36" s="74">
        <f>Govt!AE37*100</f>
        <v>5</v>
      </c>
      <c r="S36" s="74">
        <f>Govt!AF37*100</f>
        <v>1</v>
      </c>
      <c r="U36" t="str">
        <f>Regions!B36</f>
        <v>RUSSIA</v>
      </c>
      <c r="V36">
        <f>Regions!C36</f>
        <v>174212000</v>
      </c>
      <c r="W36" s="25">
        <f>Regions!D36</f>
        <v>8</v>
      </c>
      <c r="X36" s="25">
        <f>Regions!I36</f>
        <v>1</v>
      </c>
      <c r="Y36" s="25">
        <f>Regions!G36</f>
        <v>0</v>
      </c>
      <c r="Z36" s="25">
        <f>Regions!K36</f>
        <v>0</v>
      </c>
    </row>
    <row r="37" spans="1:26" x14ac:dyDescent="0.25">
      <c r="A37" t="str">
        <f>Stats!A38</f>
        <v>PER</v>
      </c>
      <c r="B37" t="str">
        <f>Stats!B38</f>
        <v>The Persian Empire</v>
      </c>
      <c r="C37" t="str">
        <f>Govt!C38</f>
        <v>Aristocratic</v>
      </c>
      <c r="D37" t="str">
        <f>Govt!D38</f>
        <v>Hegemony</v>
      </c>
      <c r="E37" t="str">
        <f>Govt!E38</f>
        <v>Hereditary</v>
      </c>
      <c r="F37" s="74">
        <f>Govt!AN38*100</f>
        <v>70</v>
      </c>
      <c r="G37">
        <f>Stats!G38</f>
        <v>52</v>
      </c>
      <c r="H37" s="74">
        <f>Govt!U38*100</f>
        <v>40</v>
      </c>
      <c r="I37" s="74">
        <f>Govt!V38*100</f>
        <v>85</v>
      </c>
      <c r="J37" s="74">
        <f>Govt!W38*100</f>
        <v>30</v>
      </c>
      <c r="K37" s="74">
        <f>Govt!X38*100</f>
        <v>80</v>
      </c>
      <c r="L37" s="74">
        <f>Govt!Y38*100</f>
        <v>15</v>
      </c>
      <c r="M37" s="74">
        <f>Govt!Z38*100</f>
        <v>25</v>
      </c>
      <c r="N37" s="74">
        <f>Govt!AA38*100</f>
        <v>0</v>
      </c>
      <c r="O37" s="74">
        <f>Govt!AB38*100</f>
        <v>10</v>
      </c>
      <c r="P37" s="74">
        <f>Govt!AC38*100</f>
        <v>5</v>
      </c>
      <c r="Q37" s="74">
        <f>Govt!AD38*100</f>
        <v>1</v>
      </c>
      <c r="R37" s="74">
        <f>Govt!AE38*100</f>
        <v>10</v>
      </c>
      <c r="S37" s="74">
        <f>Govt!AF38*100</f>
        <v>1</v>
      </c>
      <c r="U37" t="str">
        <f>Regions!B37</f>
        <v>Western Russia</v>
      </c>
      <c r="V37">
        <f>Regions!C37</f>
        <v>104527200</v>
      </c>
      <c r="W37" s="25">
        <f>Regions!D37</f>
        <v>14</v>
      </c>
      <c r="X37" s="25">
        <f>Regions!I37</f>
        <v>1</v>
      </c>
      <c r="Y37" s="25">
        <f>Regions!G37</f>
        <v>0</v>
      </c>
      <c r="Z37" s="25" t="str">
        <f>Regions!K37</f>
        <v>RUS</v>
      </c>
    </row>
    <row r="38" spans="1:26" x14ac:dyDescent="0.25">
      <c r="A38" t="str">
        <f>Stats!A39</f>
        <v>ETH</v>
      </c>
      <c r="B38" t="str">
        <f>Stats!B39</f>
        <v>The Kingdom of Ethiopia</v>
      </c>
      <c r="C38" t="str">
        <f>Govt!C39</f>
        <v>Aristocratic</v>
      </c>
      <c r="D38" t="str">
        <f>Govt!D39</f>
        <v>Hegemony</v>
      </c>
      <c r="E38" t="str">
        <f>Govt!E39</f>
        <v>Hereditary</v>
      </c>
      <c r="F38" s="74">
        <f>Govt!AN39*100</f>
        <v>65</v>
      </c>
      <c r="G38">
        <f>Stats!G39</f>
        <v>72</v>
      </c>
      <c r="H38" s="74">
        <f>Govt!U39*100</f>
        <v>45</v>
      </c>
      <c r="I38" s="74">
        <f>Govt!V39*100</f>
        <v>95</v>
      </c>
      <c r="J38" s="74">
        <f>Govt!W39*100</f>
        <v>15</v>
      </c>
      <c r="K38" s="74">
        <f>Govt!X39*100</f>
        <v>75</v>
      </c>
      <c r="L38" s="74">
        <f>Govt!Y39*100</f>
        <v>25</v>
      </c>
      <c r="M38" s="74">
        <f>Govt!Z39*100</f>
        <v>35</v>
      </c>
      <c r="N38" s="74">
        <f>Govt!AA39*100</f>
        <v>0</v>
      </c>
      <c r="O38" s="74">
        <f>Govt!AB39*100</f>
        <v>10</v>
      </c>
      <c r="P38" s="74">
        <f>Govt!AC39*100</f>
        <v>5</v>
      </c>
      <c r="Q38" s="74">
        <f>Govt!AD39*100</f>
        <v>1</v>
      </c>
      <c r="R38" s="74">
        <f>Govt!AE39*100</f>
        <v>10</v>
      </c>
      <c r="S38" s="74">
        <f>Govt!AF39*100</f>
        <v>1</v>
      </c>
      <c r="U38" t="str">
        <f>Regions!B38</f>
        <v>Siberia</v>
      </c>
      <c r="V38">
        <f>Regions!C38</f>
        <v>69684800</v>
      </c>
      <c r="W38" s="25">
        <f>Regions!D38</f>
        <v>8</v>
      </c>
      <c r="X38" s="25">
        <f>Regions!I38</f>
        <v>1</v>
      </c>
      <c r="Y38" s="25">
        <f>Regions!G38</f>
        <v>0</v>
      </c>
      <c r="Z38" s="25" t="str">
        <f>Regions!K38</f>
        <v>RUS</v>
      </c>
    </row>
    <row r="39" spans="1:26" x14ac:dyDescent="0.25">
      <c r="A39" t="str">
        <f>Stats!A40</f>
        <v>COL</v>
      </c>
      <c r="B39" t="str">
        <f>Stats!B40</f>
        <v>The Dominion of Colombia</v>
      </c>
      <c r="C39" t="str">
        <f>Govt!C40</f>
        <v>Military</v>
      </c>
      <c r="D39" t="str">
        <f>Govt!D40</f>
        <v>Unitary</v>
      </c>
      <c r="E39" t="str">
        <f>Govt!E40</f>
        <v>Appointed</v>
      </c>
      <c r="F39" s="74">
        <f>Govt!AN40*100</f>
        <v>55.000000000000007</v>
      </c>
      <c r="G39">
        <f>Stats!G40</f>
        <v>60</v>
      </c>
      <c r="H39" s="74">
        <f>Govt!U40*100</f>
        <v>0</v>
      </c>
      <c r="I39" s="74">
        <f>Govt!V40*100</f>
        <v>0</v>
      </c>
      <c r="J39" s="74">
        <f>Govt!W40*100</f>
        <v>55.000000000000007</v>
      </c>
      <c r="K39" s="74">
        <f>Govt!X40*100</f>
        <v>85</v>
      </c>
      <c r="L39" s="74">
        <f>Govt!Y40*100</f>
        <v>10</v>
      </c>
      <c r="M39" s="74">
        <f>Govt!Z40*100</f>
        <v>10</v>
      </c>
      <c r="N39" s="74">
        <f>Govt!AA40*100</f>
        <v>0</v>
      </c>
      <c r="O39" s="74">
        <f>Govt!AB40*100</f>
        <v>10</v>
      </c>
      <c r="P39" s="74">
        <f>Govt!AC40*100</f>
        <v>25</v>
      </c>
      <c r="Q39" s="74">
        <f>Govt!AD40*100</f>
        <v>1</v>
      </c>
      <c r="R39" s="74">
        <f>Govt!AE40*100</f>
        <v>10</v>
      </c>
      <c r="S39" s="74">
        <f>Govt!AF40*100</f>
        <v>10</v>
      </c>
      <c r="U39" t="str">
        <f>Regions!B39</f>
        <v>Azerbaijan</v>
      </c>
      <c r="V39">
        <f>Regions!C39</f>
        <v>2139217.9311213107</v>
      </c>
      <c r="W39" s="25">
        <f>Regions!D39</f>
        <v>18</v>
      </c>
      <c r="X39" s="25">
        <f>Regions!I39</f>
        <v>1</v>
      </c>
      <c r="Y39" s="25">
        <f>Regions!G39</f>
        <v>0</v>
      </c>
      <c r="Z39" s="25" t="str">
        <f>Regions!K39</f>
        <v>AZJ</v>
      </c>
    </row>
    <row r="40" spans="1:26" x14ac:dyDescent="0.25">
      <c r="A40" t="str">
        <f>Stats!A41</f>
        <v>BRZ</v>
      </c>
      <c r="B40" t="str">
        <f>Stats!B41</f>
        <v>The Democratic Republic of Brazil</v>
      </c>
      <c r="C40" t="str">
        <f>Govt!C41</f>
        <v>Military</v>
      </c>
      <c r="D40" t="str">
        <f>Govt!D41</f>
        <v>Federation</v>
      </c>
      <c r="E40" t="str">
        <f>Govt!E41</f>
        <v>Elective</v>
      </c>
      <c r="F40" s="74">
        <f>Govt!AN41*100</f>
        <v>17.5</v>
      </c>
      <c r="G40">
        <f>Stats!G41</f>
        <v>139</v>
      </c>
      <c r="H40" s="74">
        <f>Govt!U41*100</f>
        <v>20</v>
      </c>
      <c r="I40" s="74">
        <f>Govt!V41*100</f>
        <v>1</v>
      </c>
      <c r="J40" s="74">
        <f>Govt!W41*100</f>
        <v>25</v>
      </c>
      <c r="K40" s="74">
        <f>Govt!X41*100</f>
        <v>45</v>
      </c>
      <c r="L40" s="74">
        <f>Govt!Y41*100</f>
        <v>15</v>
      </c>
      <c r="M40" s="74">
        <f>Govt!Z41*100</f>
        <v>65</v>
      </c>
      <c r="N40" s="74">
        <f>Govt!AA41*100</f>
        <v>5</v>
      </c>
      <c r="O40" s="74">
        <f>Govt!AB41*100</f>
        <v>1</v>
      </c>
      <c r="P40" s="74">
        <f>Govt!AC41*100</f>
        <v>5</v>
      </c>
      <c r="Q40" s="74">
        <f>Govt!AD41*100</f>
        <v>55.000000000000007</v>
      </c>
      <c r="R40" s="74">
        <f>Govt!AE41*100</f>
        <v>30</v>
      </c>
      <c r="S40" s="74">
        <f>Govt!AF41*100</f>
        <v>85</v>
      </c>
      <c r="U40" t="str">
        <f>Regions!B40</f>
        <v>Argentina</v>
      </c>
      <c r="V40">
        <f>Regions!C40</f>
        <v>11896000</v>
      </c>
      <c r="W40" s="25">
        <f>Regions!D40</f>
        <v>20</v>
      </c>
      <c r="X40" s="25">
        <f>Regions!I40</f>
        <v>1</v>
      </c>
      <c r="Y40" s="25">
        <f>Regions!G40</f>
        <v>0</v>
      </c>
      <c r="Z40" s="25" t="str">
        <f>Regions!K40</f>
        <v>ARG</v>
      </c>
    </row>
    <row r="41" spans="1:26" x14ac:dyDescent="0.25">
      <c r="A41" t="str">
        <f>Stats!A42</f>
        <v>BRA</v>
      </c>
      <c r="B41" t="str">
        <f>Stats!B42</f>
        <v>The Empire of Brazil</v>
      </c>
      <c r="C41" t="str">
        <f>Govt!C42</f>
        <v>Military</v>
      </c>
      <c r="D41" t="str">
        <f>Govt!D42</f>
        <v>Hegemony</v>
      </c>
      <c r="E41" t="str">
        <f>Govt!E42</f>
        <v>Hereditary</v>
      </c>
      <c r="F41" s="74">
        <f>Govt!AN42*100</f>
        <v>50</v>
      </c>
      <c r="G41">
        <f>Stats!G42</f>
        <v>76</v>
      </c>
      <c r="H41" s="74">
        <f>Govt!U42*100</f>
        <v>25</v>
      </c>
      <c r="I41" s="74">
        <f>Govt!V42*100</f>
        <v>75</v>
      </c>
      <c r="J41" s="74">
        <f>Govt!W42*100</f>
        <v>25</v>
      </c>
      <c r="K41" s="74">
        <f>Govt!X42*100</f>
        <v>65</v>
      </c>
      <c r="L41" s="74">
        <f>Govt!Y42*100</f>
        <v>15</v>
      </c>
      <c r="M41" s="74">
        <f>Govt!Z42*100</f>
        <v>45</v>
      </c>
      <c r="N41" s="74">
        <f>Govt!AA42*100</f>
        <v>5</v>
      </c>
      <c r="O41" s="74">
        <f>Govt!AB42*100</f>
        <v>10</v>
      </c>
      <c r="P41" s="74">
        <f>Govt!AC42*100</f>
        <v>5</v>
      </c>
      <c r="Q41" s="74">
        <f>Govt!AD42*100</f>
        <v>1</v>
      </c>
      <c r="R41" s="74">
        <f>Govt!AE42*100</f>
        <v>25</v>
      </c>
      <c r="S41" s="74">
        <f>Govt!AF42*100</f>
        <v>1</v>
      </c>
      <c r="U41" t="str">
        <f>Regions!B41</f>
        <v>Brazil - north</v>
      </c>
      <c r="V41">
        <f>Regions!C41</f>
        <v>13427200</v>
      </c>
      <c r="W41" s="25">
        <f>Regions!D41</f>
        <v>18</v>
      </c>
      <c r="X41" s="25">
        <f>Regions!I41</f>
        <v>1</v>
      </c>
      <c r="Y41" s="25">
        <f>Regions!G41</f>
        <v>0</v>
      </c>
      <c r="Z41" s="25" t="str">
        <f>Regions!K41</f>
        <v>BRA</v>
      </c>
    </row>
    <row r="42" spans="1:26" x14ac:dyDescent="0.25">
      <c r="A42" t="str">
        <f>Stats!A43</f>
        <v>CEN</v>
      </c>
      <c r="B42" t="str">
        <f>Stats!B43</f>
        <v>The Democratic Republic of Central America</v>
      </c>
      <c r="C42" t="str">
        <f>Govt!C43</f>
        <v>Bureaucratic</v>
      </c>
      <c r="D42" t="str">
        <f>Govt!D43</f>
        <v>Federation</v>
      </c>
      <c r="E42" t="str">
        <f>Govt!E43</f>
        <v>Elective</v>
      </c>
      <c r="F42" s="74">
        <f>Govt!AN43*100</f>
        <v>15</v>
      </c>
      <c r="G42">
        <f>Stats!G43</f>
        <v>35</v>
      </c>
      <c r="H42" s="74">
        <f>Govt!U43*100</f>
        <v>0</v>
      </c>
      <c r="I42" s="74">
        <f>Govt!V43*100</f>
        <v>0</v>
      </c>
      <c r="J42" s="74">
        <f>Govt!W43*100</f>
        <v>20</v>
      </c>
      <c r="K42" s="74">
        <f>Govt!X43*100</f>
        <v>50</v>
      </c>
      <c r="L42" s="74">
        <f>Govt!Y43*100</f>
        <v>30</v>
      </c>
      <c r="M42" s="74">
        <f>Govt!Z43*100</f>
        <v>75</v>
      </c>
      <c r="N42" s="74">
        <f>Govt!AA43*100</f>
        <v>10</v>
      </c>
      <c r="O42" s="74">
        <f>Govt!AB43*100</f>
        <v>1</v>
      </c>
      <c r="P42" s="74">
        <f>Govt!AC43*100</f>
        <v>5</v>
      </c>
      <c r="Q42" s="74">
        <f>Govt!AD43*100</f>
        <v>25</v>
      </c>
      <c r="R42" s="74">
        <f>Govt!AE43*100</f>
        <v>35</v>
      </c>
      <c r="S42" s="74">
        <f>Govt!AF43*100</f>
        <v>90</v>
      </c>
      <c r="U42" t="str">
        <f>Regions!B42</f>
        <v>Brazil - south</v>
      </c>
      <c r="V42">
        <f>Regions!C42</f>
        <v>20140800</v>
      </c>
      <c r="W42" s="25">
        <f>Regions!D42</f>
        <v>22</v>
      </c>
      <c r="X42" s="25">
        <f>Regions!I42</f>
        <v>1</v>
      </c>
      <c r="Y42" s="25">
        <f>Regions!G42</f>
        <v>0</v>
      </c>
      <c r="Z42" s="25" t="str">
        <f>Regions!K42</f>
        <v>BRZ</v>
      </c>
    </row>
    <row r="43" spans="1:26" x14ac:dyDescent="0.25">
      <c r="A43" t="str">
        <f>Stats!A44</f>
        <v>CHL</v>
      </c>
      <c r="B43" t="str">
        <f>Stats!B44</f>
        <v>The Republic of Chile</v>
      </c>
      <c r="C43" t="str">
        <f>Govt!C44</f>
        <v>Bureaucratic</v>
      </c>
      <c r="D43" t="str">
        <f>Govt!D44</f>
        <v>Confederation</v>
      </c>
      <c r="E43" t="str">
        <f>Govt!E44</f>
        <v>Elective</v>
      </c>
      <c r="F43" s="74">
        <f>Govt!AN44*100</f>
        <v>25</v>
      </c>
      <c r="G43">
        <f>Stats!G44</f>
        <v>22</v>
      </c>
      <c r="H43" s="74">
        <f>Govt!U44*100</f>
        <v>5</v>
      </c>
      <c r="I43" s="74">
        <f>Govt!V44*100</f>
        <v>65</v>
      </c>
      <c r="J43" s="74">
        <f>Govt!W44*100</f>
        <v>25</v>
      </c>
      <c r="K43" s="74">
        <f>Govt!X44*100</f>
        <v>50</v>
      </c>
      <c r="L43" s="74">
        <f>Govt!Y44*100</f>
        <v>40</v>
      </c>
      <c r="M43" s="74">
        <f>Govt!Z44*100</f>
        <v>80</v>
      </c>
      <c r="N43" s="74">
        <f>Govt!AA44*100</f>
        <v>10</v>
      </c>
      <c r="O43" s="74">
        <f>Govt!AB44*100</f>
        <v>1</v>
      </c>
      <c r="P43" s="74">
        <f>Govt!AC44*100</f>
        <v>5</v>
      </c>
      <c r="Q43" s="74">
        <f>Govt!AD44*100</f>
        <v>1</v>
      </c>
      <c r="R43" s="74">
        <f>Govt!AE44*100</f>
        <v>15</v>
      </c>
      <c r="S43" s="74">
        <f>Govt!AF44*100</f>
        <v>10</v>
      </c>
      <c r="U43" t="str">
        <f>Regions!B43</f>
        <v>Chile</v>
      </c>
      <c r="V43">
        <f>Regions!C43</f>
        <v>4266000</v>
      </c>
      <c r="W43" s="25">
        <f>Regions!D43</f>
        <v>18</v>
      </c>
      <c r="X43" s="25">
        <f>Regions!I43</f>
        <v>1</v>
      </c>
      <c r="Y43" s="25">
        <f>Regions!G43</f>
        <v>0</v>
      </c>
      <c r="Z43" s="25" t="str">
        <f>Regions!K43</f>
        <v>CHL</v>
      </c>
    </row>
    <row r="44" spans="1:26" x14ac:dyDescent="0.25">
      <c r="A44" t="str">
        <f>Stats!A45</f>
        <v>ARG</v>
      </c>
      <c r="B44" t="str">
        <f>Stats!B45</f>
        <v>The Republic of Argentina</v>
      </c>
      <c r="C44" t="str">
        <f>Govt!C45</f>
        <v>Bureaucratic</v>
      </c>
      <c r="D44" t="str">
        <f>Govt!D45</f>
        <v>Federation</v>
      </c>
      <c r="E44" t="str">
        <f>Govt!E45</f>
        <v>Elective</v>
      </c>
      <c r="F44" s="74">
        <f>Govt!AN45*100</f>
        <v>27.500000000000004</v>
      </c>
      <c r="G44">
        <f>Stats!G45</f>
        <v>64</v>
      </c>
      <c r="H44" s="74">
        <f>Govt!U45*100</f>
        <v>0</v>
      </c>
      <c r="I44" s="74">
        <f>Govt!V45*100</f>
        <v>0</v>
      </c>
      <c r="J44" s="74">
        <f>Govt!W45*100</f>
        <v>25</v>
      </c>
      <c r="K44" s="74">
        <f>Govt!X45*100</f>
        <v>55.000000000000007</v>
      </c>
      <c r="L44" s="74">
        <f>Govt!Y45*100</f>
        <v>45</v>
      </c>
      <c r="M44" s="74">
        <f>Govt!Z45*100</f>
        <v>85</v>
      </c>
      <c r="N44" s="74">
        <f>Govt!AA45*100</f>
        <v>10</v>
      </c>
      <c r="O44" s="74">
        <f>Govt!AB45*100</f>
        <v>1</v>
      </c>
      <c r="P44" s="74">
        <f>Govt!AC45*100</f>
        <v>5</v>
      </c>
      <c r="Q44" s="74">
        <f>Govt!AD45*100</f>
        <v>1</v>
      </c>
      <c r="R44" s="74">
        <f>Govt!AE45*100</f>
        <v>15</v>
      </c>
      <c r="S44" s="74">
        <f>Govt!AF45*100</f>
        <v>10</v>
      </c>
      <c r="U44" t="str">
        <f>Regions!B44</f>
        <v>Colombia</v>
      </c>
      <c r="V44">
        <f>Regions!C44</f>
        <v>7914000</v>
      </c>
      <c r="W44" s="25">
        <f>Regions!D44</f>
        <v>20</v>
      </c>
      <c r="X44" s="25">
        <f>Regions!I44</f>
        <v>1</v>
      </c>
      <c r="Y44" s="25">
        <f>Regions!G44</f>
        <v>0</v>
      </c>
      <c r="Z44" s="25" t="str">
        <f>Regions!K44</f>
        <v>COL</v>
      </c>
    </row>
    <row r="45" spans="1:26" x14ac:dyDescent="0.25">
      <c r="A45" t="str">
        <f>Stats!A46</f>
        <v>BOL</v>
      </c>
      <c r="B45" t="str">
        <f>Stats!B46</f>
        <v>The Great Bolivian Empire</v>
      </c>
      <c r="C45" t="str">
        <f>Govt!C46</f>
        <v>Aristocratic</v>
      </c>
      <c r="D45" t="str">
        <f>Govt!D46</f>
        <v>Hegemony</v>
      </c>
      <c r="E45" t="str">
        <f>Govt!E46</f>
        <v>Hereditary</v>
      </c>
      <c r="F45" s="74">
        <f>Govt!AN46*100</f>
        <v>22.5</v>
      </c>
      <c r="G45">
        <f>Stats!G46</f>
        <v>35</v>
      </c>
      <c r="H45" s="74">
        <f>Govt!U46*100</f>
        <v>15</v>
      </c>
      <c r="I45" s="74">
        <f>Govt!V46*100</f>
        <v>95</v>
      </c>
      <c r="J45" s="74">
        <f>Govt!W46*100</f>
        <v>45</v>
      </c>
      <c r="K45" s="74">
        <f>Govt!X46*100</f>
        <v>85</v>
      </c>
      <c r="L45" s="74">
        <f>Govt!Y46*100</f>
        <v>20</v>
      </c>
      <c r="M45" s="74">
        <f>Govt!Z46*100</f>
        <v>15</v>
      </c>
      <c r="N45" s="74">
        <f>Govt!AA46*100</f>
        <v>0</v>
      </c>
      <c r="O45" s="74">
        <f>Govt!AB46*100</f>
        <v>0</v>
      </c>
      <c r="P45" s="74">
        <f>Govt!AC46*100</f>
        <v>10</v>
      </c>
      <c r="Q45" s="74">
        <f>Govt!AD46*100</f>
        <v>1</v>
      </c>
      <c r="R45" s="74">
        <f>Govt!AE46*100</f>
        <v>10</v>
      </c>
      <c r="S45" s="74">
        <f>Govt!AF46*100</f>
        <v>1</v>
      </c>
      <c r="U45" t="str">
        <f>Regions!B45</f>
        <v>Mexico</v>
      </c>
      <c r="V45">
        <f>Regions!C45</f>
        <v>17175000</v>
      </c>
      <c r="W45" s="25">
        <f>Regions!D45</f>
        <v>20</v>
      </c>
      <c r="X45" s="25">
        <f>Regions!I45</f>
        <v>1</v>
      </c>
      <c r="Y45" s="25">
        <f>Regions!G45</f>
        <v>0</v>
      </c>
      <c r="Z45" s="25">
        <f>Regions!K45</f>
        <v>0</v>
      </c>
    </row>
    <row r="46" spans="1:26" x14ac:dyDescent="0.25">
      <c r="A46" t="str">
        <f>Stats!A47</f>
        <v>PAN</v>
      </c>
      <c r="B46" t="str">
        <f>Stats!B47</f>
        <v>The Dominion of Panama</v>
      </c>
      <c r="C46" t="str">
        <f>Govt!C47</f>
        <v>Military</v>
      </c>
      <c r="D46" t="str">
        <f>Govt!D47</f>
        <v>Unitary</v>
      </c>
      <c r="E46" t="str">
        <f>Govt!E47</f>
        <v>Appointed</v>
      </c>
      <c r="F46" s="74">
        <f>Govt!AN47*100</f>
        <v>55.000000000000007</v>
      </c>
      <c r="G46">
        <f>Stats!G47</f>
        <v>3</v>
      </c>
      <c r="H46" s="74">
        <f>Govt!U47*100</f>
        <v>0</v>
      </c>
      <c r="I46" s="74">
        <f>Govt!V47*100</f>
        <v>0</v>
      </c>
      <c r="J46" s="74">
        <f>Govt!W47*100</f>
        <v>55.000000000000007</v>
      </c>
      <c r="K46" s="74">
        <f>Govt!X47*100</f>
        <v>85</v>
      </c>
      <c r="L46" s="74">
        <f>Govt!Y47*100</f>
        <v>10</v>
      </c>
      <c r="M46" s="74">
        <f>Govt!Z47*100</f>
        <v>10</v>
      </c>
      <c r="N46" s="74">
        <f>Govt!AA47*100</f>
        <v>0</v>
      </c>
      <c r="O46" s="74">
        <f>Govt!AB47*100</f>
        <v>10</v>
      </c>
      <c r="P46" s="74">
        <f>Govt!AC47*100</f>
        <v>25</v>
      </c>
      <c r="Q46" s="74">
        <f>Govt!AD47*100</f>
        <v>1</v>
      </c>
      <c r="R46" s="74">
        <f>Govt!AE47*100</f>
        <v>10</v>
      </c>
      <c r="S46" s="74">
        <f>Govt!AF47*100</f>
        <v>10</v>
      </c>
      <c r="U46" t="str">
        <f>Regions!B46</f>
        <v>Sonora</v>
      </c>
      <c r="V46">
        <f>Regions!C46</f>
        <v>1436348.6005089057</v>
      </c>
      <c r="W46" s="25">
        <f>Regions!D46</f>
        <v>20</v>
      </c>
      <c r="X46" s="25">
        <f>Regions!I46</f>
        <v>1</v>
      </c>
      <c r="Y46" s="25">
        <f>Regions!G46</f>
        <v>0</v>
      </c>
      <c r="Z46" s="25" t="str">
        <f>Regions!K46</f>
        <v>SON</v>
      </c>
    </row>
    <row r="47" spans="1:26" x14ac:dyDescent="0.25">
      <c r="A47" t="str">
        <f>Stats!A48</f>
        <v>VER</v>
      </c>
      <c r="B47" t="str">
        <f>Stats!B48</f>
        <v>The Emergency State of Veracruz</v>
      </c>
      <c r="C47" t="str">
        <f>Govt!C48</f>
        <v>Military</v>
      </c>
      <c r="D47" t="str">
        <f>Govt!D48</f>
        <v>Unitary</v>
      </c>
      <c r="E47" t="str">
        <f>Govt!E48</f>
        <v>Appointed</v>
      </c>
      <c r="F47" s="74">
        <f>Govt!AN48*100</f>
        <v>55.000000000000007</v>
      </c>
      <c r="G47">
        <f>Stats!G48</f>
        <v>7</v>
      </c>
      <c r="H47" s="74">
        <f>Govt!U48*100</f>
        <v>5</v>
      </c>
      <c r="I47" s="74">
        <f>Govt!V48*100</f>
        <v>35</v>
      </c>
      <c r="J47" s="74">
        <f>Govt!W48*100</f>
        <v>35</v>
      </c>
      <c r="K47" s="74">
        <f>Govt!X48*100</f>
        <v>85</v>
      </c>
      <c r="L47" s="74">
        <f>Govt!Y48*100</f>
        <v>30</v>
      </c>
      <c r="M47" s="74">
        <f>Govt!Z48*100</f>
        <v>25</v>
      </c>
      <c r="N47" s="74">
        <f>Govt!AA48*100</f>
        <v>10</v>
      </c>
      <c r="O47" s="74">
        <f>Govt!AB48*100</f>
        <v>1</v>
      </c>
      <c r="P47" s="74">
        <f>Govt!AC48*100</f>
        <v>10</v>
      </c>
      <c r="Q47" s="74">
        <f>Govt!AD48*100</f>
        <v>1</v>
      </c>
      <c r="R47" s="74">
        <f>Govt!AE48*100</f>
        <v>10</v>
      </c>
      <c r="S47" s="74">
        <f>Govt!AF48*100</f>
        <v>1</v>
      </c>
      <c r="U47" t="str">
        <f>Regions!B47</f>
        <v>Rio Grande</v>
      </c>
      <c r="V47">
        <f>Regions!C47</f>
        <v>1554199.1094147584</v>
      </c>
      <c r="W47" s="25">
        <f>Regions!D47</f>
        <v>20</v>
      </c>
      <c r="X47" s="25">
        <f>Regions!I47</f>
        <v>1</v>
      </c>
      <c r="Y47" s="25">
        <f>Regions!G47</f>
        <v>0</v>
      </c>
      <c r="Z47" s="25" t="str">
        <f>Regions!K47</f>
        <v>RIO</v>
      </c>
    </row>
    <row r="48" spans="1:26" x14ac:dyDescent="0.25">
      <c r="A48" t="str">
        <f>Stats!A49</f>
        <v>SON</v>
      </c>
      <c r="B48" t="str">
        <f>Stats!B49</f>
        <v>The State of Sonora</v>
      </c>
      <c r="C48" t="str">
        <f>Govt!C49</f>
        <v>Military</v>
      </c>
      <c r="D48" t="str">
        <f>Govt!D49</f>
        <v>Hegemony</v>
      </c>
      <c r="E48" t="str">
        <f>Govt!E49</f>
        <v>Appointed</v>
      </c>
      <c r="F48" s="74">
        <f>Govt!AN49*100</f>
        <v>55.000000000000007</v>
      </c>
      <c r="G48">
        <f>Stats!G49</f>
        <v>10</v>
      </c>
      <c r="H48" s="74">
        <f>Govt!U49*100</f>
        <v>10</v>
      </c>
      <c r="I48" s="74">
        <f>Govt!V49*100</f>
        <v>45</v>
      </c>
      <c r="J48" s="74">
        <f>Govt!W49*100</f>
        <v>30</v>
      </c>
      <c r="K48" s="74">
        <f>Govt!X49*100</f>
        <v>90</v>
      </c>
      <c r="L48" s="74">
        <f>Govt!Y49*100</f>
        <v>30</v>
      </c>
      <c r="M48" s="74">
        <f>Govt!Z49*100</f>
        <v>55.000000000000007</v>
      </c>
      <c r="N48" s="74">
        <f>Govt!AA49*100</f>
        <v>5</v>
      </c>
      <c r="O48" s="74">
        <f>Govt!AB49*100</f>
        <v>5</v>
      </c>
      <c r="P48" s="74">
        <f>Govt!AC49*100</f>
        <v>15</v>
      </c>
      <c r="Q48" s="74">
        <f>Govt!AD49*100</f>
        <v>1</v>
      </c>
      <c r="R48" s="74">
        <f>Govt!AE49*100</f>
        <v>10</v>
      </c>
      <c r="S48" s="74">
        <f>Govt!AF49*100</f>
        <v>15</v>
      </c>
      <c r="U48" t="str">
        <f>Regions!B48</f>
        <v>Veracruz</v>
      </c>
      <c r="V48">
        <f>Regions!C48</f>
        <v>1113388.6768447838</v>
      </c>
      <c r="W48" s="25">
        <f>Regions!D48</f>
        <v>26</v>
      </c>
      <c r="X48" s="25">
        <f>Regions!I48</f>
        <v>1</v>
      </c>
      <c r="Y48" s="25">
        <f>Regions!G48</f>
        <v>0</v>
      </c>
      <c r="Z48" s="25" t="str">
        <f>Regions!K48</f>
        <v>VER</v>
      </c>
    </row>
    <row r="49" spans="1:26" x14ac:dyDescent="0.25">
      <c r="A49" t="str">
        <f>Stats!A50</f>
        <v>RAD</v>
      </c>
      <c r="B49" t="str">
        <f>Stats!B50</f>
        <v>The Raiders of Zacatecas</v>
      </c>
      <c r="C49" t="str">
        <f>Govt!C50</f>
        <v>Military</v>
      </c>
      <c r="D49" t="str">
        <f>Govt!D50</f>
        <v>Anarchy</v>
      </c>
      <c r="E49" t="str">
        <f>Govt!E50</f>
        <v>Appointed</v>
      </c>
      <c r="F49" s="74">
        <f>Govt!AN50*100</f>
        <v>55.000000000000007</v>
      </c>
      <c r="G49">
        <f>Stats!G50</f>
        <v>2</v>
      </c>
      <c r="H49" s="74">
        <f>Govt!U50*100</f>
        <v>10</v>
      </c>
      <c r="I49" s="74">
        <f>Govt!V50*100</f>
        <v>20</v>
      </c>
      <c r="J49" s="74">
        <f>Govt!W50*100</f>
        <v>15</v>
      </c>
      <c r="K49" s="74">
        <f>Govt!X50*100</f>
        <v>20</v>
      </c>
      <c r="L49" s="74">
        <f>Govt!Y50*100</f>
        <v>30</v>
      </c>
      <c r="M49" s="74">
        <f>Govt!Z50*100</f>
        <v>20</v>
      </c>
      <c r="N49" s="74">
        <f>Govt!AA50*100</f>
        <v>5</v>
      </c>
      <c r="O49" s="74">
        <f>Govt!AB50*100</f>
        <v>1</v>
      </c>
      <c r="P49" s="74">
        <f>Govt!AC50*100</f>
        <v>30</v>
      </c>
      <c r="Q49" s="74">
        <f>Govt!AD50*100</f>
        <v>78</v>
      </c>
      <c r="R49" s="74">
        <f>Govt!AE50*100</f>
        <v>10</v>
      </c>
      <c r="S49" s="74">
        <f>Govt!AF50*100</f>
        <v>10</v>
      </c>
      <c r="U49" t="str">
        <f>Regions!B49</f>
        <v>Zacatecas-Durango</v>
      </c>
      <c r="V49">
        <f>Regions!C49</f>
        <v>454795.16539440199</v>
      </c>
      <c r="W49" s="25">
        <f>Regions!D49</f>
        <v>18</v>
      </c>
      <c r="X49" s="25">
        <f>Regions!I49</f>
        <v>1</v>
      </c>
      <c r="Y49" s="25">
        <f>Regions!G49</f>
        <v>0</v>
      </c>
      <c r="Z49" s="25" t="str">
        <f>Regions!K49</f>
        <v>RAD</v>
      </c>
    </row>
    <row r="50" spans="1:26" x14ac:dyDescent="0.25">
      <c r="A50" t="str">
        <f>Stats!A51</f>
        <v>RIO</v>
      </c>
      <c r="B50" t="str">
        <f>Stats!B51</f>
        <v>The State of the Rio Grande</v>
      </c>
      <c r="C50" t="str">
        <f>Govt!C51</f>
        <v>Military</v>
      </c>
      <c r="D50" t="str">
        <f>Govt!D51</f>
        <v>Unitary</v>
      </c>
      <c r="E50" t="str">
        <f>Govt!E51</f>
        <v>Appointed</v>
      </c>
      <c r="F50" s="74">
        <f>Govt!AN51*100</f>
        <v>55.000000000000007</v>
      </c>
      <c r="G50">
        <f>Stats!G51</f>
        <v>10</v>
      </c>
      <c r="H50" s="74">
        <f>Govt!U51*100</f>
        <v>10</v>
      </c>
      <c r="I50" s="74">
        <f>Govt!V51*100</f>
        <v>30</v>
      </c>
      <c r="J50" s="74">
        <f>Govt!W51*100</f>
        <v>30</v>
      </c>
      <c r="K50" s="74">
        <f>Govt!X51*100</f>
        <v>85</v>
      </c>
      <c r="L50" s="74">
        <f>Govt!Y51*100</f>
        <v>30</v>
      </c>
      <c r="M50" s="74">
        <f>Govt!Z51*100</f>
        <v>35</v>
      </c>
      <c r="N50" s="74">
        <f>Govt!AA51*100</f>
        <v>10</v>
      </c>
      <c r="O50" s="74">
        <f>Govt!AB51*100</f>
        <v>10</v>
      </c>
      <c r="P50" s="74">
        <f>Govt!AC51*100</f>
        <v>10</v>
      </c>
      <c r="Q50" s="74">
        <f>Govt!AD51*100</f>
        <v>1</v>
      </c>
      <c r="R50" s="74">
        <f>Govt!AE51*100</f>
        <v>10</v>
      </c>
      <c r="S50" s="74">
        <f>Govt!AF51*100</f>
        <v>1</v>
      </c>
      <c r="U50" t="str">
        <f>Regions!B50</f>
        <v>Sinaloa</v>
      </c>
      <c r="V50">
        <f>Regions!C50</f>
        <v>1631697.8371501272</v>
      </c>
      <c r="W50" s="25">
        <f>Regions!D50</f>
        <v>24</v>
      </c>
      <c r="X50" s="25">
        <f>Regions!I50</f>
        <v>1</v>
      </c>
      <c r="Y50" s="25">
        <f>Regions!G50</f>
        <v>0</v>
      </c>
      <c r="Z50" s="25" t="str">
        <f>Regions!K50</f>
        <v>MIM</v>
      </c>
    </row>
    <row r="51" spans="1:26" x14ac:dyDescent="0.25">
      <c r="A51" t="str">
        <f>Stats!A52</f>
        <v>MEX</v>
      </c>
      <c r="B51" t="str">
        <f>Stats!B52</f>
        <v>The Mexican Republic</v>
      </c>
      <c r="C51" t="str">
        <f>Govt!C52</f>
        <v>Bureaucratic</v>
      </c>
      <c r="D51" t="str">
        <f>Govt!D52</f>
        <v>Federation</v>
      </c>
      <c r="E51" t="str">
        <f>Govt!E52</f>
        <v>Elective</v>
      </c>
      <c r="F51" s="74">
        <f>Govt!AN52*100</f>
        <v>55.000000000000007</v>
      </c>
      <c r="G51">
        <f>Stats!G52</f>
        <v>44</v>
      </c>
      <c r="H51" s="74">
        <f>Govt!U52*100</f>
        <v>10</v>
      </c>
      <c r="I51" s="74">
        <f>Govt!V52*100</f>
        <v>45</v>
      </c>
      <c r="J51" s="74">
        <f>Govt!W52*100</f>
        <v>15</v>
      </c>
      <c r="K51" s="74">
        <f>Govt!X52*100</f>
        <v>65</v>
      </c>
      <c r="L51" s="74">
        <f>Govt!Y52*100</f>
        <v>45</v>
      </c>
      <c r="M51" s="74">
        <f>Govt!Z52*100</f>
        <v>85</v>
      </c>
      <c r="N51" s="74">
        <f>Govt!AA52*100</f>
        <v>5</v>
      </c>
      <c r="O51" s="74">
        <f>Govt!AB52*100</f>
        <v>1</v>
      </c>
      <c r="P51" s="74">
        <f>Govt!AC52*100</f>
        <v>10</v>
      </c>
      <c r="Q51" s="74">
        <f>Govt!AD52*100</f>
        <v>5</v>
      </c>
      <c r="R51" s="74">
        <f>Govt!AE52*100</f>
        <v>15</v>
      </c>
      <c r="S51" s="74">
        <f>Govt!AF52*100</f>
        <v>5</v>
      </c>
      <c r="U51" t="str">
        <f>Regions!B51</f>
        <v>Oaxaca</v>
      </c>
      <c r="V51">
        <f>Regions!C51</f>
        <v>2071925.572519084</v>
      </c>
      <c r="W51" s="25">
        <f>Regions!D51</f>
        <v>24</v>
      </c>
      <c r="X51" s="25">
        <f>Regions!I51</f>
        <v>1</v>
      </c>
      <c r="Y51" s="25">
        <f>Regions!G51</f>
        <v>0</v>
      </c>
      <c r="Z51" s="25" t="str">
        <f>Regions!K51</f>
        <v>OAX</v>
      </c>
    </row>
    <row r="52" spans="1:26" x14ac:dyDescent="0.25">
      <c r="A52" t="str">
        <f>Stats!A53</f>
        <v>MIM</v>
      </c>
      <c r="B52" t="str">
        <f>Stats!B53</f>
        <v>The Empire of Mexico</v>
      </c>
      <c r="C52" t="str">
        <f>Govt!C53</f>
        <v>Aristocratic</v>
      </c>
      <c r="D52" t="str">
        <f>Govt!D53</f>
        <v>Hegemony</v>
      </c>
      <c r="E52" t="str">
        <f>Govt!E53</f>
        <v>Appointed</v>
      </c>
      <c r="F52" s="74">
        <f>Govt!AN53*100</f>
        <v>55.000000000000007</v>
      </c>
      <c r="G52">
        <f>Stats!G53</f>
        <v>8</v>
      </c>
      <c r="H52" s="74">
        <f>Govt!U53*100</f>
        <v>20</v>
      </c>
      <c r="I52" s="74">
        <f>Govt!V53*100</f>
        <v>85</v>
      </c>
      <c r="J52" s="74">
        <f>Govt!W53*100</f>
        <v>35</v>
      </c>
      <c r="K52" s="74">
        <f>Govt!X53*100</f>
        <v>80</v>
      </c>
      <c r="L52" s="74">
        <f>Govt!Y53*100</f>
        <v>30</v>
      </c>
      <c r="M52" s="74">
        <f>Govt!Z53*100</f>
        <v>25</v>
      </c>
      <c r="N52" s="74">
        <f>Govt!AA53*100</f>
        <v>5</v>
      </c>
      <c r="O52" s="74">
        <f>Govt!AB53*100</f>
        <v>1</v>
      </c>
      <c r="P52" s="74">
        <f>Govt!AC53*100</f>
        <v>5</v>
      </c>
      <c r="Q52" s="74">
        <f>Govt!AD53*100</f>
        <v>1</v>
      </c>
      <c r="R52" s="74">
        <f>Govt!AE53*100</f>
        <v>5</v>
      </c>
      <c r="S52" s="74">
        <f>Govt!AF53*100</f>
        <v>1</v>
      </c>
      <c r="U52" t="str">
        <f>Regions!B52</f>
        <v>Yucatan</v>
      </c>
      <c r="V52">
        <f>Regions!C52</f>
        <v>597555.97964376595</v>
      </c>
      <c r="W52" s="25">
        <f>Regions!D52</f>
        <v>22</v>
      </c>
      <c r="X52" s="25">
        <f>Regions!I52</f>
        <v>1</v>
      </c>
      <c r="Y52" s="25">
        <f>Regions!G52</f>
        <v>0</v>
      </c>
      <c r="Z52" s="25" t="str">
        <f>Regions!K52</f>
        <v>MAY</v>
      </c>
    </row>
    <row r="53" spans="1:26" x14ac:dyDescent="0.25">
      <c r="A53" t="str">
        <f>Stats!A54</f>
        <v>MAY</v>
      </c>
      <c r="B53" t="str">
        <f>Stats!B54</f>
        <v>The Mayan Kingdom</v>
      </c>
      <c r="C53" t="str">
        <f>Govt!C54</f>
        <v>Military</v>
      </c>
      <c r="D53" t="str">
        <f>Govt!D54</f>
        <v>Hegemony</v>
      </c>
      <c r="E53" t="str">
        <f>Govt!E54</f>
        <v>Appointed</v>
      </c>
      <c r="F53" s="74">
        <f>Govt!AN54*100</f>
        <v>55.000000000000007</v>
      </c>
      <c r="G53">
        <f>Stats!G54</f>
        <v>4</v>
      </c>
      <c r="H53" s="74">
        <f>Govt!U54*100</f>
        <v>35</v>
      </c>
      <c r="I53" s="74">
        <f>Govt!V54*100</f>
        <v>85</v>
      </c>
      <c r="J53" s="74">
        <f>Govt!W54*100</f>
        <v>25</v>
      </c>
      <c r="K53" s="74">
        <f>Govt!X54*100</f>
        <v>55.000000000000007</v>
      </c>
      <c r="L53" s="74">
        <f>Govt!Y54*100</f>
        <v>25</v>
      </c>
      <c r="M53" s="74">
        <f>Govt!Z54*100</f>
        <v>35</v>
      </c>
      <c r="N53" s="74">
        <f>Govt!AA54*100</f>
        <v>3</v>
      </c>
      <c r="O53" s="74">
        <f>Govt!AB54*100</f>
        <v>1</v>
      </c>
      <c r="P53" s="74">
        <f>Govt!AC54*100</f>
        <v>7.0000000000000009</v>
      </c>
      <c r="Q53" s="74">
        <f>Govt!AD54*100</f>
        <v>2</v>
      </c>
      <c r="R53" s="74">
        <f>Govt!AE54*100</f>
        <v>5</v>
      </c>
      <c r="S53" s="74">
        <f>Govt!AF54*100</f>
        <v>1</v>
      </c>
      <c r="U53" t="str">
        <f>Regions!B53</f>
        <v>Central Mexico</v>
      </c>
      <c r="V53">
        <f>Regions!C53</f>
        <v>8315089.0585241728</v>
      </c>
      <c r="W53" s="25">
        <f>Regions!D53</f>
        <v>26</v>
      </c>
      <c r="X53" s="25">
        <f>Regions!I53</f>
        <v>1</v>
      </c>
      <c r="Y53" s="25">
        <f>Regions!G53</f>
        <v>0</v>
      </c>
      <c r="Z53" s="25" t="str">
        <f>Regions!K53</f>
        <v>MEX</v>
      </c>
    </row>
    <row r="54" spans="1:26" x14ac:dyDescent="0.25">
      <c r="A54" t="str">
        <f>Stats!A55</f>
        <v>OAX</v>
      </c>
      <c r="B54" t="str">
        <f>Stats!B55</f>
        <v>The Oaxaca Commune</v>
      </c>
      <c r="C54" t="str">
        <f>Govt!C55</f>
        <v>Military</v>
      </c>
      <c r="D54" t="str">
        <f>Govt!D55</f>
        <v>Federation</v>
      </c>
      <c r="E54" t="str">
        <f>Govt!E55</f>
        <v>Elective</v>
      </c>
      <c r="F54" s="74">
        <f>Govt!AN55*100</f>
        <v>55.000000000000007</v>
      </c>
      <c r="G54">
        <f>Stats!G55</f>
        <v>14</v>
      </c>
      <c r="H54" s="74">
        <f>Govt!U55*100</f>
        <v>10</v>
      </c>
      <c r="I54" s="74">
        <f>Govt!V55*100</f>
        <v>45</v>
      </c>
      <c r="J54" s="74">
        <f>Govt!W55*100</f>
        <v>15</v>
      </c>
      <c r="K54" s="74">
        <f>Govt!X55*100</f>
        <v>35</v>
      </c>
      <c r="L54" s="74">
        <f>Govt!Y55*100</f>
        <v>25</v>
      </c>
      <c r="M54" s="74">
        <f>Govt!Z55*100</f>
        <v>75</v>
      </c>
      <c r="N54" s="74">
        <f>Govt!AA55*100</f>
        <v>5</v>
      </c>
      <c r="O54" s="74">
        <f>Govt!AB55*100</f>
        <v>1</v>
      </c>
      <c r="P54" s="74">
        <f>Govt!AC55*100</f>
        <v>5</v>
      </c>
      <c r="Q54" s="74">
        <f>Govt!AD55*100</f>
        <v>55.000000000000007</v>
      </c>
      <c r="R54" s="74">
        <f>Govt!AE55*100</f>
        <v>40</v>
      </c>
      <c r="S54" s="74">
        <f>Govt!AF55*100</f>
        <v>90</v>
      </c>
      <c r="U54" t="str">
        <f>Regions!B54</f>
        <v>Peru</v>
      </c>
      <c r="V54">
        <f>Regions!C54</f>
        <v>5480000</v>
      </c>
      <c r="W54" s="25">
        <f>Regions!D54</f>
        <v>18</v>
      </c>
      <c r="X54" s="25">
        <f>Regions!I54</f>
        <v>0.75</v>
      </c>
      <c r="Y54" s="25">
        <f>Regions!G54</f>
        <v>0</v>
      </c>
      <c r="Z54" s="25" t="str">
        <f>Regions!K54</f>
        <v>BOL</v>
      </c>
    </row>
    <row r="55" spans="1:26" x14ac:dyDescent="0.25">
      <c r="A55" t="str">
        <f>Stats!A56</f>
        <v>HAI</v>
      </c>
      <c r="B55" t="str">
        <f>Stats!B56</f>
        <v>The Freeman Republic of Haiti</v>
      </c>
      <c r="C55" t="str">
        <f>Govt!C56</f>
        <v>Bureaucratic</v>
      </c>
      <c r="D55" t="str">
        <f>Govt!D56</f>
        <v>Unitary</v>
      </c>
      <c r="E55" t="str">
        <f>Govt!E56</f>
        <v>Elective</v>
      </c>
      <c r="F55" s="74">
        <f>Govt!AN56*100</f>
        <v>55.000000000000007</v>
      </c>
      <c r="G55">
        <f>Stats!G56</f>
        <v>17</v>
      </c>
      <c r="H55" s="74">
        <f>Govt!U56*100</f>
        <v>0</v>
      </c>
      <c r="I55" s="74">
        <f>Govt!V56*100</f>
        <v>0</v>
      </c>
      <c r="J55" s="74">
        <f>Govt!W56*100</f>
        <v>10</v>
      </c>
      <c r="K55" s="74">
        <f>Govt!X56*100</f>
        <v>25</v>
      </c>
      <c r="L55" s="74">
        <f>Govt!Y56*100</f>
        <v>55.000000000000007</v>
      </c>
      <c r="M55" s="74">
        <f>Govt!Z56*100</f>
        <v>95</v>
      </c>
      <c r="N55" s="74">
        <f>Govt!AA56*100</f>
        <v>5</v>
      </c>
      <c r="O55" s="74">
        <f>Govt!AB56*100</f>
        <v>10</v>
      </c>
      <c r="P55" s="74">
        <f>Govt!AC56*100</f>
        <v>10</v>
      </c>
      <c r="Q55" s="74">
        <f>Govt!AD56*100</f>
        <v>25</v>
      </c>
      <c r="R55" s="74">
        <f>Govt!AE56*100</f>
        <v>20</v>
      </c>
      <c r="S55" s="74">
        <f>Govt!AF56*100</f>
        <v>35</v>
      </c>
      <c r="U55" t="str">
        <f>Regions!B55</f>
        <v>Uruguay</v>
      </c>
      <c r="V55">
        <f>Regions!C55</f>
        <v>1713000</v>
      </c>
      <c r="W55" s="25">
        <f>Regions!D55</f>
        <v>18</v>
      </c>
      <c r="X55" s="25">
        <f>Regions!I55</f>
        <v>0.75</v>
      </c>
      <c r="Y55" s="25">
        <f>Regions!G55</f>
        <v>0</v>
      </c>
      <c r="Z55" s="25" t="str">
        <f>Regions!K55</f>
        <v>BRZ</v>
      </c>
    </row>
    <row r="56" spans="1:26" x14ac:dyDescent="0.25">
      <c r="A56" t="str">
        <f>Stats!A57</f>
        <v>OMA</v>
      </c>
      <c r="B56" t="str">
        <f>Stats!B57</f>
        <v>The Sultanate of Oman</v>
      </c>
      <c r="C56" t="str">
        <f>Govt!C57</f>
        <v>Aristocratic</v>
      </c>
      <c r="D56" t="str">
        <f>Govt!D57</f>
        <v>Hegemony</v>
      </c>
      <c r="E56" t="str">
        <f>Govt!E57</f>
        <v>Hereditary</v>
      </c>
      <c r="F56" s="74">
        <f>Govt!AN57*100</f>
        <v>55.000000000000007</v>
      </c>
      <c r="G56">
        <f>Stats!G57</f>
        <v>2</v>
      </c>
      <c r="H56" s="74">
        <f>Govt!U57*100</f>
        <v>45</v>
      </c>
      <c r="I56" s="74">
        <f>Govt!V57*100</f>
        <v>90</v>
      </c>
      <c r="J56" s="74">
        <f>Govt!W57*100</f>
        <v>35</v>
      </c>
      <c r="K56" s="74">
        <f>Govt!X57*100</f>
        <v>85</v>
      </c>
      <c r="L56" s="74">
        <f>Govt!Y57*100</f>
        <v>10</v>
      </c>
      <c r="M56" s="74">
        <f>Govt!Z57*100</f>
        <v>25</v>
      </c>
      <c r="N56" s="74">
        <f>Govt!AA57*100</f>
        <v>0</v>
      </c>
      <c r="O56" s="74">
        <f>Govt!AB57*100</f>
        <v>0</v>
      </c>
      <c r="P56" s="74">
        <f>Govt!AC57*100</f>
        <v>5</v>
      </c>
      <c r="Q56" s="74">
        <f>Govt!AD57*100</f>
        <v>1</v>
      </c>
      <c r="R56" s="74">
        <f>Govt!AE57*100</f>
        <v>5</v>
      </c>
      <c r="S56" s="74">
        <f>Govt!AF57*100</f>
        <v>5</v>
      </c>
      <c r="U56" t="str">
        <f>Regions!B56</f>
        <v>Venezuela</v>
      </c>
      <c r="V56">
        <f>Regions!C56</f>
        <v>3300000</v>
      </c>
      <c r="W56" s="25">
        <f>Regions!D56</f>
        <v>20</v>
      </c>
      <c r="X56" s="25">
        <f>Regions!I56</f>
        <v>0.75</v>
      </c>
      <c r="Y56" s="25">
        <f>Regions!G56</f>
        <v>0</v>
      </c>
      <c r="Z56" s="25" t="str">
        <f>Regions!K56</f>
        <v>COL</v>
      </c>
    </row>
    <row r="57" spans="1:26" x14ac:dyDescent="0.25">
      <c r="A57" t="str">
        <f>Stats!A58</f>
        <v>YEM</v>
      </c>
      <c r="B57" t="str">
        <f>Stats!B58</f>
        <v>The Sultanate of Yemen</v>
      </c>
      <c r="C57" t="str">
        <f>Govt!C58</f>
        <v>Aristocratic</v>
      </c>
      <c r="D57" t="str">
        <f>Govt!D58</f>
        <v>Hegemony</v>
      </c>
      <c r="E57" t="str">
        <f>Govt!E58</f>
        <v>Hereditary</v>
      </c>
      <c r="F57" s="74">
        <f>Govt!AN58*100</f>
        <v>55.000000000000007</v>
      </c>
      <c r="G57">
        <f>Stats!G58</f>
        <v>16</v>
      </c>
      <c r="H57" s="74">
        <f>Govt!U58*100</f>
        <v>45</v>
      </c>
      <c r="I57" s="74">
        <f>Govt!V58*100</f>
        <v>90</v>
      </c>
      <c r="J57" s="74">
        <f>Govt!W58*100</f>
        <v>35</v>
      </c>
      <c r="K57" s="74">
        <f>Govt!X58*100</f>
        <v>85</v>
      </c>
      <c r="L57" s="74">
        <f>Govt!Y58*100</f>
        <v>10</v>
      </c>
      <c r="M57" s="74">
        <f>Govt!Z58*100</f>
        <v>25</v>
      </c>
      <c r="N57" s="74">
        <f>Govt!AA58*100</f>
        <v>0</v>
      </c>
      <c r="O57" s="74">
        <f>Govt!AB58*100</f>
        <v>0</v>
      </c>
      <c r="P57" s="74">
        <f>Govt!AC58*100</f>
        <v>5</v>
      </c>
      <c r="Q57" s="74">
        <f>Govt!AD58*100</f>
        <v>1</v>
      </c>
      <c r="R57" s="74">
        <f>Govt!AE58*100</f>
        <v>5</v>
      </c>
      <c r="S57" s="74">
        <f>Govt!AF58*100</f>
        <v>5</v>
      </c>
      <c r="U57" t="str">
        <f>Regions!B57</f>
        <v>Bolivia</v>
      </c>
      <c r="V57">
        <f>Regions!C57</f>
        <v>2397000</v>
      </c>
      <c r="W57" s="25">
        <f>Regions!D57</f>
        <v>20</v>
      </c>
      <c r="X57" s="25">
        <f>Regions!I57</f>
        <v>1</v>
      </c>
      <c r="Y57" s="25">
        <f>Regions!G57</f>
        <v>0</v>
      </c>
      <c r="Z57" s="25" t="str">
        <f>Regions!K57</f>
        <v>BOL</v>
      </c>
    </row>
    <row r="58" spans="1:26" x14ac:dyDescent="0.25">
      <c r="A58" t="str">
        <f>Stats!A59</f>
        <v>ABU</v>
      </c>
      <c r="B58" t="str">
        <f>Stats!B59</f>
        <v>The Sultanate of Abu Dhabi</v>
      </c>
      <c r="C58" t="str">
        <f>Govt!C59</f>
        <v>Aristocratic</v>
      </c>
      <c r="D58" t="str">
        <f>Govt!D59</f>
        <v>Hegemony</v>
      </c>
      <c r="E58" t="str">
        <f>Govt!E59</f>
        <v>Hereditary</v>
      </c>
      <c r="F58" s="74">
        <f>Govt!AN59*100</f>
        <v>55.000000000000007</v>
      </c>
      <c r="G58">
        <f>Stats!G59</f>
        <v>0</v>
      </c>
      <c r="H58" s="74">
        <f>Govt!U59*100</f>
        <v>45</v>
      </c>
      <c r="I58" s="74">
        <f>Govt!V59*100</f>
        <v>90</v>
      </c>
      <c r="J58" s="74">
        <f>Govt!W59*100</f>
        <v>35</v>
      </c>
      <c r="K58" s="74">
        <f>Govt!X59*100</f>
        <v>85</v>
      </c>
      <c r="L58" s="74">
        <f>Govt!Y59*100</f>
        <v>10</v>
      </c>
      <c r="M58" s="74">
        <f>Govt!Z59*100</f>
        <v>25</v>
      </c>
      <c r="N58" s="74">
        <f>Govt!AA59*100</f>
        <v>0</v>
      </c>
      <c r="O58" s="74">
        <f>Govt!AB59*100</f>
        <v>0</v>
      </c>
      <c r="P58" s="74">
        <f>Govt!AC59*100</f>
        <v>5</v>
      </c>
      <c r="Q58" s="74">
        <f>Govt!AD59*100</f>
        <v>1</v>
      </c>
      <c r="R58" s="74">
        <f>Govt!AE59*100</f>
        <v>5</v>
      </c>
      <c r="S58" s="74">
        <f>Govt!AF59*100</f>
        <v>5</v>
      </c>
      <c r="U58" t="str">
        <f>Regions!B58</f>
        <v>Costa Rica</v>
      </c>
      <c r="V58">
        <f>Regions!C58</f>
        <v>500000</v>
      </c>
      <c r="W58" s="25">
        <f>Regions!D58</f>
        <v>20</v>
      </c>
      <c r="X58" s="25">
        <f>Regions!I58</f>
        <v>1</v>
      </c>
      <c r="Y58" s="25">
        <f>Regions!G58</f>
        <v>0</v>
      </c>
      <c r="Z58" s="25" t="str">
        <f>Regions!K58</f>
        <v>CEN</v>
      </c>
    </row>
    <row r="59" spans="1:26" x14ac:dyDescent="0.25">
      <c r="A59" t="str">
        <f>Stats!A60</f>
        <v>SIA</v>
      </c>
      <c r="B59" t="str">
        <f>Stats!B60</f>
        <v>The Holy People's Republic of Thailand</v>
      </c>
      <c r="C59" t="str">
        <f>Govt!C60</f>
        <v>Aristocratic</v>
      </c>
      <c r="D59" t="str">
        <f>Govt!D60</f>
        <v>Hegemony</v>
      </c>
      <c r="E59" t="str">
        <f>Govt!E60</f>
        <v>Hereditary</v>
      </c>
      <c r="F59" s="74">
        <f>Govt!AN60*100</f>
        <v>55.000000000000007</v>
      </c>
      <c r="G59">
        <f>Stats!G60</f>
        <v>17</v>
      </c>
      <c r="H59" s="74">
        <f>Govt!U60*100</f>
        <v>15</v>
      </c>
      <c r="I59" s="74">
        <f>Govt!V60*100</f>
        <v>25</v>
      </c>
      <c r="J59" s="74">
        <f>Govt!W60*100</f>
        <v>20</v>
      </c>
      <c r="K59" s="74">
        <f>Govt!X60*100</f>
        <v>55.000000000000007</v>
      </c>
      <c r="L59" s="74">
        <f>Govt!Y60*100</f>
        <v>35</v>
      </c>
      <c r="M59" s="74">
        <f>Govt!Z60*100</f>
        <v>85</v>
      </c>
      <c r="N59" s="74">
        <f>Govt!AA60*100</f>
        <v>5</v>
      </c>
      <c r="O59" s="74">
        <f>Govt!AB60*100</f>
        <v>1</v>
      </c>
      <c r="P59" s="74">
        <f>Govt!AC60*100</f>
        <v>10</v>
      </c>
      <c r="Q59" s="74">
        <f>Govt!AD60*100</f>
        <v>1</v>
      </c>
      <c r="R59" s="74">
        <f>Govt!AE60*100</f>
        <v>15</v>
      </c>
      <c r="S59" s="74">
        <f>Govt!AF60*100</f>
        <v>45</v>
      </c>
      <c r="U59" t="str">
        <f>Regions!B59</f>
        <v>Cuba</v>
      </c>
      <c r="V59">
        <f>Regions!C59</f>
        <v>3837000</v>
      </c>
      <c r="W59" s="25">
        <f>Regions!D59</f>
        <v>20</v>
      </c>
      <c r="X59" s="25">
        <f>Regions!I59</f>
        <v>0.25</v>
      </c>
      <c r="Y59" s="25">
        <f>Regions!G59</f>
        <v>0</v>
      </c>
      <c r="Z59" s="25" t="str">
        <f>Regions!K59</f>
        <v>USA</v>
      </c>
    </row>
    <row r="60" spans="1:26" x14ac:dyDescent="0.25">
      <c r="F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U60" t="str">
        <f>Regions!B60</f>
        <v>Dominican</v>
      </c>
      <c r="V60">
        <f>Regions!C60</f>
        <v>1256000</v>
      </c>
      <c r="W60" s="25">
        <f>Regions!D60</f>
        <v>20</v>
      </c>
      <c r="X60" s="25">
        <f>Regions!I60</f>
        <v>1</v>
      </c>
      <c r="Y60" s="25">
        <f>Regions!G60</f>
        <v>0</v>
      </c>
      <c r="Z60" s="25" t="str">
        <f>Regions!K60</f>
        <v>SPA</v>
      </c>
    </row>
    <row r="61" spans="1:26" x14ac:dyDescent="0.25">
      <c r="F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U61" t="str">
        <f>Regions!B61</f>
        <v>Ecuador</v>
      </c>
      <c r="V61">
        <f>Regions!C61</f>
        <v>1944000</v>
      </c>
      <c r="W61" s="25">
        <f>Regions!D61</f>
        <v>20</v>
      </c>
      <c r="X61" s="25">
        <f>Regions!I61</f>
        <v>0.75</v>
      </c>
      <c r="Y61" s="25">
        <f>Regions!G61</f>
        <v>0</v>
      </c>
      <c r="Z61" s="25" t="str">
        <f>Regions!K61</f>
        <v>BOL</v>
      </c>
    </row>
    <row r="62" spans="1:26" x14ac:dyDescent="0.25">
      <c r="F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U62" t="str">
        <f>Regions!B62</f>
        <v>El Salvador</v>
      </c>
      <c r="V62">
        <f>Regions!C62</f>
        <v>1440000</v>
      </c>
      <c r="W62" s="25">
        <f>Regions!D62</f>
        <v>20</v>
      </c>
      <c r="X62" s="25">
        <f>Regions!I62</f>
        <v>1</v>
      </c>
      <c r="Y62" s="25">
        <f>Regions!G62</f>
        <v>0</v>
      </c>
      <c r="Z62" s="25" t="str">
        <f>Regions!K62</f>
        <v>CEN</v>
      </c>
    </row>
    <row r="63" spans="1:26" x14ac:dyDescent="0.25">
      <c r="F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U63" t="str">
        <f>Regions!B63</f>
        <v>Guatemala</v>
      </c>
      <c r="V63">
        <f>Regions!C63</f>
        <v>1771000</v>
      </c>
      <c r="W63" s="25">
        <f>Regions!D63</f>
        <v>20</v>
      </c>
      <c r="X63" s="25">
        <f>Regions!I63</f>
        <v>1</v>
      </c>
      <c r="Y63" s="25">
        <f>Regions!G63</f>
        <v>0</v>
      </c>
      <c r="Z63" s="25" t="str">
        <f>Regions!K63</f>
        <v>CEN</v>
      </c>
    </row>
    <row r="64" spans="1:26" x14ac:dyDescent="0.25">
      <c r="F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U64" t="str">
        <f>Regions!B64</f>
        <v>Haiti</v>
      </c>
      <c r="V64">
        <f>Regions!C64</f>
        <v>2422000</v>
      </c>
      <c r="W64" s="25">
        <f>Regions!D64</f>
        <v>20</v>
      </c>
      <c r="X64" s="25">
        <f>Regions!I64</f>
        <v>1</v>
      </c>
      <c r="Y64" s="25">
        <f>Regions!G64</f>
        <v>0</v>
      </c>
      <c r="Z64" s="25" t="str">
        <f>Regions!K64</f>
        <v>HAI</v>
      </c>
    </row>
    <row r="65" spans="21:26" x14ac:dyDescent="0.25">
      <c r="U65" t="str">
        <f>Regions!B65</f>
        <v>Honduras</v>
      </c>
      <c r="V65">
        <f>Regions!C65</f>
        <v>950000</v>
      </c>
      <c r="W65" s="25">
        <f>Regions!D65</f>
        <v>20</v>
      </c>
      <c r="X65" s="25">
        <f>Regions!I65</f>
        <v>1</v>
      </c>
      <c r="Y65" s="25">
        <f>Regions!G65</f>
        <v>0</v>
      </c>
      <c r="Z65" s="25" t="str">
        <f>Regions!K65</f>
        <v>CEN</v>
      </c>
    </row>
    <row r="66" spans="21:26" x14ac:dyDescent="0.25">
      <c r="U66" t="str">
        <f>Regions!B66</f>
        <v>Jamaica</v>
      </c>
      <c r="V66">
        <f>Regions!C66</f>
        <v>1009000</v>
      </c>
      <c r="W66" s="25">
        <f>Regions!D66</f>
        <v>20</v>
      </c>
      <c r="X66" s="25">
        <f>Regions!I66</f>
        <v>1</v>
      </c>
      <c r="Y66" s="25">
        <f>Regions!G66</f>
        <v>0</v>
      </c>
      <c r="Z66" s="25" t="str">
        <f>Regions!K66</f>
        <v>USA</v>
      </c>
    </row>
    <row r="67" spans="21:26" x14ac:dyDescent="0.25">
      <c r="U67" t="str">
        <f>Regions!B67</f>
        <v>Nicaragua</v>
      </c>
      <c r="V67">
        <f>Regions!C67</f>
        <v>680000</v>
      </c>
      <c r="W67" s="25">
        <f>Regions!D67</f>
        <v>20</v>
      </c>
      <c r="X67" s="25">
        <f>Regions!I67</f>
        <v>1</v>
      </c>
      <c r="Y67" s="25">
        <f>Regions!G67</f>
        <v>0</v>
      </c>
      <c r="Z67" s="25" t="str">
        <f>Regions!K67</f>
        <v>CEN</v>
      </c>
    </row>
    <row r="68" spans="21:26" x14ac:dyDescent="0.25">
      <c r="U68" t="str">
        <f>Regions!B68</f>
        <v>Panama</v>
      </c>
      <c r="V68">
        <f>Regions!C68</f>
        <v>515000</v>
      </c>
      <c r="W68" s="25">
        <f>Regions!D68</f>
        <v>20</v>
      </c>
      <c r="X68" s="25">
        <f>Regions!I68</f>
        <v>1</v>
      </c>
      <c r="Y68" s="25">
        <f>Regions!G68</f>
        <v>0</v>
      </c>
      <c r="Z68" s="25" t="str">
        <f>Regions!K68</f>
        <v>PAN</v>
      </c>
    </row>
    <row r="69" spans="21:26" x14ac:dyDescent="0.25">
      <c r="U69" t="str">
        <f>Regions!B69</f>
        <v>Paraguay</v>
      </c>
      <c r="V69">
        <f>Regions!C69</f>
        <v>880000</v>
      </c>
      <c r="W69" s="25">
        <f>Regions!D69</f>
        <v>20</v>
      </c>
      <c r="X69" s="25">
        <f>Regions!I69</f>
        <v>1</v>
      </c>
      <c r="Y69" s="25">
        <f>Regions!G69</f>
        <v>0</v>
      </c>
      <c r="Z69" s="25" t="str">
        <f>Regions!K69</f>
        <v>BOL</v>
      </c>
    </row>
    <row r="70" spans="21:26" x14ac:dyDescent="0.25">
      <c r="U70" t="str">
        <f>Regions!B70</f>
        <v>Puerto Rico</v>
      </c>
      <c r="V70">
        <f>Regions!C70</f>
        <v>1552000</v>
      </c>
      <c r="W70" s="25">
        <f>Regions!D70</f>
        <v>20</v>
      </c>
      <c r="X70" s="25">
        <f>Regions!I70</f>
        <v>1</v>
      </c>
      <c r="Y70" s="25">
        <f>Regions!G70</f>
        <v>0</v>
      </c>
      <c r="Z70" s="25" t="str">
        <f>Regions!K70</f>
        <v>USA</v>
      </c>
    </row>
    <row r="71" spans="21:26" x14ac:dyDescent="0.25">
      <c r="U71" t="str">
        <f>Regions!B71</f>
        <v>Trinidad and Tobago</v>
      </c>
      <c r="V71">
        <f>Regions!C71</f>
        <v>405000</v>
      </c>
      <c r="W71" s="25">
        <f>Regions!D71</f>
        <v>20</v>
      </c>
      <c r="X71" s="25">
        <f>Regions!I71</f>
        <v>1</v>
      </c>
      <c r="Y71" s="25">
        <f>Regions!G71</f>
        <v>0</v>
      </c>
      <c r="Z71" s="25" t="str">
        <f>Regions!K71</f>
        <v>SPA</v>
      </c>
    </row>
    <row r="72" spans="21:26" x14ac:dyDescent="0.25">
      <c r="U72" t="str">
        <f>Regions!B72</f>
        <v>Turkey</v>
      </c>
      <c r="V72">
        <f>Regions!C72</f>
        <v>14928000</v>
      </c>
      <c r="W72" s="25">
        <f>Regions!D72</f>
        <v>24</v>
      </c>
      <c r="X72" s="25">
        <f>Regions!I72</f>
        <v>1</v>
      </c>
      <c r="Y72" s="25">
        <f>Regions!G72</f>
        <v>0</v>
      </c>
      <c r="Z72" s="25" t="str">
        <f>Regions!K72</f>
        <v>TUR</v>
      </c>
    </row>
    <row r="73" spans="21:26" x14ac:dyDescent="0.25">
      <c r="U73" t="str">
        <f>Regions!B73</f>
        <v>Iran</v>
      </c>
      <c r="V73">
        <f>Regions!C73</f>
        <v>12128661.247608762</v>
      </c>
      <c r="W73" s="25">
        <f>Regions!D73</f>
        <v>13</v>
      </c>
      <c r="X73" s="25">
        <f>Regions!I73</f>
        <v>1</v>
      </c>
      <c r="Y73" s="25">
        <f>Regions!G73</f>
        <v>0</v>
      </c>
      <c r="Z73" s="25" t="str">
        <f>Regions!K73</f>
        <v>PER</v>
      </c>
    </row>
    <row r="74" spans="21:26" x14ac:dyDescent="0.25">
      <c r="U74" t="str">
        <f>Regions!B74</f>
        <v>Iraq</v>
      </c>
      <c r="V74">
        <f>Regions!C74</f>
        <v>3828347.3755214303</v>
      </c>
      <c r="W74" s="25">
        <f>Regions!D74</f>
        <v>12</v>
      </c>
      <c r="X74" s="25">
        <f>Regions!I74</f>
        <v>0.75</v>
      </c>
      <c r="Y74" s="25">
        <f>Regions!G74</f>
        <v>0</v>
      </c>
      <c r="Z74" s="25" t="str">
        <f>Regions!K74</f>
        <v>TUR</v>
      </c>
    </row>
    <row r="75" spans="21:26" x14ac:dyDescent="0.25">
      <c r="U75" t="str">
        <f>Regions!B75</f>
        <v xml:space="preserve">Israel </v>
      </c>
      <c r="V75">
        <f>Regions!C75</f>
        <v>953564.73463501059</v>
      </c>
      <c r="W75" s="25">
        <f>Regions!D75</f>
        <v>12</v>
      </c>
      <c r="X75" s="25">
        <f>Regions!I75</f>
        <v>0.75</v>
      </c>
      <c r="Y75" s="25">
        <f>Regions!G75</f>
        <v>0</v>
      </c>
      <c r="Z75" s="25" t="str">
        <f>Regions!K75</f>
        <v>TUR</v>
      </c>
    </row>
    <row r="76" spans="21:26" x14ac:dyDescent="0.25">
      <c r="U76" t="str">
        <f>Regions!B76</f>
        <v xml:space="preserve">Jordan </v>
      </c>
      <c r="V76">
        <f>Regions!C76</f>
        <v>416167.97945010749</v>
      </c>
      <c r="W76" s="25">
        <f>Regions!D76</f>
        <v>12</v>
      </c>
      <c r="X76" s="25">
        <f>Regions!I76</f>
        <v>0.75</v>
      </c>
      <c r="Y76" s="25">
        <f>Regions!G76</f>
        <v>0</v>
      </c>
      <c r="Z76" s="25" t="str">
        <f>Regions!K76</f>
        <v>TUR</v>
      </c>
    </row>
    <row r="77" spans="21:26" x14ac:dyDescent="0.25">
      <c r="U77" t="str">
        <f>Regions!B77</f>
        <v xml:space="preserve">Kuwait </v>
      </c>
      <c r="V77">
        <f>Regions!C77</f>
        <v>107350.18231476178</v>
      </c>
      <c r="W77" s="25">
        <f>Regions!D77</f>
        <v>12</v>
      </c>
      <c r="X77" s="25">
        <f>Regions!I77</f>
        <v>0.75</v>
      </c>
      <c r="Y77" s="25">
        <f>Regions!G77</f>
        <v>0</v>
      </c>
      <c r="Z77" s="25" t="str">
        <f>Regions!K77</f>
        <v>TUR</v>
      </c>
    </row>
    <row r="78" spans="21:26" x14ac:dyDescent="0.25">
      <c r="U78" t="str">
        <f>Regions!B78</f>
        <v xml:space="preserve">Lebanon </v>
      </c>
      <c r="V78">
        <f>Regions!C78</f>
        <v>1011426.6868142551</v>
      </c>
      <c r="W78" s="25">
        <f>Regions!D78</f>
        <v>12</v>
      </c>
      <c r="X78" s="25">
        <f>Regions!I78</f>
        <v>0.75</v>
      </c>
      <c r="Y78" s="25">
        <f>Regions!G78</f>
        <v>0</v>
      </c>
      <c r="Z78" s="25" t="str">
        <f>Regions!K78</f>
        <v>TUR</v>
      </c>
    </row>
    <row r="79" spans="21:26" x14ac:dyDescent="0.25">
      <c r="U79" t="str">
        <f>Regions!B79</f>
        <v>Oman</v>
      </c>
      <c r="V79">
        <f>Regions!C79</f>
        <v>362286.38146644674</v>
      </c>
      <c r="W79" s="25">
        <f>Regions!D79</f>
        <v>12</v>
      </c>
      <c r="X79" s="25">
        <f>Regions!I79</f>
        <v>1</v>
      </c>
      <c r="Y79" s="25">
        <f>Regions!G79</f>
        <v>0</v>
      </c>
      <c r="Z79" s="25" t="str">
        <f>Regions!K79</f>
        <v>OMA</v>
      </c>
    </row>
    <row r="80" spans="21:26" x14ac:dyDescent="0.25">
      <c r="U80" t="str">
        <f>Regions!B80</f>
        <v>Qatar</v>
      </c>
      <c r="V80">
        <f>Regions!C80</f>
        <v>18612.308245780248</v>
      </c>
      <c r="W80" s="25">
        <f>Regions!D80</f>
        <v>12</v>
      </c>
      <c r="X80" s="25">
        <f>Regions!I80</f>
        <v>1</v>
      </c>
      <c r="Y80" s="25">
        <f>Regions!G80</f>
        <v>0</v>
      </c>
      <c r="Z80" s="25" t="str">
        <f>Regions!K80</f>
        <v>ABU</v>
      </c>
    </row>
    <row r="81" spans="21:26" x14ac:dyDescent="0.25">
      <c r="U81" t="str">
        <f>Regions!B81</f>
        <v xml:space="preserve">Saudi Arabia </v>
      </c>
      <c r="V81">
        <f>Regions!C81</f>
        <v>2862029.6394315306</v>
      </c>
      <c r="W81" s="25">
        <f>Regions!D81</f>
        <v>12</v>
      </c>
      <c r="X81" s="25">
        <f>Regions!I81</f>
        <v>0.75</v>
      </c>
      <c r="Y81" s="25">
        <f>Regions!G81</f>
        <v>0</v>
      </c>
      <c r="Z81" s="25" t="str">
        <f>Regions!K81</f>
        <v>TUR</v>
      </c>
    </row>
    <row r="82" spans="21:26" x14ac:dyDescent="0.25">
      <c r="U82" t="str">
        <f>Regions!B82</f>
        <v xml:space="preserve">Syria </v>
      </c>
      <c r="V82">
        <f>Regions!C82</f>
        <v>2591530.9078921941</v>
      </c>
      <c r="W82" s="25">
        <f>Regions!D82</f>
        <v>12</v>
      </c>
      <c r="X82" s="25">
        <f>Regions!I82</f>
        <v>0.75</v>
      </c>
      <c r="Y82" s="25">
        <f>Regions!G82</f>
        <v>0</v>
      </c>
      <c r="Z82" s="25" t="str">
        <f>Regions!K82</f>
        <v>TUR</v>
      </c>
    </row>
    <row r="83" spans="21:26" x14ac:dyDescent="0.25">
      <c r="U83" t="str">
        <f>Regions!B83</f>
        <v xml:space="preserve">United Arab Emirates </v>
      </c>
      <c r="V83">
        <f>Regions!C83</f>
        <v>53031.84278467804</v>
      </c>
      <c r="W83" s="25">
        <f>Regions!D83</f>
        <v>12</v>
      </c>
      <c r="X83" s="25">
        <f>Regions!I83</f>
        <v>1</v>
      </c>
      <c r="Y83" s="25">
        <f>Regions!G83</f>
        <v>0</v>
      </c>
      <c r="Z83" s="25" t="str">
        <f>Regions!K83</f>
        <v>ABU</v>
      </c>
    </row>
    <row r="84" spans="21:26" x14ac:dyDescent="0.25">
      <c r="U84" t="str">
        <f>Regions!B84</f>
        <v xml:space="preserve">Yemen </v>
      </c>
      <c r="V84">
        <f>Regions!C84</f>
        <v>3542195.6489990884</v>
      </c>
      <c r="W84" s="25">
        <f>Regions!D84</f>
        <v>12</v>
      </c>
      <c r="X84" s="25">
        <f>Regions!I84</f>
        <v>1</v>
      </c>
      <c r="Y84" s="25">
        <f>Regions!G84</f>
        <v>0</v>
      </c>
      <c r="Z84" s="25" t="str">
        <f>Regions!K84</f>
        <v>YEM</v>
      </c>
    </row>
    <row r="85" spans="21:26" x14ac:dyDescent="0.25">
      <c r="U85" t="str">
        <f>Regions!B85</f>
        <v>South Africa</v>
      </c>
      <c r="V85">
        <f>Regions!C85</f>
        <v>10081388.90520809</v>
      </c>
      <c r="W85" s="25">
        <f>Regions!D85</f>
        <v>12</v>
      </c>
      <c r="X85" s="25">
        <f>Regions!I85</f>
        <v>1</v>
      </c>
      <c r="Y85" s="25">
        <f>Regions!G85</f>
        <v>0</v>
      </c>
      <c r="Z85" s="25" t="str">
        <f>Regions!K85</f>
        <v>SAF</v>
      </c>
    </row>
    <row r="86" spans="21:26" x14ac:dyDescent="0.25">
      <c r="U86" t="str">
        <f>Regions!B86</f>
        <v xml:space="preserve">West Bank and Gaza </v>
      </c>
      <c r="V86">
        <f>Regions!C86</f>
        <v>753761.03837159695</v>
      </c>
      <c r="W86" s="25">
        <f>Regions!D86</f>
        <v>12</v>
      </c>
      <c r="X86" s="25">
        <f>Regions!I86</f>
        <v>1</v>
      </c>
      <c r="Y86" s="25">
        <f>Regions!G86</f>
        <v>0</v>
      </c>
      <c r="Z86" s="25" t="str">
        <f>Regions!K86</f>
        <v>TUR</v>
      </c>
    </row>
    <row r="87" spans="21:26" x14ac:dyDescent="0.25">
      <c r="U87" t="str">
        <f>Regions!B87</f>
        <v>India</v>
      </c>
      <c r="V87">
        <f>Regions!C87</f>
        <v>336400000</v>
      </c>
      <c r="W87" s="25">
        <f>Regions!D87</f>
        <v>4</v>
      </c>
      <c r="X87" s="25">
        <f>Regions!I87</f>
        <v>0.25</v>
      </c>
      <c r="Y87" s="25">
        <f>Regions!G87</f>
        <v>0</v>
      </c>
      <c r="Z87" s="25" t="str">
        <f>Regions!K87</f>
        <v>IND</v>
      </c>
    </row>
    <row r="88" spans="21:26" x14ac:dyDescent="0.25">
      <c r="U88" t="str">
        <f>Regions!B88</f>
        <v>Indonesia</v>
      </c>
      <c r="V88">
        <f>Regions!C88</f>
        <v>60596000</v>
      </c>
      <c r="W88" s="25">
        <f>Regions!D88</f>
        <v>8</v>
      </c>
      <c r="X88" s="25">
        <f>Regions!I88</f>
        <v>0.25</v>
      </c>
      <c r="Y88" s="25">
        <f>Regions!G88</f>
        <v>0</v>
      </c>
      <c r="Z88" s="25" t="str">
        <f>Regions!K88</f>
        <v>OCE</v>
      </c>
    </row>
    <row r="89" spans="21:26" x14ac:dyDescent="0.25">
      <c r="U89" t="str">
        <f>Regions!B89</f>
        <v>Japan</v>
      </c>
      <c r="V89">
        <f>Regions!C89</f>
        <v>64203000</v>
      </c>
      <c r="W89" s="25">
        <f>Regions!D89</f>
        <v>21</v>
      </c>
      <c r="X89" s="25">
        <f>Regions!I89</f>
        <v>0.25</v>
      </c>
      <c r="Y89" s="25">
        <f>Regions!G89</f>
        <v>0</v>
      </c>
      <c r="Z89" s="25" t="str">
        <f>Regions!K89</f>
        <v>USA</v>
      </c>
    </row>
    <row r="90" spans="21:26" x14ac:dyDescent="0.25">
      <c r="U90" t="str">
        <f>Regions!B90</f>
        <v>Philippines</v>
      </c>
      <c r="V90">
        <f>Regions!C90</f>
        <v>13194000</v>
      </c>
      <c r="W90" s="25">
        <f>Regions!D90</f>
        <v>8</v>
      </c>
      <c r="X90" s="25">
        <f>Regions!I90</f>
        <v>0.25</v>
      </c>
      <c r="Y90" s="25">
        <f>Regions!G90</f>
        <v>0</v>
      </c>
      <c r="Z90" s="25" t="str">
        <f>Regions!K90</f>
        <v>USA</v>
      </c>
    </row>
    <row r="91" spans="21:26" x14ac:dyDescent="0.25">
      <c r="U91" t="str">
        <f>Regions!B91</f>
        <v>Korea</v>
      </c>
      <c r="V91">
        <f>Regions!C91</f>
        <v>20850000</v>
      </c>
      <c r="W91" s="25">
        <f>Regions!D91</f>
        <v>10</v>
      </c>
      <c r="X91" s="25">
        <f>Regions!I91</f>
        <v>1</v>
      </c>
      <c r="Y91" s="25">
        <f>Regions!G91</f>
        <v>0</v>
      </c>
      <c r="Z91" s="25" t="str">
        <f>Regions!K91</f>
        <v>KOR</v>
      </c>
    </row>
    <row r="92" spans="21:26" x14ac:dyDescent="0.25">
      <c r="U92" t="str">
        <f>Regions!B92</f>
        <v>Thailand</v>
      </c>
      <c r="V92">
        <f>Regions!C92</f>
        <v>12392000</v>
      </c>
      <c r="W92" s="25">
        <f>Regions!D92</f>
        <v>8</v>
      </c>
      <c r="X92" s="25">
        <f>Regions!I92</f>
        <v>0.25</v>
      </c>
      <c r="Y92" s="25">
        <f>Regions!G92</f>
        <v>0</v>
      </c>
      <c r="Z92" s="25" t="str">
        <f>Regions!K92</f>
        <v>SIA</v>
      </c>
    </row>
    <row r="93" spans="21:26" x14ac:dyDescent="0.25">
      <c r="U93" t="str">
        <f>Regions!B93</f>
        <v>Taiwan</v>
      </c>
      <c r="V93">
        <f>Regions!C93</f>
        <v>4614000</v>
      </c>
      <c r="W93" s="25">
        <f>Regions!D93</f>
        <v>8</v>
      </c>
      <c r="X93" s="25">
        <f>Regions!I93</f>
        <v>1</v>
      </c>
      <c r="Y93" s="25">
        <f>Regions!G93</f>
        <v>0</v>
      </c>
      <c r="Z93" s="25">
        <f>Regions!K93</f>
        <v>0</v>
      </c>
    </row>
    <row r="94" spans="21:26" x14ac:dyDescent="0.25">
      <c r="U94" t="str">
        <f>Regions!B94</f>
        <v>Burma</v>
      </c>
      <c r="V94">
        <f>Regions!C94</f>
        <v>14515000</v>
      </c>
      <c r="W94" s="25">
        <f>Regions!D94</f>
        <v>8</v>
      </c>
      <c r="X94" s="25">
        <f>Regions!I94</f>
        <v>0.25</v>
      </c>
      <c r="Y94" s="25">
        <f>Regions!G94</f>
        <v>0</v>
      </c>
      <c r="Z94" s="25" t="str">
        <f>Regions!K94</f>
        <v>ENG</v>
      </c>
    </row>
    <row r="95" spans="21:26" x14ac:dyDescent="0.25">
      <c r="U95" t="str">
        <f>Regions!B95</f>
        <v>Hong Kong</v>
      </c>
      <c r="V95">
        <f>Regions!C95</f>
        <v>821000</v>
      </c>
      <c r="W95" s="25">
        <f>Regions!D95</f>
        <v>20</v>
      </c>
      <c r="X95" s="25">
        <f>Regions!I95</f>
        <v>0.25</v>
      </c>
      <c r="Y95" s="25">
        <f>Regions!G95</f>
        <v>0</v>
      </c>
      <c r="Z95" s="25" t="str">
        <f>Regions!K95</f>
        <v>ENG</v>
      </c>
    </row>
    <row r="96" spans="21:26" x14ac:dyDescent="0.25">
      <c r="U96" t="str">
        <f>Regions!B96</f>
        <v>Malaysia</v>
      </c>
      <c r="V96">
        <f>Regions!C96</f>
        <v>4413000</v>
      </c>
      <c r="W96" s="25">
        <f>Regions!D96</f>
        <v>8</v>
      </c>
      <c r="X96" s="25">
        <f>Regions!I96</f>
        <v>0.25</v>
      </c>
      <c r="Y96" s="25">
        <f>Regions!G96</f>
        <v>0</v>
      </c>
      <c r="Z96" s="25" t="str">
        <f>Regions!K96</f>
        <v>ENG</v>
      </c>
    </row>
    <row r="97" spans="21:26" x14ac:dyDescent="0.25">
      <c r="U97" t="str">
        <f>Regions!B97</f>
        <v>Singapore</v>
      </c>
      <c r="V97">
        <f>Regions!C97</f>
        <v>596000</v>
      </c>
      <c r="W97" s="25">
        <f>Regions!D97</f>
        <v>20</v>
      </c>
      <c r="X97" s="25">
        <f>Regions!I97</f>
        <v>0.25</v>
      </c>
      <c r="Y97" s="25">
        <f>Regions!G97</f>
        <v>0</v>
      </c>
      <c r="Z97" s="25" t="str">
        <f>Regions!K97</f>
        <v>ENG</v>
      </c>
    </row>
    <row r="98" spans="21:26" x14ac:dyDescent="0.25">
      <c r="U98" t="str">
        <f>Regions!B98</f>
        <v>Sri Lanka</v>
      </c>
      <c r="V98">
        <f>Regions!C98</f>
        <v>5707000</v>
      </c>
      <c r="W98" s="25">
        <f>Regions!D98</f>
        <v>6</v>
      </c>
      <c r="X98" s="25">
        <f>Regions!I98</f>
        <v>0.25</v>
      </c>
      <c r="Y98" s="25">
        <f>Regions!G98</f>
        <v>0</v>
      </c>
      <c r="Z98" s="25" t="str">
        <f>Regions!K98</f>
        <v>ENG</v>
      </c>
    </row>
    <row r="99" spans="21:26" x14ac:dyDescent="0.25">
      <c r="U99" t="str">
        <f>Regions!B99</f>
        <v>Vietnam</v>
      </c>
      <c r="V99">
        <f>Regions!C99</f>
        <v>20484000</v>
      </c>
      <c r="W99" s="25">
        <f>Regions!D99</f>
        <v>18</v>
      </c>
      <c r="X99" s="25">
        <f>Regions!I99</f>
        <v>0.25</v>
      </c>
      <c r="Y99" s="25">
        <f>Regions!G99</f>
        <v>0</v>
      </c>
      <c r="Z99" s="25" t="str">
        <f>Regions!K99</f>
        <v>FRA</v>
      </c>
    </row>
    <row r="100" spans="21:26" x14ac:dyDescent="0.25">
      <c r="U100" t="str">
        <f>Regions!B100</f>
        <v>Afghanistan</v>
      </c>
      <c r="V100">
        <f>Regions!C100</f>
        <v>6043197.968332299</v>
      </c>
      <c r="W100" s="25">
        <f>Regions!D100</f>
        <v>12</v>
      </c>
      <c r="X100" s="25">
        <f>Regions!I100</f>
        <v>1</v>
      </c>
      <c r="Y100" s="25">
        <f>Regions!G100</f>
        <v>0</v>
      </c>
      <c r="Z100" s="25" t="str">
        <f>Regions!K100</f>
        <v>AFG</v>
      </c>
    </row>
    <row r="101" spans="21:26" x14ac:dyDescent="0.25">
      <c r="U101" t="str">
        <f>Regions!B101</f>
        <v>Cambodia</v>
      </c>
      <c r="V101">
        <f>Regions!C101</f>
        <v>3315231.6707256082</v>
      </c>
      <c r="W101" s="25">
        <f>Regions!D101</f>
        <v>18</v>
      </c>
      <c r="X101" s="25">
        <f>Regions!I101</f>
        <v>1</v>
      </c>
      <c r="Y101" s="25">
        <f>Regions!G101</f>
        <v>0</v>
      </c>
      <c r="Z101" s="25" t="str">
        <f>Regions!K101</f>
        <v>FRA</v>
      </c>
    </row>
    <row r="102" spans="21:26" x14ac:dyDescent="0.25">
      <c r="U102" t="str">
        <f>Regions!B102</f>
        <v>Laos</v>
      </c>
      <c r="V102">
        <f>Regions!C102</f>
        <v>1398462.7445735848</v>
      </c>
      <c r="W102" s="25">
        <f>Regions!D102</f>
        <v>18</v>
      </c>
      <c r="X102" s="25">
        <f>Regions!I102</f>
        <v>1</v>
      </c>
      <c r="Y102" s="25">
        <f>Regions!G102</f>
        <v>0</v>
      </c>
      <c r="Z102" s="25" t="str">
        <f>Regions!K102</f>
        <v>FRA</v>
      </c>
    </row>
    <row r="103" spans="21:26" x14ac:dyDescent="0.25">
      <c r="U103" t="str">
        <f>Regions!B103</f>
        <v>China</v>
      </c>
      <c r="V103">
        <f>Regions!C103</f>
        <v>489000000</v>
      </c>
      <c r="W103" s="25">
        <f>Regions!D103</f>
        <v>4</v>
      </c>
      <c r="X103" s="25">
        <f>Regions!I103</f>
        <v>1</v>
      </c>
      <c r="Y103" s="25">
        <f>Regions!G103</f>
        <v>0</v>
      </c>
      <c r="Z103" s="25">
        <f>Regions!K103</f>
        <v>0</v>
      </c>
    </row>
    <row r="104" spans="21:26" x14ac:dyDescent="0.25">
      <c r="U104" t="str">
        <f>Regions!B104</f>
        <v>North China</v>
      </c>
      <c r="V104">
        <f>Regions!C104</f>
        <v>59702635.195555553</v>
      </c>
      <c r="W104" s="25">
        <f>Regions!D104</f>
        <v>12</v>
      </c>
      <c r="X104" s="25">
        <f>Regions!I104</f>
        <v>1</v>
      </c>
      <c r="Y104" s="25">
        <f>Regions!G104</f>
        <v>0</v>
      </c>
      <c r="Z104" s="25" t="str">
        <f>Regions!K104</f>
        <v>QIN</v>
      </c>
    </row>
    <row r="105" spans="21:26" x14ac:dyDescent="0.25">
      <c r="U105" t="str">
        <f>Regions!B105</f>
        <v>Northeast China</v>
      </c>
      <c r="V105">
        <f>Regions!C105</f>
        <v>39670883.493333332</v>
      </c>
      <c r="W105" s="25">
        <f>Regions!D105</f>
        <v>8</v>
      </c>
      <c r="X105" s="25">
        <f>Regions!I105</f>
        <v>0.25</v>
      </c>
      <c r="Y105" s="25">
        <f>Regions!G105</f>
        <v>0</v>
      </c>
      <c r="Z105" s="25" t="str">
        <f>Regions!K105</f>
        <v>RUS</v>
      </c>
    </row>
    <row r="106" spans="21:26" x14ac:dyDescent="0.25">
      <c r="U106" t="str">
        <f>Regions!B106</f>
        <v>East China</v>
      </c>
      <c r="V106">
        <f>Regions!C106</f>
        <v>139225532.85333332</v>
      </c>
      <c r="W106" s="25">
        <f>Regions!D106</f>
        <v>15</v>
      </c>
      <c r="X106" s="25">
        <f>Regions!I106</f>
        <v>1</v>
      </c>
      <c r="Y106" s="25">
        <f>Regions!G106</f>
        <v>0</v>
      </c>
      <c r="Z106" s="25" t="str">
        <f>Regions!K106</f>
        <v>NRC</v>
      </c>
    </row>
    <row r="107" spans="21:26" x14ac:dyDescent="0.25">
      <c r="U107" t="str">
        <f>Regions!B107</f>
        <v>South Central China</v>
      </c>
      <c r="V107">
        <f>Regions!C107</f>
        <v>138933886.00888887</v>
      </c>
      <c r="W107" s="25">
        <f>Regions!D107</f>
        <v>13</v>
      </c>
      <c r="X107" s="25">
        <f>Regions!I107</f>
        <v>1</v>
      </c>
      <c r="Y107" s="25">
        <f>Regions!G107</f>
        <v>0</v>
      </c>
      <c r="Z107" s="25" t="str">
        <f>Regions!K107</f>
        <v>GXI</v>
      </c>
    </row>
    <row r="108" spans="21:26" x14ac:dyDescent="0.25">
      <c r="U108" t="str">
        <f>Regions!B108</f>
        <v>Yunnan</v>
      </c>
      <c r="V108">
        <f>Regions!C108</f>
        <v>64901370.24222222</v>
      </c>
      <c r="W108" s="25">
        <f>Regions!D108</f>
        <v>10</v>
      </c>
      <c r="X108" s="25">
        <f>Regions!I108</f>
        <v>1</v>
      </c>
      <c r="Y108" s="25">
        <f>Regions!G108</f>
        <v>0</v>
      </c>
      <c r="Z108" s="25" t="str">
        <f>Regions!K108</f>
        <v>YUN</v>
      </c>
    </row>
    <row r="109" spans="21:26" x14ac:dyDescent="0.25">
      <c r="U109" t="str">
        <f>Regions!B109</f>
        <v>Tibet</v>
      </c>
      <c r="V109">
        <f>Regions!C109</f>
        <v>5000000</v>
      </c>
      <c r="W109" s="25">
        <f>Regions!D109</f>
        <v>2</v>
      </c>
      <c r="X109" s="25">
        <f>Regions!I109</f>
        <v>1</v>
      </c>
      <c r="Y109" s="25">
        <f>Regions!G109</f>
        <v>0</v>
      </c>
      <c r="Z109" s="25" t="str">
        <f>Regions!K109</f>
        <v>TIB</v>
      </c>
    </row>
    <row r="110" spans="21:26" x14ac:dyDescent="0.25">
      <c r="U110" t="str">
        <f>Regions!B110</f>
        <v>Northwest China</v>
      </c>
      <c r="V110">
        <f>Regions!C110</f>
        <v>35006618.208888888</v>
      </c>
      <c r="W110" s="25">
        <f>Regions!D110</f>
        <v>8</v>
      </c>
      <c r="X110" s="25">
        <f>Regions!I110</f>
        <v>1</v>
      </c>
      <c r="Y110" s="25">
        <f>Regions!G110</f>
        <v>0</v>
      </c>
      <c r="Z110" s="25" t="str">
        <f>Regions!K110</f>
        <v>QIN</v>
      </c>
    </row>
    <row r="111" spans="21:26" x14ac:dyDescent="0.25">
      <c r="U111" t="str">
        <f>Regions!B111</f>
        <v>Mongolia</v>
      </c>
      <c r="V111">
        <f>Regions!C111</f>
        <v>500000</v>
      </c>
      <c r="W111" s="25">
        <f>Regions!D111</f>
        <v>2</v>
      </c>
      <c r="X111" s="25">
        <f>Regions!I111</f>
        <v>0.25</v>
      </c>
      <c r="Y111" s="25">
        <f>Regions!G111</f>
        <v>0</v>
      </c>
      <c r="Z111" s="25" t="str">
        <f>Regions!K111</f>
        <v>RUS</v>
      </c>
    </row>
    <row r="112" spans="21:26" x14ac:dyDescent="0.25">
      <c r="U112" t="str">
        <f>Regions!B112</f>
        <v xml:space="preserve">Algeria </v>
      </c>
      <c r="V112">
        <f>Regions!C112</f>
        <v>6593920.9019082282</v>
      </c>
      <c r="W112" s="25">
        <f>Regions!D112</f>
        <v>10</v>
      </c>
      <c r="X112" s="25">
        <f>Regions!I112</f>
        <v>0.75</v>
      </c>
      <c r="Y112" s="25">
        <f>Regions!G112</f>
        <v>0</v>
      </c>
      <c r="Z112" s="25" t="str">
        <f>Regions!K112</f>
        <v>FRA</v>
      </c>
    </row>
    <row r="113" spans="21:26" x14ac:dyDescent="0.25">
      <c r="U113" t="str">
        <f>Regions!B113</f>
        <v>Angola</v>
      </c>
      <c r="V113">
        <f>Regions!C113</f>
        <v>3053199.3483154029</v>
      </c>
      <c r="W113" s="25">
        <f>Regions!D113</f>
        <v>10</v>
      </c>
      <c r="X113" s="25">
        <f>Regions!I113</f>
        <v>1</v>
      </c>
      <c r="Y113" s="25">
        <f>Regions!G113</f>
        <v>0</v>
      </c>
      <c r="Z113" s="25">
        <f>Regions!K113</f>
        <v>0</v>
      </c>
    </row>
    <row r="114" spans="21:26" x14ac:dyDescent="0.25">
      <c r="U114" t="str">
        <f>Regions!B114</f>
        <v xml:space="preserve">Benin </v>
      </c>
      <c r="V114">
        <f>Regions!C114</f>
        <v>1240272.5836697756</v>
      </c>
      <c r="W114" s="25">
        <f>Regions!D114</f>
        <v>10</v>
      </c>
      <c r="X114" s="25">
        <f>Regions!I114</f>
        <v>1</v>
      </c>
      <c r="Y114" s="25">
        <f>Regions!G114</f>
        <v>0</v>
      </c>
      <c r="Z114" s="25">
        <f>Regions!K114</f>
        <v>0</v>
      </c>
    </row>
    <row r="115" spans="21:26" x14ac:dyDescent="0.25">
      <c r="U115" t="str">
        <f>Regions!B115</f>
        <v>Botswana</v>
      </c>
      <c r="V115">
        <f>Regions!C115</f>
        <v>319149.81191948586</v>
      </c>
      <c r="W115" s="25">
        <f>Regions!D115</f>
        <v>10</v>
      </c>
      <c r="X115" s="25">
        <f>Regions!I115</f>
        <v>1</v>
      </c>
      <c r="Y115" s="25">
        <f>Regions!G115</f>
        <v>0</v>
      </c>
      <c r="Z115" s="25">
        <f>Regions!K115</f>
        <v>0</v>
      </c>
    </row>
    <row r="116" spans="21:26" x14ac:dyDescent="0.25">
      <c r="U116" t="str">
        <f>Regions!B116</f>
        <v>Burkina Faso</v>
      </c>
      <c r="V116">
        <f>Regions!C116</f>
        <v>3244909.6082813507</v>
      </c>
      <c r="W116" s="25">
        <f>Regions!D116</f>
        <v>10</v>
      </c>
      <c r="X116" s="25">
        <f>Regions!I116</f>
        <v>1</v>
      </c>
      <c r="Y116" s="25">
        <f>Regions!G116</f>
        <v>0</v>
      </c>
      <c r="Z116" s="25">
        <f>Regions!K116</f>
        <v>0</v>
      </c>
    </row>
    <row r="117" spans="21:26" x14ac:dyDescent="0.25">
      <c r="U117" t="str">
        <f>Regions!B117</f>
        <v>Burundi</v>
      </c>
      <c r="V117">
        <f>Regions!C117</f>
        <v>1751802.2270601667</v>
      </c>
      <c r="W117" s="25">
        <f>Regions!D117</f>
        <v>10</v>
      </c>
      <c r="X117" s="25">
        <f>Regions!I117</f>
        <v>1</v>
      </c>
      <c r="Y117" s="25">
        <f>Regions!G117</f>
        <v>0</v>
      </c>
      <c r="Z117" s="25">
        <f>Regions!K117</f>
        <v>0</v>
      </c>
    </row>
    <row r="118" spans="21:26" x14ac:dyDescent="0.25">
      <c r="U118" t="str">
        <f>Regions!B118</f>
        <v xml:space="preserve">Cameroon </v>
      </c>
      <c r="V118">
        <f>Regions!C118</f>
        <v>3624132.5154894758</v>
      </c>
      <c r="W118" s="25">
        <f>Regions!D118</f>
        <v>10</v>
      </c>
      <c r="X118" s="25">
        <f>Regions!I118</f>
        <v>1</v>
      </c>
      <c r="Y118" s="25">
        <f>Regions!G118</f>
        <v>0</v>
      </c>
      <c r="Z118" s="25">
        <f>Regions!K118</f>
        <v>0</v>
      </c>
    </row>
    <row r="119" spans="21:26" x14ac:dyDescent="0.25">
      <c r="U119" t="str">
        <f>Regions!B119</f>
        <v xml:space="preserve">Cape Verde </v>
      </c>
      <c r="V119">
        <f>Regions!C119</f>
        <v>108557.33891506179</v>
      </c>
      <c r="W119" s="25">
        <f>Regions!D119</f>
        <v>10</v>
      </c>
      <c r="X119" s="25">
        <f>Regions!I119</f>
        <v>1</v>
      </c>
      <c r="Y119" s="25">
        <f>Regions!G119</f>
        <v>0</v>
      </c>
      <c r="Z119" s="25">
        <f>Regions!K119</f>
        <v>0</v>
      </c>
    </row>
    <row r="120" spans="21:26" x14ac:dyDescent="0.25">
      <c r="U120" t="str">
        <f>Regions!B120</f>
        <v xml:space="preserve">Central African Republic </v>
      </c>
      <c r="V120">
        <f>Regions!C120</f>
        <v>934149.38548129122</v>
      </c>
      <c r="W120" s="25">
        <f>Regions!D120</f>
        <v>10</v>
      </c>
      <c r="X120" s="25">
        <f>Regions!I120</f>
        <v>1</v>
      </c>
      <c r="Y120" s="25">
        <f>Regions!G120</f>
        <v>0</v>
      </c>
      <c r="Z120" s="25">
        <f>Regions!K120</f>
        <v>0</v>
      </c>
    </row>
    <row r="121" spans="21:26" x14ac:dyDescent="0.25">
      <c r="U121" t="str">
        <f>Regions!B121</f>
        <v xml:space="preserve">Chad </v>
      </c>
      <c r="V121">
        <f>Regions!C121</f>
        <v>1933652.0641325093</v>
      </c>
      <c r="W121" s="25">
        <f>Regions!D121</f>
        <v>10</v>
      </c>
      <c r="X121" s="25">
        <f>Regions!I121</f>
        <v>1</v>
      </c>
      <c r="Y121" s="25">
        <f>Regions!G121</f>
        <v>0</v>
      </c>
      <c r="Z121" s="25">
        <f>Regions!K121</f>
        <v>0</v>
      </c>
    </row>
    <row r="122" spans="21:26" x14ac:dyDescent="0.25">
      <c r="U122" t="str">
        <f>Regions!B122</f>
        <v xml:space="preserve">Comoro Islands </v>
      </c>
      <c r="V122">
        <f>Regions!C122</f>
        <v>109783.77442912578</v>
      </c>
      <c r="W122" s="25">
        <f>Regions!D122</f>
        <v>10</v>
      </c>
      <c r="X122" s="25">
        <f>Regions!I122</f>
        <v>1</v>
      </c>
      <c r="Y122" s="25">
        <f>Regions!G122</f>
        <v>0</v>
      </c>
      <c r="Z122" s="25">
        <f>Regions!K122</f>
        <v>0</v>
      </c>
    </row>
    <row r="123" spans="21:26" x14ac:dyDescent="0.25">
      <c r="U123" t="str">
        <f>Regions!B123</f>
        <v>Congo</v>
      </c>
      <c r="V123">
        <f>Regions!C123</f>
        <v>612704.64132720546</v>
      </c>
      <c r="W123" s="25">
        <f>Regions!D123</f>
        <v>10</v>
      </c>
      <c r="X123" s="25">
        <f>Regions!I123</f>
        <v>1</v>
      </c>
      <c r="Y123" s="25">
        <f>Regions!G123</f>
        <v>0</v>
      </c>
      <c r="Z123" s="25" t="str">
        <f>Regions!K123</f>
        <v>KON</v>
      </c>
    </row>
    <row r="124" spans="21:26" x14ac:dyDescent="0.25">
      <c r="U124" t="str">
        <f>Regions!B124</f>
        <v>Côte d'Ivoire</v>
      </c>
      <c r="V124">
        <f>Regions!C124</f>
        <v>2120894.0650853072</v>
      </c>
      <c r="W124" s="25">
        <f>Regions!D124</f>
        <v>20</v>
      </c>
      <c r="X124" s="25">
        <f>Regions!I124</f>
        <v>0.75</v>
      </c>
      <c r="Y124" s="25">
        <f>Regions!G124</f>
        <v>0</v>
      </c>
      <c r="Z124" s="25" t="str">
        <f>Regions!K124</f>
        <v>FRA</v>
      </c>
    </row>
    <row r="125" spans="21:26" x14ac:dyDescent="0.25">
      <c r="U125" t="str">
        <f>Regions!B125</f>
        <v>Djibouti</v>
      </c>
      <c r="V125">
        <f>Regions!C125</f>
        <v>44516.494874453725</v>
      </c>
      <c r="W125" s="25">
        <f>Regions!D125</f>
        <v>10</v>
      </c>
      <c r="X125" s="25">
        <f>Regions!I125</f>
        <v>1</v>
      </c>
      <c r="Y125" s="25">
        <f>Regions!G125</f>
        <v>0</v>
      </c>
      <c r="Z125" s="25">
        <f>Regions!K125</f>
        <v>0</v>
      </c>
    </row>
    <row r="126" spans="21:26" x14ac:dyDescent="0.25">
      <c r="U126" t="str">
        <f>Regions!B126</f>
        <v xml:space="preserve">Egypt </v>
      </c>
      <c r="V126">
        <f>Regions!C126</f>
        <v>15718017.568654705</v>
      </c>
      <c r="W126" s="25">
        <f>Regions!D126</f>
        <v>18</v>
      </c>
      <c r="X126" s="25">
        <f>Regions!I126</f>
        <v>0.25</v>
      </c>
      <c r="Y126" s="25">
        <f>Regions!G126</f>
        <v>0</v>
      </c>
      <c r="Z126" s="25" t="str">
        <f>Regions!K126</f>
        <v>ENG</v>
      </c>
    </row>
    <row r="127" spans="21:26" x14ac:dyDescent="0.25">
      <c r="U127" t="str">
        <f>Regions!B127</f>
        <v xml:space="preserve">Equatorial Guinea </v>
      </c>
      <c r="V127">
        <f>Regions!C127</f>
        <v>156607.06548511103</v>
      </c>
      <c r="W127" s="25">
        <f>Regions!D127</f>
        <v>10</v>
      </c>
      <c r="X127" s="25">
        <f>Regions!I127</f>
        <v>1</v>
      </c>
      <c r="Y127" s="25">
        <f>Regions!G127</f>
        <v>0</v>
      </c>
      <c r="Z127" s="25">
        <f>Regions!K127</f>
        <v>0</v>
      </c>
    </row>
    <row r="128" spans="21:26" x14ac:dyDescent="0.25">
      <c r="U128" t="str">
        <f>Regions!B128</f>
        <v xml:space="preserve">Eritrea and Ethiopia </v>
      </c>
      <c r="V128">
        <f>Regions!C128</f>
        <v>15999327.32183555</v>
      </c>
      <c r="W128" s="25">
        <f>Regions!D128</f>
        <v>10</v>
      </c>
      <c r="X128" s="25">
        <f>Regions!I128</f>
        <v>1</v>
      </c>
      <c r="Y128" s="25">
        <f>Regions!G128</f>
        <v>0</v>
      </c>
      <c r="Z128" s="25" t="str">
        <f>Regions!K128</f>
        <v>ETH</v>
      </c>
    </row>
    <row r="129" spans="21:26" x14ac:dyDescent="0.25">
      <c r="U129" t="str">
        <f>Regions!B129</f>
        <v>Gabon</v>
      </c>
      <c r="V129">
        <f>Regions!C129</f>
        <v>308289.85149688524</v>
      </c>
      <c r="W129" s="25">
        <f>Regions!D129</f>
        <v>10</v>
      </c>
      <c r="X129" s="25">
        <f>Regions!I129</f>
        <v>1</v>
      </c>
      <c r="Y129" s="25">
        <f>Regions!G129</f>
        <v>0</v>
      </c>
      <c r="Z129" s="25">
        <f>Regions!K129</f>
        <v>0</v>
      </c>
    </row>
    <row r="130" spans="21:26" x14ac:dyDescent="0.25">
      <c r="U130" t="str">
        <f>Regions!B130</f>
        <v xml:space="preserve">Gambia </v>
      </c>
      <c r="V130">
        <f>Regions!C130</f>
        <v>201219.21343170153</v>
      </c>
      <c r="W130" s="25">
        <f>Regions!D130</f>
        <v>10</v>
      </c>
      <c r="X130" s="25">
        <f>Regions!I130</f>
        <v>1</v>
      </c>
      <c r="Y130" s="25">
        <f>Regions!G130</f>
        <v>0</v>
      </c>
      <c r="Z130" s="25">
        <f>Regions!K130</f>
        <v>0</v>
      </c>
    </row>
    <row r="131" spans="21:26" x14ac:dyDescent="0.25">
      <c r="U131" t="str">
        <f>Regions!B131</f>
        <v>Ghana</v>
      </c>
      <c r="V131">
        <f>Regions!C131</f>
        <v>3928044.5705685653</v>
      </c>
      <c r="W131" s="25">
        <f>Regions!D131</f>
        <v>10</v>
      </c>
      <c r="X131" s="25">
        <f>Regions!I131</f>
        <v>1</v>
      </c>
      <c r="Y131" s="25">
        <f>Regions!G131</f>
        <v>0</v>
      </c>
      <c r="Z131" s="25">
        <f>Regions!K131</f>
        <v>0</v>
      </c>
    </row>
    <row r="132" spans="21:26" x14ac:dyDescent="0.25">
      <c r="U132" t="str">
        <f>Regions!B132</f>
        <v xml:space="preserve">Guinea </v>
      </c>
      <c r="V132">
        <f>Regions!C132</f>
        <v>1917146.3479637881</v>
      </c>
      <c r="W132" s="25">
        <f>Regions!D132</f>
        <v>10</v>
      </c>
      <c r="X132" s="25">
        <f>Regions!I132</f>
        <v>1</v>
      </c>
      <c r="Y132" s="25">
        <f>Regions!G132</f>
        <v>0</v>
      </c>
      <c r="Z132" s="25">
        <f>Regions!K132</f>
        <v>0</v>
      </c>
    </row>
    <row r="133" spans="21:26" x14ac:dyDescent="0.25">
      <c r="U133" t="str">
        <f>Regions!B133</f>
        <v xml:space="preserve">Guinea Bissau </v>
      </c>
      <c r="V133">
        <f>Regions!C133</f>
        <v>425076.32060244418</v>
      </c>
      <c r="W133" s="25">
        <f>Regions!D133</f>
        <v>10</v>
      </c>
      <c r="X133" s="25">
        <f>Regions!I133</f>
        <v>1</v>
      </c>
      <c r="Y133" s="25">
        <f>Regions!G133</f>
        <v>0</v>
      </c>
      <c r="Z133" s="25">
        <f>Regions!K133</f>
        <v>0</v>
      </c>
    </row>
    <row r="134" spans="21:26" x14ac:dyDescent="0.25">
      <c r="U134" t="str">
        <f>Regions!B134</f>
        <v>Kenya</v>
      </c>
      <c r="V134">
        <f>Regions!C134</f>
        <v>4538837.6334464019</v>
      </c>
      <c r="W134" s="25">
        <f>Regions!D134</f>
        <v>10</v>
      </c>
      <c r="X134" s="25">
        <f>Regions!I134</f>
        <v>1</v>
      </c>
      <c r="Y134" s="25">
        <f>Regions!G134</f>
        <v>0</v>
      </c>
      <c r="Z134" s="25">
        <f>Regions!K134</f>
        <v>0</v>
      </c>
    </row>
    <row r="135" spans="21:26" x14ac:dyDescent="0.25">
      <c r="U135" t="str">
        <f>Regions!B135</f>
        <v>Lesotho</v>
      </c>
      <c r="V135">
        <f>Regions!C135</f>
        <v>538461.54442202277</v>
      </c>
      <c r="W135" s="25">
        <f>Regions!D135</f>
        <v>10</v>
      </c>
      <c r="X135" s="25">
        <f>Regions!I135</f>
        <v>1</v>
      </c>
      <c r="Y135" s="25">
        <f>Regions!G135</f>
        <v>0</v>
      </c>
      <c r="Z135" s="25">
        <f>Regions!K135</f>
        <v>0</v>
      </c>
    </row>
    <row r="136" spans="21:26" x14ac:dyDescent="0.25">
      <c r="U136" t="str">
        <f>Regions!B136</f>
        <v>Liberia</v>
      </c>
      <c r="V136">
        <f>Regions!C136</f>
        <v>610907.99486373691</v>
      </c>
      <c r="W136" s="25">
        <f>Regions!D136</f>
        <v>10</v>
      </c>
      <c r="X136" s="25">
        <f>Regions!I136</f>
        <v>1</v>
      </c>
      <c r="Y136" s="25">
        <f>Regions!G136</f>
        <v>0</v>
      </c>
      <c r="Z136" s="25">
        <f>Regions!K136</f>
        <v>0</v>
      </c>
    </row>
    <row r="137" spans="21:26" x14ac:dyDescent="0.25">
      <c r="U137" t="str">
        <f>Regions!B137</f>
        <v xml:space="preserve">Libya </v>
      </c>
      <c r="V137">
        <f>Regions!C137</f>
        <v>712804.46907333506</v>
      </c>
      <c r="W137" s="25">
        <f>Regions!D137</f>
        <v>10</v>
      </c>
      <c r="X137" s="25">
        <f>Regions!I137</f>
        <v>0.25</v>
      </c>
      <c r="Y137" s="25">
        <f>Regions!G137</f>
        <v>0</v>
      </c>
      <c r="Z137" s="25" t="str">
        <f>Regions!K137</f>
        <v>ITA</v>
      </c>
    </row>
    <row r="138" spans="21:26" x14ac:dyDescent="0.25">
      <c r="U138" t="str">
        <f>Regions!B138</f>
        <v>Madagascar</v>
      </c>
      <c r="V138">
        <f>Regions!C138</f>
        <v>3426038.7105775927</v>
      </c>
      <c r="W138" s="25">
        <f>Regions!D138</f>
        <v>10</v>
      </c>
      <c r="X138" s="25">
        <f>Regions!I138</f>
        <v>1</v>
      </c>
      <c r="Y138" s="25">
        <f>Regions!G138</f>
        <v>0</v>
      </c>
      <c r="Z138" s="25">
        <f>Regions!K138</f>
        <v>0</v>
      </c>
    </row>
    <row r="139" spans="21:26" x14ac:dyDescent="0.25">
      <c r="U139" t="str">
        <f>Regions!B139</f>
        <v>Malawi</v>
      </c>
      <c r="V139">
        <f>Regions!C139</f>
        <v>2088499.5579883133</v>
      </c>
      <c r="W139" s="25">
        <f>Regions!D139</f>
        <v>10</v>
      </c>
      <c r="X139" s="25">
        <f>Regions!I139</f>
        <v>1</v>
      </c>
      <c r="Y139" s="25">
        <f>Regions!G139</f>
        <v>0</v>
      </c>
      <c r="Z139" s="25">
        <f>Regions!K139</f>
        <v>0</v>
      </c>
    </row>
    <row r="140" spans="21:26" x14ac:dyDescent="0.25">
      <c r="U140" t="str">
        <f>Regions!B140</f>
        <v>Mali</v>
      </c>
      <c r="V140">
        <f>Regions!C140</f>
        <v>2734383.2099033711</v>
      </c>
      <c r="W140" s="25">
        <f>Regions!D140</f>
        <v>10</v>
      </c>
      <c r="X140" s="25">
        <f>Regions!I140</f>
        <v>1</v>
      </c>
      <c r="Y140" s="25">
        <f>Regions!G140</f>
        <v>0</v>
      </c>
      <c r="Z140" s="25">
        <f>Regions!K140</f>
        <v>0</v>
      </c>
    </row>
    <row r="141" spans="21:26" x14ac:dyDescent="0.25">
      <c r="U141" t="str">
        <f>Regions!B141</f>
        <v xml:space="preserve">Mauritania </v>
      </c>
      <c r="V141">
        <f>Regions!C141</f>
        <v>745645.35717363411</v>
      </c>
      <c r="W141" s="25">
        <f>Regions!D141</f>
        <v>10</v>
      </c>
      <c r="X141" s="25">
        <f>Regions!I141</f>
        <v>1</v>
      </c>
      <c r="Y141" s="25">
        <f>Regions!G141</f>
        <v>0</v>
      </c>
      <c r="Z141" s="25">
        <f>Regions!K141</f>
        <v>0</v>
      </c>
    </row>
    <row r="142" spans="21:26" x14ac:dyDescent="0.25">
      <c r="U142" t="str">
        <f>Regions!B142</f>
        <v xml:space="preserve">Mauritius </v>
      </c>
      <c r="V142">
        <f>Regions!C142</f>
        <v>356860.10873856262</v>
      </c>
      <c r="W142" s="25">
        <f>Regions!D142</f>
        <v>10</v>
      </c>
      <c r="X142" s="25">
        <f>Regions!I142</f>
        <v>1</v>
      </c>
      <c r="Y142" s="25">
        <f>Regions!G142</f>
        <v>0</v>
      </c>
      <c r="Z142" s="25">
        <f>Regions!K142</f>
        <v>0</v>
      </c>
    </row>
    <row r="143" spans="21:26" x14ac:dyDescent="0.25">
      <c r="U143" t="str">
        <f>Regions!B143</f>
        <v xml:space="preserve">Morocco </v>
      </c>
      <c r="V143">
        <f>Regions!C143</f>
        <v>6928088.2461531907</v>
      </c>
      <c r="W143" s="25">
        <f>Regions!D143</f>
        <v>10</v>
      </c>
      <c r="X143" s="25">
        <f>Regions!I143</f>
        <v>1</v>
      </c>
      <c r="Y143" s="25">
        <f>Regions!G143</f>
        <v>0</v>
      </c>
      <c r="Z143" s="25" t="str">
        <f>Regions!K143</f>
        <v>MOR</v>
      </c>
    </row>
    <row r="144" spans="21:26" x14ac:dyDescent="0.25">
      <c r="U144" t="str">
        <f>Regions!B144</f>
        <v>Mozambique</v>
      </c>
      <c r="V144">
        <f>Regions!C144</f>
        <v>4634682.7532241521</v>
      </c>
      <c r="W144" s="25">
        <f>Regions!D144</f>
        <v>10</v>
      </c>
      <c r="X144" s="25">
        <f>Regions!I144</f>
        <v>0.25</v>
      </c>
      <c r="Y144" s="25">
        <f>Regions!G144</f>
        <v>0</v>
      </c>
      <c r="Z144" s="25" t="str">
        <f>Regions!K144</f>
        <v>POR</v>
      </c>
    </row>
    <row r="145" spans="21:26" x14ac:dyDescent="0.25">
      <c r="U145" t="str">
        <f>Regions!B145</f>
        <v xml:space="preserve">Namibia </v>
      </c>
      <c r="V145">
        <f>Regions!C145</f>
        <v>343853.51541800838</v>
      </c>
      <c r="W145" s="25">
        <f>Regions!D145</f>
        <v>10</v>
      </c>
      <c r="X145" s="25">
        <f>Regions!I145</f>
        <v>1</v>
      </c>
      <c r="Y145" s="25">
        <f>Regions!G145</f>
        <v>0</v>
      </c>
      <c r="Z145" s="25">
        <f>Regions!K145</f>
        <v>0</v>
      </c>
    </row>
    <row r="146" spans="21:26" x14ac:dyDescent="0.25">
      <c r="U146" t="str">
        <f>Regions!B146</f>
        <v>Niger</v>
      </c>
      <c r="V146">
        <f>Regions!C146</f>
        <v>2425489.7801063359</v>
      </c>
      <c r="W146" s="25">
        <f>Regions!D146</f>
        <v>10</v>
      </c>
      <c r="X146" s="25">
        <f>Regions!I146</f>
        <v>1</v>
      </c>
      <c r="Y146" s="25">
        <f>Regions!G146</f>
        <v>0</v>
      </c>
      <c r="Z146" s="25">
        <f>Regions!K146</f>
        <v>0</v>
      </c>
    </row>
    <row r="147" spans="21:26" x14ac:dyDescent="0.25">
      <c r="U147" t="str">
        <f>Regions!B147</f>
        <v>Nigeria</v>
      </c>
      <c r="V147">
        <f>Regions!C147</f>
        <v>23577324.80539706</v>
      </c>
      <c r="W147" s="25">
        <f>Regions!D147</f>
        <v>12</v>
      </c>
      <c r="X147" s="25">
        <f>Regions!I147</f>
        <v>0.25</v>
      </c>
      <c r="Y147" s="25">
        <f>Regions!G147</f>
        <v>0</v>
      </c>
      <c r="Z147" s="25" t="str">
        <f>Regions!K147</f>
        <v>ENG</v>
      </c>
    </row>
    <row r="148" spans="21:26" x14ac:dyDescent="0.25">
      <c r="U148" t="str">
        <f>Regions!B148</f>
        <v xml:space="preserve">Reunion </v>
      </c>
      <c r="V148">
        <f>Regions!C148</f>
        <v>180702.74170338421</v>
      </c>
      <c r="W148" s="25">
        <f>Regions!D148</f>
        <v>10</v>
      </c>
      <c r="X148" s="25">
        <f>Regions!I148</f>
        <v>1</v>
      </c>
      <c r="Y148" s="25">
        <f>Regions!G148</f>
        <v>0</v>
      </c>
      <c r="Z148" s="25">
        <f>Regions!K148</f>
        <v>0</v>
      </c>
    </row>
    <row r="149" spans="21:26" x14ac:dyDescent="0.25">
      <c r="U149" t="str">
        <f>Regions!B149</f>
        <v>Rwanda</v>
      </c>
      <c r="V149">
        <f>Regions!C149</f>
        <v>1808832.9614575093</v>
      </c>
      <c r="W149" s="25">
        <f>Regions!D149</f>
        <v>10</v>
      </c>
      <c r="X149" s="25">
        <f>Regions!I149</f>
        <v>1</v>
      </c>
      <c r="Y149" s="25">
        <f>Regions!G149</f>
        <v>0</v>
      </c>
      <c r="Z149" s="25">
        <f>Regions!K149</f>
        <v>0</v>
      </c>
    </row>
    <row r="150" spans="21:26" x14ac:dyDescent="0.25">
      <c r="U150" t="str">
        <f>Regions!B150</f>
        <v xml:space="preserve">São Tomé and Principe </v>
      </c>
      <c r="V150">
        <f>Regions!C150</f>
        <v>44289.596889385051</v>
      </c>
      <c r="W150" s="25">
        <f>Regions!D150</f>
        <v>10</v>
      </c>
      <c r="X150" s="25">
        <f>Regions!I150</f>
        <v>1</v>
      </c>
      <c r="Y150" s="25">
        <f>Regions!G150</f>
        <v>0</v>
      </c>
      <c r="Z150" s="25">
        <f>Regions!K150</f>
        <v>0</v>
      </c>
    </row>
    <row r="151" spans="21:26" x14ac:dyDescent="0.25">
      <c r="U151" t="str">
        <f>Regions!B151</f>
        <v xml:space="preserve">Senegal </v>
      </c>
      <c r="V151">
        <f>Regions!C151</f>
        <v>1967663.0339989467</v>
      </c>
      <c r="W151" s="25">
        <f>Regions!D151</f>
        <v>10</v>
      </c>
      <c r="X151" s="25">
        <f>Regions!I151</f>
        <v>1</v>
      </c>
      <c r="Y151" s="25">
        <f>Regions!G151</f>
        <v>0</v>
      </c>
      <c r="Z151" s="25">
        <f>Regions!K151</f>
        <v>0</v>
      </c>
    </row>
    <row r="152" spans="21:26" x14ac:dyDescent="0.25">
      <c r="U152" t="str">
        <f>Regions!B152</f>
        <v>Seychelles</v>
      </c>
      <c r="V152">
        <f>Regions!C152</f>
        <v>24397.465368348174</v>
      </c>
      <c r="W152" s="25">
        <f>Regions!D152</f>
        <v>10</v>
      </c>
      <c r="X152" s="25">
        <f>Regions!I152</f>
        <v>1</v>
      </c>
      <c r="Y152" s="25">
        <f>Regions!G152</f>
        <v>0</v>
      </c>
      <c r="Z152" s="25">
        <f>Regions!K152</f>
        <v>0</v>
      </c>
    </row>
    <row r="153" spans="21:26" x14ac:dyDescent="0.25">
      <c r="U153" t="str">
        <f>Regions!B153</f>
        <v>Sierra Leone</v>
      </c>
      <c r="V153">
        <f>Regions!C153</f>
        <v>1547544.3602205846</v>
      </c>
      <c r="W153" s="25">
        <f>Regions!D153</f>
        <v>10</v>
      </c>
      <c r="X153" s="25">
        <f>Regions!I153</f>
        <v>1</v>
      </c>
      <c r="Y153" s="25">
        <f>Regions!G153</f>
        <v>0</v>
      </c>
      <c r="Z153" s="25">
        <f>Regions!K153</f>
        <v>0</v>
      </c>
    </row>
    <row r="154" spans="21:26" x14ac:dyDescent="0.25">
      <c r="U154" t="str">
        <f>Regions!B154</f>
        <v xml:space="preserve">Somalia </v>
      </c>
      <c r="V154">
        <f>Regions!C154</f>
        <v>1807718.4919426132</v>
      </c>
      <c r="W154" s="25">
        <f>Regions!D154</f>
        <v>10</v>
      </c>
      <c r="X154" s="25">
        <f>Regions!I154</f>
        <v>1</v>
      </c>
      <c r="Y154" s="25">
        <f>Regions!G154</f>
        <v>0</v>
      </c>
      <c r="Z154" s="25">
        <f>Regions!K154</f>
        <v>0</v>
      </c>
    </row>
    <row r="155" spans="21:26" x14ac:dyDescent="0.25">
      <c r="U155" t="str">
        <f>Regions!B155</f>
        <v xml:space="preserve">Sudan </v>
      </c>
      <c r="V155">
        <f>Regions!C155</f>
        <v>5969901.7626916021</v>
      </c>
      <c r="W155" s="25">
        <f>Regions!D155</f>
        <v>10</v>
      </c>
      <c r="X155" s="25">
        <f>Regions!I155</f>
        <v>1</v>
      </c>
      <c r="Y155" s="25">
        <f>Regions!G155</f>
        <v>0</v>
      </c>
      <c r="Z155" s="25">
        <f>Regions!K155</f>
        <v>0</v>
      </c>
    </row>
    <row r="156" spans="21:26" x14ac:dyDescent="0.25">
      <c r="U156" t="str">
        <f>Regions!B156</f>
        <v>Swaziland</v>
      </c>
      <c r="V156">
        <f>Regions!C156</f>
        <v>205679.31598133573</v>
      </c>
      <c r="W156" s="25">
        <f>Regions!D156</f>
        <v>10</v>
      </c>
      <c r="X156" s="25">
        <f>Regions!I156</f>
        <v>1</v>
      </c>
      <c r="Y156" s="25">
        <f>Regions!G156</f>
        <v>0</v>
      </c>
      <c r="Z156" s="25">
        <f>Regions!K156</f>
        <v>0</v>
      </c>
    </row>
    <row r="157" spans="21:26" x14ac:dyDescent="0.25">
      <c r="U157" t="str">
        <f>Regions!B157</f>
        <v xml:space="preserve">Tanzania </v>
      </c>
      <c r="V157">
        <f>Regions!C157</f>
        <v>5883719.8276897175</v>
      </c>
      <c r="W157" s="25">
        <f>Regions!D157</f>
        <v>10</v>
      </c>
      <c r="X157" s="25">
        <f>Regions!I157</f>
        <v>1</v>
      </c>
      <c r="Y157" s="25">
        <f>Regions!G157</f>
        <v>0</v>
      </c>
      <c r="Z157" s="25">
        <f>Regions!K157</f>
        <v>0</v>
      </c>
    </row>
    <row r="158" spans="21:26" x14ac:dyDescent="0.25">
      <c r="U158" t="str">
        <f>Regions!B158</f>
        <v>Togo</v>
      </c>
      <c r="V158">
        <f>Regions!C158</f>
        <v>868957.73858830868</v>
      </c>
      <c r="W158" s="25">
        <f>Regions!D158</f>
        <v>10</v>
      </c>
      <c r="X158" s="25">
        <f>Regions!I158</f>
        <v>1</v>
      </c>
      <c r="Y158" s="25">
        <f>Regions!G158</f>
        <v>0</v>
      </c>
      <c r="Z158" s="25">
        <f>Regions!K158</f>
        <v>0</v>
      </c>
    </row>
    <row r="159" spans="21:26" x14ac:dyDescent="0.25">
      <c r="U159" t="str">
        <f>Regions!B159</f>
        <v xml:space="preserve">Tunisia </v>
      </c>
      <c r="V159">
        <f>Regions!C159</f>
        <v>2607999.5492267539</v>
      </c>
      <c r="W159" s="25">
        <f>Regions!D159</f>
        <v>10</v>
      </c>
      <c r="X159" s="25">
        <f>Regions!I159</f>
        <v>1</v>
      </c>
      <c r="Y159" s="25">
        <f>Regions!G159</f>
        <v>0</v>
      </c>
      <c r="Z159" s="25">
        <f>Regions!K159</f>
        <v>0</v>
      </c>
    </row>
    <row r="160" spans="21:26" x14ac:dyDescent="0.25">
      <c r="U160" t="str">
        <f>Regions!B160</f>
        <v xml:space="preserve">Uganda </v>
      </c>
      <c r="V160">
        <f>Regions!C160</f>
        <v>4094365.2426040019</v>
      </c>
      <c r="W160" s="25">
        <f>Regions!D160</f>
        <v>10</v>
      </c>
      <c r="X160" s="25">
        <f>Regions!I160</f>
        <v>1</v>
      </c>
      <c r="Y160" s="25">
        <f>Regions!G160</f>
        <v>0</v>
      </c>
      <c r="Z160" s="25">
        <f>Regions!K160</f>
        <v>0</v>
      </c>
    </row>
    <row r="161" spans="21:26" x14ac:dyDescent="0.25">
      <c r="U161" t="str">
        <f>Regions!B161</f>
        <v xml:space="preserve">Zaire </v>
      </c>
      <c r="V161">
        <f>Regions!C161</f>
        <v>10061192.018550245</v>
      </c>
      <c r="W161" s="25">
        <f>Regions!D161</f>
        <v>10</v>
      </c>
      <c r="X161" s="25">
        <f>Regions!I161</f>
        <v>1</v>
      </c>
      <c r="Y161" s="25">
        <f>Regions!G161</f>
        <v>0</v>
      </c>
      <c r="Z161" s="25">
        <f>Regions!K161</f>
        <v>0</v>
      </c>
    </row>
    <row r="162" spans="21:26" x14ac:dyDescent="0.25">
      <c r="U162" t="str">
        <f>Regions!B162</f>
        <v xml:space="preserve">Zambia </v>
      </c>
      <c r="V162">
        <f>Regions!C162</f>
        <v>1893041.0322886328</v>
      </c>
      <c r="W162" s="25">
        <f>Regions!D162</f>
        <v>10</v>
      </c>
      <c r="X162" s="25">
        <f>Regions!I162</f>
        <v>1</v>
      </c>
      <c r="Y162" s="25">
        <f>Regions!G162</f>
        <v>0</v>
      </c>
      <c r="Z162" s="25">
        <f>Regions!K162</f>
        <v>0</v>
      </c>
    </row>
    <row r="163" spans="21:26" x14ac:dyDescent="0.25">
      <c r="U163" t="str">
        <f>Regions!B163</f>
        <v>Zimbabwe</v>
      </c>
      <c r="V163">
        <f>Regions!C163</f>
        <v>2115602.0032570879</v>
      </c>
      <c r="W163" s="25">
        <f>Regions!D163</f>
        <v>10</v>
      </c>
      <c r="X163" s="25">
        <f>Regions!I163</f>
        <v>1</v>
      </c>
      <c r="Y163" s="25">
        <f>Regions!G163</f>
        <v>0</v>
      </c>
      <c r="Z163" s="25">
        <f>Regions!K163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82"/>
  <sheetViews>
    <sheetView tabSelected="1" workbookViewId="0">
      <selection activeCell="O6" sqref="O6"/>
    </sheetView>
  </sheetViews>
  <sheetFormatPr defaultColWidth="8.85546875" defaultRowHeight="15" x14ac:dyDescent="0.25"/>
  <cols>
    <col min="1" max="1" width="4.42578125" bestFit="1" customWidth="1"/>
    <col min="2" max="2" width="38" bestFit="1" customWidth="1"/>
    <col min="3" max="3" width="8.7109375" style="9" bestFit="1" customWidth="1"/>
    <col min="4" max="4" width="4.140625" style="46" customWidth="1"/>
    <col min="5" max="5" width="4.140625" style="45" bestFit="1" customWidth="1"/>
    <col min="6" max="6" width="5" style="45" bestFit="1" customWidth="1"/>
    <col min="7" max="7" width="5.140625" style="45" bestFit="1" customWidth="1"/>
    <col min="8" max="8" width="4.28515625" style="14" bestFit="1" customWidth="1"/>
    <col min="9" max="9" width="4.28515625" style="14" customWidth="1"/>
    <col min="10" max="10" width="4.28515625" style="107" customWidth="1"/>
    <col min="11" max="11" width="6.28515625" bestFit="1" customWidth="1"/>
    <col min="12" max="12" width="5.42578125" style="66" bestFit="1" customWidth="1"/>
    <col min="13" max="13" width="5.140625" style="14" bestFit="1" customWidth="1"/>
    <col min="14" max="14" width="6.85546875" style="115" bestFit="1" customWidth="1"/>
    <col min="15" max="15" width="5.42578125" style="111" bestFit="1" customWidth="1"/>
    <col min="16" max="16" width="4.85546875" style="50" bestFit="1" customWidth="1"/>
    <col min="17" max="17" width="7.42578125" style="87" customWidth="1"/>
    <col min="18" max="18" width="6.85546875" customWidth="1"/>
    <col min="19" max="20" width="6.85546875" style="3" customWidth="1"/>
    <col min="21" max="21" width="6.85546875" style="74" customWidth="1"/>
    <col min="22" max="22" width="5.42578125" style="12" customWidth="1"/>
    <col min="23" max="23" width="7.7109375" style="3" bestFit="1" customWidth="1"/>
    <col min="24" max="24" width="7.42578125" style="3" bestFit="1" customWidth="1"/>
    <col min="25" max="25" width="6.7109375" bestFit="1" customWidth="1"/>
    <col min="26" max="26" width="7.140625" style="29" bestFit="1" customWidth="1"/>
    <col min="27" max="27" width="7.28515625" bestFit="1" customWidth="1"/>
    <col min="28" max="28" width="9.42578125" style="29" customWidth="1"/>
    <col min="29" max="35" width="8.85546875" style="29"/>
    <col min="37" max="37" width="8.85546875" style="3"/>
  </cols>
  <sheetData>
    <row r="1" spans="1:37" s="15" customFormat="1" x14ac:dyDescent="0.25">
      <c r="C1" s="16"/>
      <c r="D1" s="41"/>
      <c r="E1" s="42"/>
      <c r="F1" s="42"/>
      <c r="G1" s="42"/>
      <c r="H1" s="17"/>
      <c r="I1" s="17"/>
      <c r="J1" s="106"/>
      <c r="L1" s="67"/>
      <c r="M1" s="17"/>
      <c r="N1" s="113"/>
      <c r="O1" s="128"/>
      <c r="P1" s="129"/>
      <c r="Q1" s="86"/>
      <c r="S1" s="35"/>
      <c r="T1" s="35"/>
      <c r="U1" s="72"/>
      <c r="V1" s="134"/>
      <c r="W1" s="136" t="s">
        <v>50</v>
      </c>
      <c r="X1" s="137"/>
      <c r="Y1" s="137"/>
      <c r="Z1" s="137"/>
      <c r="AA1" s="137"/>
      <c r="AB1" s="137"/>
      <c r="AC1" s="137"/>
      <c r="AI1" s="34"/>
      <c r="AK1" s="35"/>
    </row>
    <row r="2" spans="1:37" s="53" customFormat="1" x14ac:dyDescent="0.25">
      <c r="A2" s="48" t="s">
        <v>0</v>
      </c>
      <c r="B2" s="48" t="s">
        <v>1</v>
      </c>
      <c r="C2" s="49" t="s">
        <v>32</v>
      </c>
      <c r="D2" s="43" t="s">
        <v>39</v>
      </c>
      <c r="E2" s="44" t="s">
        <v>22</v>
      </c>
      <c r="F2" s="44" t="s">
        <v>49</v>
      </c>
      <c r="G2" s="44" t="s">
        <v>38</v>
      </c>
      <c r="H2" s="50" t="s">
        <v>40</v>
      </c>
      <c r="I2" s="50" t="s">
        <v>220</v>
      </c>
      <c r="J2" s="66" t="s">
        <v>432</v>
      </c>
      <c r="K2" s="44" t="s">
        <v>42</v>
      </c>
      <c r="L2" s="68" t="s">
        <v>41</v>
      </c>
      <c r="M2" s="50" t="s">
        <v>466</v>
      </c>
      <c r="N2" s="63" t="s">
        <v>52</v>
      </c>
      <c r="O2" s="111" t="s">
        <v>455</v>
      </c>
      <c r="P2" s="50" t="s">
        <v>465</v>
      </c>
      <c r="Q2" s="63" t="s">
        <v>263</v>
      </c>
      <c r="R2" s="44" t="s">
        <v>456</v>
      </c>
      <c r="S2" s="52" t="s">
        <v>442</v>
      </c>
      <c r="T2" s="52" t="s">
        <v>443</v>
      </c>
      <c r="U2" s="110" t="s">
        <v>446</v>
      </c>
      <c r="V2" s="135" t="s">
        <v>482</v>
      </c>
      <c r="W2" s="95" t="s">
        <v>357</v>
      </c>
      <c r="X2" s="95" t="s">
        <v>358</v>
      </c>
      <c r="Y2" s="44" t="s">
        <v>447</v>
      </c>
      <c r="Z2" s="51" t="s">
        <v>442</v>
      </c>
      <c r="AA2" s="44" t="s">
        <v>443</v>
      </c>
      <c r="AB2" s="51" t="s">
        <v>480</v>
      </c>
      <c r="AC2" s="51"/>
      <c r="AD2" s="51"/>
      <c r="AE2" s="51"/>
      <c r="AF2" s="51"/>
      <c r="AG2" s="51"/>
      <c r="AH2" s="51"/>
      <c r="AI2" s="44"/>
      <c r="AJ2" s="51"/>
      <c r="AK2" s="52"/>
    </row>
    <row r="3" spans="1:37" x14ac:dyDescent="0.25">
      <c r="A3" t="s">
        <v>23</v>
      </c>
      <c r="B3" t="s">
        <v>60</v>
      </c>
      <c r="C3" s="9">
        <f>SUMIFS(Regions!C:C,Owner1,Stats!A3)</f>
        <v>114140342.37405176</v>
      </c>
      <c r="D3" s="45">
        <f>CEILING(F3*(((20+H3*3)/100)^2+(L3-6)/1000)*(1+W3),1)</f>
        <v>563</v>
      </c>
      <c r="E3" s="45">
        <f>CEILING(SUMIFS(Regions!F:F,Owner1,Stats!A3)*(1+X3),1)</f>
        <v>904</v>
      </c>
      <c r="F3" s="45">
        <f>CEILING(SUMIFS(Regions!E:E,Owner1,Stats!A3),1)</f>
        <v>1800</v>
      </c>
      <c r="G3" s="45">
        <f>FLOOR(K3*(2/3),1)</f>
        <v>339</v>
      </c>
      <c r="H3" s="14">
        <f>Govt!J3</f>
        <v>12</v>
      </c>
      <c r="I3" s="112">
        <f>ROUND(Govt!H3,0)</f>
        <v>6</v>
      </c>
      <c r="J3" s="107">
        <f>Govt!K3</f>
        <v>2.4652499999999997</v>
      </c>
      <c r="K3">
        <f>CEILING(SUMIFS(Regions!J:J,Owner1,Stats!A3)/10000,1)</f>
        <v>509</v>
      </c>
      <c r="L3" s="66">
        <f>Govt!I3</f>
        <v>7.9168168019102145</v>
      </c>
      <c r="M3" s="14">
        <v>0</v>
      </c>
      <c r="N3" s="114">
        <f>Govt!AN3</f>
        <v>0.45</v>
      </c>
      <c r="O3" s="130">
        <f>R3*((1.5-I3*0.1)+SQRT(N3))</f>
        <v>24.913211436943996</v>
      </c>
      <c r="P3" s="131">
        <f>ROUND(SUMIFS(Regions!P:P,Regions!K:K,A3)/COUNTIFS(Regions!K:K,A3),0.1)</f>
        <v>2</v>
      </c>
      <c r="Q3" s="87">
        <f>Govt!P3+(M3*Govt!H3/100)</f>
        <v>7.9007306911794847E-2</v>
      </c>
      <c r="R3" s="28">
        <f>SUMIFS(Regions!O:O,Regions!K:K,A3)/COUNTIFS(Regions!K:K,A3)</f>
        <v>15.859999999999998</v>
      </c>
      <c r="S3" s="3">
        <f>0.03*(L3/6)+Z3</f>
        <v>3.9584084009551074E-2</v>
      </c>
      <c r="T3" s="3">
        <f t="shared" ref="T3:T34" si="0">(U3/F3*(1+Y3)*GovernmentGrowth+(F3-D3)/F3*PrivateGrowth*V3)+AA3</f>
        <v>3.4361111111111111E-3</v>
      </c>
      <c r="U3" s="74">
        <v>0</v>
      </c>
      <c r="V3" s="12">
        <f>100%+AB3</f>
        <v>1</v>
      </c>
      <c r="W3" s="3">
        <f t="shared" ref="W3:W34" si="1">SUMIFS(ModEP,ModTags,A3)</f>
        <v>-1.0397899761223154E-2</v>
      </c>
      <c r="X3" s="3">
        <f t="shared" ref="X3:X34" si="2">SUMIFS(ModIC,ModTags,A3)</f>
        <v>6.0108292477564565E-2</v>
      </c>
      <c r="Y3" s="3">
        <f t="shared" ref="Y3:Y34" si="3">SUMIFS(ModEprinE,ModTags,$A3)</f>
        <v>0</v>
      </c>
      <c r="Z3" s="3">
        <f t="shared" ref="Z3:Z34" si="4">SUMIFS(ModPGR,ModTags,$A3)</f>
        <v>0</v>
      </c>
      <c r="AA3" s="3">
        <f t="shared" ref="AA3:AA34" si="5">SUMIFS(ModIGR,ModTags,$A3)</f>
        <v>0</v>
      </c>
      <c r="AB3" s="3">
        <f t="shared" ref="AB3:AB34" si="6">SUMIFS(ModMS,ModTags,$A3)</f>
        <v>0</v>
      </c>
      <c r="AJ3" s="3"/>
      <c r="AK3"/>
    </row>
    <row r="4" spans="1:37" x14ac:dyDescent="0.25">
      <c r="A4" t="s">
        <v>28</v>
      </c>
      <c r="B4" t="s">
        <v>204</v>
      </c>
      <c r="C4" s="9">
        <f>SUMIFS(Regions!C:C,Owner1,Stats!A4)</f>
        <v>75522509.382292733</v>
      </c>
      <c r="D4" s="45">
        <f t="shared" ref="D4:D34" si="7">CEILING(F4*(((20+H4*3)/100)^2+(L4-6)/1000)*(1+W4),1)</f>
        <v>562</v>
      </c>
      <c r="E4" s="45">
        <f>CEILING(SUMIFS(Regions!F:F,Owner1,Stats!A4)*(1+X4),1)</f>
        <v>636</v>
      </c>
      <c r="F4" s="45">
        <f>CEILING(SUMIFS(Regions!E:E,Owner1,Stats!A4),1)</f>
        <v>1454</v>
      </c>
      <c r="G4" s="45">
        <f t="shared" ref="G4:G60" si="8">FLOOR(K4*(2/3),1)</f>
        <v>446</v>
      </c>
      <c r="H4" s="14">
        <f>Govt!J4</f>
        <v>14</v>
      </c>
      <c r="I4" s="112">
        <f>ROUND(Govt!H4,0)</f>
        <v>7</v>
      </c>
      <c r="J4" s="107">
        <f>Govt!K4</f>
        <v>2.7312499999999997</v>
      </c>
      <c r="K4">
        <f>CEILING(SUMIFS(Regions!J:J,Owner1,Stats!A4)/10000,1)</f>
        <v>670</v>
      </c>
      <c r="L4" s="66">
        <f>Govt!I4</f>
        <v>8</v>
      </c>
      <c r="M4" s="14">
        <v>0</v>
      </c>
      <c r="N4" s="114">
        <f>Govt!AN4</f>
        <v>0.25</v>
      </c>
      <c r="O4" s="130">
        <f t="shared" ref="O4:O60" si="9">R4*((1.5-I4*0.1)+SQRT(N4))</f>
        <v>21.995999999999995</v>
      </c>
      <c r="P4" s="131">
        <f>ROUND(SUMIFS(Regions!P:P,Regions!K:K,A4)/COUNTIFS(Regions!K:K,A4),0.1)</f>
        <v>6</v>
      </c>
      <c r="Q4" s="87">
        <f>Govt!P4+(M4*Govt!H4/100)</f>
        <v>0.11545884745027318</v>
      </c>
      <c r="R4" s="28">
        <f>SUMIFS(Regions!O:O,Regions!K:K,A4)/COUNTIFS(Regions!K:K,A4)</f>
        <v>16.919999999999998</v>
      </c>
      <c r="S4" s="3">
        <f t="shared" ref="S4:S60" si="10">0.03*(L4/6)+Z4</f>
        <v>3.9999999999999994E-2</v>
      </c>
      <c r="T4" s="3">
        <f t="shared" si="0"/>
        <v>3.0674002751031638E-3</v>
      </c>
      <c r="U4" s="74">
        <v>0</v>
      </c>
      <c r="V4" s="12">
        <f t="shared" ref="V4:V60" si="11">100%+AB4</f>
        <v>1</v>
      </c>
      <c r="W4" s="3">
        <f t="shared" si="1"/>
        <v>0</v>
      </c>
      <c r="X4" s="3">
        <f t="shared" si="2"/>
        <v>0</v>
      </c>
      <c r="Y4" s="3">
        <f t="shared" si="3"/>
        <v>0</v>
      </c>
      <c r="Z4" s="3">
        <f t="shared" si="4"/>
        <v>0</v>
      </c>
      <c r="AA4" s="3">
        <f t="shared" si="5"/>
        <v>0</v>
      </c>
      <c r="AB4" s="3">
        <f t="shared" si="6"/>
        <v>0</v>
      </c>
      <c r="AJ4" s="3"/>
      <c r="AK4"/>
    </row>
    <row r="5" spans="1:37" x14ac:dyDescent="0.25">
      <c r="A5" t="s">
        <v>27</v>
      </c>
      <c r="B5" t="s">
        <v>205</v>
      </c>
      <c r="C5" s="9">
        <f>SUMIFS(Regions!C:C,Owner1,Stats!A5)</f>
        <v>246035883.49333334</v>
      </c>
      <c r="D5" s="45">
        <f t="shared" si="7"/>
        <v>666</v>
      </c>
      <c r="E5" s="45">
        <f>CEILING(SUMIFS(Regions!F:F,Owner1,Stats!A5)*(1+X5),1)</f>
        <v>401</v>
      </c>
      <c r="F5" s="45">
        <f>CEILING(SUMIFS(Regions!E:E,Owner1,Stats!A5),1)</f>
        <v>2353</v>
      </c>
      <c r="G5" s="45">
        <f t="shared" si="8"/>
        <v>680</v>
      </c>
      <c r="H5" s="14">
        <f>Govt!J5</f>
        <v>11.170411471961305</v>
      </c>
      <c r="I5" s="112">
        <f>ROUND(Govt!H5,0)</f>
        <v>5</v>
      </c>
      <c r="J5" s="107">
        <f>Govt!K5</f>
        <v>1.48263958581461</v>
      </c>
      <c r="K5">
        <f>CEILING(SUMIFS(Regions!J:J,Owner1,Stats!A5)/10000,1)</f>
        <v>1020</v>
      </c>
      <c r="L5" s="66">
        <f>Govt!I5</f>
        <v>5.5</v>
      </c>
      <c r="M5" s="14">
        <v>0</v>
      </c>
      <c r="N5" s="114">
        <f>Govt!AN5</f>
        <v>0.7</v>
      </c>
      <c r="O5" s="130">
        <f>R5*((1.5-I5*0.1)+SQRT(N5))</f>
        <v>23.36690718757978</v>
      </c>
      <c r="P5" s="131">
        <f>ROUND(SUMIFS(Regions!P:P,Regions!K:K,A5)/COUNTIFS(Regions!K:K,A5),0.1)</f>
        <v>2</v>
      </c>
      <c r="Q5" s="87">
        <f>Govt!P5+(M5*Govt!H5/100)</f>
        <v>5.3027608589557129E-2</v>
      </c>
      <c r="R5" s="28">
        <f>SUMIFS(Regions!O:O,Regions!K:K,A5)/COUNTIFS(Regions!K:K,A5)</f>
        <v>12.722500000000002</v>
      </c>
      <c r="S5" s="3">
        <f t="shared" si="10"/>
        <v>2.7499999999999997E-2</v>
      </c>
      <c r="T5" s="3">
        <f t="shared" si="0"/>
        <v>3.5847853803654913E-3</v>
      </c>
      <c r="U5" s="74">
        <v>0</v>
      </c>
      <c r="V5" s="12">
        <f t="shared" si="11"/>
        <v>1</v>
      </c>
      <c r="W5" s="3">
        <f t="shared" si="1"/>
        <v>-1.0680004681646914E-2</v>
      </c>
      <c r="X5" s="3">
        <f t="shared" si="2"/>
        <v>0</v>
      </c>
      <c r="Y5" s="3">
        <f t="shared" si="3"/>
        <v>0</v>
      </c>
      <c r="Z5" s="3">
        <f t="shared" si="4"/>
        <v>0</v>
      </c>
      <c r="AA5" s="3">
        <f t="shared" si="5"/>
        <v>0</v>
      </c>
      <c r="AB5" s="3">
        <f t="shared" si="6"/>
        <v>0</v>
      </c>
      <c r="AJ5" s="3"/>
      <c r="AK5"/>
    </row>
    <row r="6" spans="1:37" x14ac:dyDescent="0.25">
      <c r="A6" t="s">
        <v>58</v>
      </c>
      <c r="B6" t="s">
        <v>206</v>
      </c>
      <c r="C6" s="9">
        <f>SUMIFS(Regions!C:C,Owner1,Stats!A6)</f>
        <v>217951000</v>
      </c>
      <c r="D6" s="45">
        <f t="shared" si="7"/>
        <v>388</v>
      </c>
      <c r="E6" s="45">
        <f>CEILING(SUMIFS(Regions!F:F,Owner1,Stats!A6)*(1+X6),1)</f>
        <v>798</v>
      </c>
      <c r="F6" s="45">
        <f>CEILING(SUMIFS(Regions!E:E,Owner1,Stats!A6),1)</f>
        <v>2282</v>
      </c>
      <c r="G6" s="45">
        <f t="shared" si="8"/>
        <v>560</v>
      </c>
      <c r="H6" s="14">
        <f>Govt!J6</f>
        <v>7</v>
      </c>
      <c r="I6" s="112">
        <f>ROUND(Govt!H6,0)</f>
        <v>2</v>
      </c>
      <c r="J6" s="107">
        <f>Govt!K6</f>
        <v>2.4119999999999999</v>
      </c>
      <c r="K6">
        <f>CEILING(SUMIFS(Regions!J:J,Owner1,Stats!A6)/10000,1)</f>
        <v>841</v>
      </c>
      <c r="L6" s="66">
        <f>Govt!I6</f>
        <v>7.6654645214882065</v>
      </c>
      <c r="M6" s="14">
        <v>0</v>
      </c>
      <c r="N6" s="114">
        <f>Govt!AN6</f>
        <v>0.4</v>
      </c>
      <c r="O6" s="130">
        <f t="shared" si="9"/>
        <v>29.221488295109229</v>
      </c>
      <c r="P6" s="131">
        <f>ROUND(SUMIFS(Regions!P:P,Regions!K:K,A6)/COUNTIFS(Regions!K:K,A6),0.1)</f>
        <v>2</v>
      </c>
      <c r="Q6" s="87">
        <f>Govt!P6+(M6*Govt!H6/100)</f>
        <v>5.6974417054622611E-2</v>
      </c>
      <c r="R6" s="28">
        <f>SUMIFS(Regions!O:O,Regions!K:K,A6)/COUNTIFS(Regions!K:K,A6)</f>
        <v>15.121428571428572</v>
      </c>
      <c r="S6" s="3">
        <f t="shared" si="10"/>
        <v>3.8327322607441032E-2</v>
      </c>
      <c r="T6" s="3">
        <f t="shared" si="0"/>
        <v>4.1498685363716035E-3</v>
      </c>
      <c r="U6" s="74">
        <v>0</v>
      </c>
      <c r="V6" s="12">
        <f t="shared" si="11"/>
        <v>1</v>
      </c>
      <c r="W6" s="3">
        <f t="shared" si="1"/>
        <v>0</v>
      </c>
      <c r="X6" s="3">
        <f t="shared" si="2"/>
        <v>0</v>
      </c>
      <c r="Y6" s="3">
        <f t="shared" si="3"/>
        <v>0</v>
      </c>
      <c r="Z6" s="3">
        <f t="shared" si="4"/>
        <v>0</v>
      </c>
      <c r="AA6" s="3">
        <f t="shared" si="5"/>
        <v>0</v>
      </c>
      <c r="AB6" s="3">
        <f t="shared" si="6"/>
        <v>0</v>
      </c>
      <c r="AJ6" s="3"/>
      <c r="AK6"/>
    </row>
    <row r="7" spans="1:37" x14ac:dyDescent="0.25">
      <c r="A7" t="s">
        <v>26</v>
      </c>
      <c r="B7" t="s">
        <v>207</v>
      </c>
      <c r="C7" s="9">
        <f>SUMIFS(Regions!C:C,Owner1,Stats!A7)</f>
        <v>42485804.469073333</v>
      </c>
      <c r="D7" s="45">
        <f t="shared" si="7"/>
        <v>307</v>
      </c>
      <c r="E7" s="45">
        <f>CEILING(SUMIFS(Regions!F:F,Owner1,Stats!A7)*(1+X7),1)</f>
        <v>532</v>
      </c>
      <c r="F7" s="45">
        <f>CEILING(SUMIFS(Regions!E:E,Owner1,Stats!A7),1)</f>
        <v>1217</v>
      </c>
      <c r="G7" s="45">
        <f t="shared" si="8"/>
        <v>189</v>
      </c>
      <c r="H7" s="14">
        <f>Govt!J7</f>
        <v>10</v>
      </c>
      <c r="I7" s="112">
        <f>ROUND(Govt!H7,0)</f>
        <v>4</v>
      </c>
      <c r="J7" s="107">
        <f>Govt!K7</f>
        <v>2.0662500000000001</v>
      </c>
      <c r="K7">
        <f>CEILING(SUMIFS(Regions!J:J,Owner1,Stats!A7)/10000,1)</f>
        <v>284</v>
      </c>
      <c r="L7" s="66">
        <f>Govt!I7</f>
        <v>7.5</v>
      </c>
      <c r="M7" s="14">
        <v>0</v>
      </c>
      <c r="N7" s="114">
        <f>Govt!AN7</f>
        <v>0.35</v>
      </c>
      <c r="O7" s="130">
        <f t="shared" si="9"/>
        <v>30.888761683939904</v>
      </c>
      <c r="P7" s="131">
        <f>ROUND(SUMIFS(Regions!P:P,Regions!K:K,A7)/COUNTIFS(Regions!K:K,A7),0.1)</f>
        <v>3</v>
      </c>
      <c r="Q7" s="87">
        <f>Govt!P7+(M7*Govt!H7/100)</f>
        <v>6.7653865037745287E-2</v>
      </c>
      <c r="R7" s="28">
        <f>SUMIFS(Regions!O:O,Regions!K:K,A7)/COUNTIFS(Regions!K:K,A7)</f>
        <v>18.260000000000002</v>
      </c>
      <c r="S7" s="3">
        <f t="shared" si="10"/>
        <v>3.7499999999999999E-2</v>
      </c>
      <c r="T7" s="3">
        <f t="shared" si="0"/>
        <v>3.7387017255546425E-3</v>
      </c>
      <c r="U7" s="74">
        <v>0</v>
      </c>
      <c r="V7" s="12">
        <f t="shared" si="11"/>
        <v>1</v>
      </c>
      <c r="W7" s="3">
        <f t="shared" si="1"/>
        <v>0</v>
      </c>
      <c r="X7" s="3">
        <f t="shared" si="2"/>
        <v>0</v>
      </c>
      <c r="Y7" s="3">
        <f t="shared" si="3"/>
        <v>0</v>
      </c>
      <c r="Z7" s="3">
        <f t="shared" si="4"/>
        <v>0</v>
      </c>
      <c r="AA7" s="3">
        <f t="shared" si="5"/>
        <v>0</v>
      </c>
      <c r="AB7" s="3">
        <f t="shared" si="6"/>
        <v>0</v>
      </c>
      <c r="AJ7" s="3"/>
      <c r="AK7"/>
    </row>
    <row r="8" spans="1:37" x14ac:dyDescent="0.25">
      <c r="A8" t="s">
        <v>24</v>
      </c>
      <c r="B8" t="s">
        <v>148</v>
      </c>
      <c r="C8" s="9">
        <f>SUMIFS(Regions!C:C,Owner1,Stats!A8)</f>
        <v>20648000</v>
      </c>
      <c r="D8" s="45">
        <f t="shared" si="7"/>
        <v>86</v>
      </c>
      <c r="E8" s="45">
        <f>CEILING(SUMIFS(Regions!F:F,Owner1,Stats!A8)*(1+X8),1)</f>
        <v>279</v>
      </c>
      <c r="F8" s="45">
        <f>CEILING(SUMIFS(Regions!E:E,Owner1,Stats!A8),1)</f>
        <v>515</v>
      </c>
      <c r="G8" s="45">
        <f t="shared" si="8"/>
        <v>36</v>
      </c>
      <c r="H8" s="14">
        <f>Govt!J8</f>
        <v>7</v>
      </c>
      <c r="I8" s="112">
        <f>ROUND(Govt!H8,0)</f>
        <v>2</v>
      </c>
      <c r="J8" s="107">
        <f>Govt!K8</f>
        <v>3.4168799999999999</v>
      </c>
      <c r="K8">
        <f>CEILING(SUMIFS(Regions!J:J,Owner1,Stats!A8)/10000,1)</f>
        <v>55</v>
      </c>
      <c r="L8" s="66">
        <f>Govt!I8</f>
        <v>3.5</v>
      </c>
      <c r="M8" s="14">
        <v>0</v>
      </c>
      <c r="N8" s="114">
        <f>Govt!AN8</f>
        <v>0.12</v>
      </c>
      <c r="O8" s="130">
        <f t="shared" si="9"/>
        <v>48.569099764656379</v>
      </c>
      <c r="P8" s="131">
        <f>ROUND(SUMIFS(Regions!P:P,Regions!K:K,A8)/COUNTIFS(Regions!K:K,A8),0.1)</f>
        <v>1</v>
      </c>
      <c r="Q8" s="87">
        <f>Govt!P8+(M8*Govt!H8/100)</f>
        <v>3.2021654604913276E-2</v>
      </c>
      <c r="R8" s="28">
        <f>SUMIFS(Regions!O:O,Regions!K:K,A8)/COUNTIFS(Regions!K:K,A8)</f>
        <v>29.5</v>
      </c>
      <c r="S8" s="3">
        <f t="shared" si="10"/>
        <v>1.7500000000000002E-2</v>
      </c>
      <c r="T8" s="3">
        <f t="shared" si="0"/>
        <v>4.1650485436893203E-3</v>
      </c>
      <c r="U8" s="74">
        <v>0</v>
      </c>
      <c r="V8" s="12">
        <f t="shared" si="11"/>
        <v>1</v>
      </c>
      <c r="W8" s="3">
        <f t="shared" si="1"/>
        <v>0</v>
      </c>
      <c r="X8" s="3">
        <f t="shared" si="2"/>
        <v>0</v>
      </c>
      <c r="Y8" s="3">
        <f t="shared" si="3"/>
        <v>0</v>
      </c>
      <c r="Z8" s="3">
        <f t="shared" si="4"/>
        <v>0</v>
      </c>
      <c r="AA8" s="3">
        <f t="shared" si="5"/>
        <v>0</v>
      </c>
      <c r="AB8" s="3">
        <f t="shared" si="6"/>
        <v>0</v>
      </c>
      <c r="AJ8" s="3"/>
      <c r="AK8"/>
    </row>
    <row r="9" spans="1:37" x14ac:dyDescent="0.25">
      <c r="A9" t="s">
        <v>145</v>
      </c>
      <c r="B9" t="s">
        <v>147</v>
      </c>
      <c r="C9" s="9">
        <f>SUMIFS(Regions!C:C,Owner1,Stats!A9)</f>
        <v>8649000</v>
      </c>
      <c r="D9" s="45">
        <f t="shared" si="7"/>
        <v>48</v>
      </c>
      <c r="E9" s="45">
        <f>CEILING(SUMIFS(Regions!F:F,Owner1,Stats!A9)*(1+X9),1)</f>
        <v>68</v>
      </c>
      <c r="F9" s="45">
        <f>CEILING(SUMIFS(Regions!E:E,Owner1,Stats!A9),1)</f>
        <v>189</v>
      </c>
      <c r="G9" s="45">
        <f t="shared" si="8"/>
        <v>34</v>
      </c>
      <c r="H9" s="14">
        <f>Govt!J9</f>
        <v>10</v>
      </c>
      <c r="I9" s="112">
        <f>ROUND(Govt!H9,0)</f>
        <v>4</v>
      </c>
      <c r="J9" s="107">
        <f>Govt!K9</f>
        <v>2.0662500000000001</v>
      </c>
      <c r="K9">
        <f>CEILING(SUMIFS(Regions!J:J,Owner1,Stats!A9)/10000,1)</f>
        <v>51</v>
      </c>
      <c r="L9" s="66">
        <f>Govt!I9</f>
        <v>5.5</v>
      </c>
      <c r="M9" s="14">
        <v>0</v>
      </c>
      <c r="N9" s="114">
        <f>Govt!AN9</f>
        <v>0.35</v>
      </c>
      <c r="O9" s="130">
        <f t="shared" si="9"/>
        <v>36.809389608024766</v>
      </c>
      <c r="P9" s="131">
        <f>ROUND(SUMIFS(Regions!P:P,Regions!K:K,A9)/COUNTIFS(Regions!K:K,A9),0.1)</f>
        <v>3</v>
      </c>
      <c r="Q9" s="87">
        <f>Govt!P9+(M9*Govt!H9/100)</f>
        <v>5.8800123685707882E-2</v>
      </c>
      <c r="R9" s="28">
        <f>SUMIFS(Regions!O:O,Regions!K:K,A9)/COUNTIFS(Regions!K:K,A9)</f>
        <v>21.759999999999998</v>
      </c>
      <c r="S9" s="3">
        <f t="shared" si="10"/>
        <v>2.7499999999999997E-2</v>
      </c>
      <c r="T9" s="3">
        <f t="shared" si="0"/>
        <v>3.7301587301587303E-3</v>
      </c>
      <c r="U9" s="74">
        <v>0</v>
      </c>
      <c r="V9" s="12">
        <f t="shared" si="11"/>
        <v>1</v>
      </c>
      <c r="W9" s="3">
        <f t="shared" si="1"/>
        <v>0</v>
      </c>
      <c r="X9" s="3">
        <f t="shared" si="2"/>
        <v>0</v>
      </c>
      <c r="Y9" s="3">
        <f t="shared" si="3"/>
        <v>0</v>
      </c>
      <c r="Z9" s="3">
        <f t="shared" si="4"/>
        <v>0</v>
      </c>
      <c r="AA9" s="3">
        <f t="shared" si="5"/>
        <v>0</v>
      </c>
      <c r="AB9" s="3">
        <f t="shared" si="6"/>
        <v>0</v>
      </c>
      <c r="AJ9" s="3"/>
      <c r="AK9"/>
    </row>
    <row r="10" spans="1:37" x14ac:dyDescent="0.25">
      <c r="A10" t="s">
        <v>30</v>
      </c>
      <c r="B10" t="s">
        <v>73</v>
      </c>
      <c r="C10" s="9">
        <f>SUMIFS(Regions!C:C,Owner1,Stats!A10)</f>
        <v>7884000</v>
      </c>
      <c r="D10" s="45">
        <f t="shared" si="7"/>
        <v>82</v>
      </c>
      <c r="E10" s="45">
        <f>CEILING(SUMIFS(Regions!F:F,Owner1,Stats!A10)*(1+X10),1)</f>
        <v>103</v>
      </c>
      <c r="F10" s="45">
        <f>CEILING(SUMIFS(Regions!E:E,Owner1,Stats!A10),1)</f>
        <v>233</v>
      </c>
      <c r="G10" s="45">
        <f t="shared" si="8"/>
        <v>49</v>
      </c>
      <c r="H10" s="14">
        <f>Govt!J10</f>
        <v>13</v>
      </c>
      <c r="I10" s="112">
        <f>ROUND(Govt!H10,0)</f>
        <v>7</v>
      </c>
      <c r="J10" s="107">
        <f>Govt!K10</f>
        <v>2.6172499999999999</v>
      </c>
      <c r="K10">
        <f>CEILING(SUMIFS(Regions!J:J,Owner1,Stats!A10)/10000,1)</f>
        <v>74</v>
      </c>
      <c r="L10" s="66">
        <f>Govt!I10</f>
        <v>7.5</v>
      </c>
      <c r="M10" s="14">
        <v>0</v>
      </c>
      <c r="N10" s="114">
        <f>Govt!AN10</f>
        <v>0.35</v>
      </c>
      <c r="O10" s="130">
        <f t="shared" si="9"/>
        <v>40.968938881445261</v>
      </c>
      <c r="P10" s="131">
        <f>ROUND(SUMIFS(Regions!P:P,Regions!K:K,A10)/COUNTIFS(Regions!K:K,A10),0.1)</f>
        <v>3</v>
      </c>
      <c r="Q10" s="87">
        <f>Govt!P10+(M10*Govt!H10/100)</f>
        <v>9.3223735028839474E-2</v>
      </c>
      <c r="R10" s="28">
        <f>SUMIFS(Regions!O:O,Regions!K:K,A10)/COUNTIFS(Regions!K:K,A10)</f>
        <v>29.439999999999998</v>
      </c>
      <c r="S10" s="3">
        <f t="shared" si="10"/>
        <v>3.7499999999999999E-2</v>
      </c>
      <c r="T10" s="3">
        <f t="shared" si="0"/>
        <v>3.240343347639485E-3</v>
      </c>
      <c r="U10" s="74">
        <v>0</v>
      </c>
      <c r="V10" s="12">
        <f t="shared" si="11"/>
        <v>1</v>
      </c>
      <c r="W10" s="3">
        <f t="shared" si="1"/>
        <v>0</v>
      </c>
      <c r="X10" s="3">
        <f t="shared" si="2"/>
        <v>0</v>
      </c>
      <c r="Y10" s="3">
        <f t="shared" si="3"/>
        <v>0</v>
      </c>
      <c r="Z10" s="3">
        <f t="shared" si="4"/>
        <v>0</v>
      </c>
      <c r="AA10" s="3">
        <f t="shared" si="5"/>
        <v>0</v>
      </c>
      <c r="AB10" s="3">
        <f t="shared" si="6"/>
        <v>0</v>
      </c>
      <c r="AJ10" s="3"/>
      <c r="AK10"/>
    </row>
    <row r="11" spans="1:37" x14ac:dyDescent="0.25">
      <c r="A11" t="s">
        <v>54</v>
      </c>
      <c r="B11" t="s">
        <v>208</v>
      </c>
      <c r="C11" s="9">
        <f>SUMIFS(Regions!C:C,Owner1,Stats!A11)</f>
        <v>65084000</v>
      </c>
      <c r="D11" s="45">
        <f t="shared" si="7"/>
        <v>403</v>
      </c>
      <c r="E11" s="45">
        <f>CEILING(SUMIFS(Regions!F:F,Owner1,Stats!A11)*(1+X11),1)</f>
        <v>940</v>
      </c>
      <c r="F11" s="45">
        <f>CEILING(SUMIFS(Regions!E:E,Owner1,Stats!A11),1)</f>
        <v>2061</v>
      </c>
      <c r="G11" s="45">
        <f t="shared" si="8"/>
        <v>359</v>
      </c>
      <c r="H11" s="14">
        <f>Govt!J11</f>
        <v>8</v>
      </c>
      <c r="I11" s="112">
        <f>ROUND(Govt!H11,0)</f>
        <v>2</v>
      </c>
      <c r="J11" s="107">
        <f>Govt!K11</f>
        <v>3.7250000000000001</v>
      </c>
      <c r="K11">
        <f>CEILING(SUMIFS(Regions!J:J,Owner1,Stats!A11)/10000,1)</f>
        <v>539</v>
      </c>
      <c r="L11" s="66">
        <f>Govt!I11</f>
        <v>7.5</v>
      </c>
      <c r="M11" s="14">
        <v>0</v>
      </c>
      <c r="N11" s="114">
        <f>Govt!AN11</f>
        <v>0.1</v>
      </c>
      <c r="O11" s="130">
        <f t="shared" si="9"/>
        <v>51.169771072093091</v>
      </c>
      <c r="P11" s="131">
        <f>ROUND(SUMIFS(Regions!P:P,Regions!K:K,A11)/COUNTIFS(Regions!K:K,A11),0.1)</f>
        <v>3</v>
      </c>
      <c r="Q11" s="87">
        <f>Govt!P11+(M11*Govt!H11/100)</f>
        <v>8.2724384939607529E-2</v>
      </c>
      <c r="R11" s="28">
        <f>SUMIFS(Regions!O:O,Regions!K:K,A11)/COUNTIFS(Regions!K:K,A11)</f>
        <v>31.66</v>
      </c>
      <c r="S11" s="3">
        <f t="shared" si="10"/>
        <v>3.7499999999999999E-2</v>
      </c>
      <c r="T11" s="3">
        <f t="shared" si="0"/>
        <v>4.0223192624939353E-3</v>
      </c>
      <c r="U11" s="74">
        <v>0</v>
      </c>
      <c r="V11" s="12">
        <f t="shared" si="11"/>
        <v>1</v>
      </c>
      <c r="W11" s="3">
        <f t="shared" si="1"/>
        <v>0</v>
      </c>
      <c r="X11" s="3">
        <f t="shared" si="2"/>
        <v>0</v>
      </c>
      <c r="Y11" s="3">
        <f t="shared" si="3"/>
        <v>0</v>
      </c>
      <c r="Z11" s="3">
        <f t="shared" si="4"/>
        <v>0</v>
      </c>
      <c r="AA11" s="3">
        <f t="shared" si="5"/>
        <v>0</v>
      </c>
      <c r="AB11" s="3">
        <f t="shared" si="6"/>
        <v>0</v>
      </c>
      <c r="AJ11" s="3"/>
      <c r="AK11"/>
    </row>
    <row r="12" spans="1:37" x14ac:dyDescent="0.25">
      <c r="A12" t="s">
        <v>55</v>
      </c>
      <c r="B12" t="s">
        <v>209</v>
      </c>
      <c r="C12" s="9">
        <f>SUMIFS(Regions!C:C,Owner1,Stats!A12)</f>
        <v>38791717.947149999</v>
      </c>
      <c r="D12" s="45">
        <f t="shared" si="7"/>
        <v>422</v>
      </c>
      <c r="E12" s="45">
        <f>CEILING(SUMIFS(Regions!F:F,Owner1,Stats!A12)*(1+X12),1)</f>
        <v>561</v>
      </c>
      <c r="F12" s="45">
        <f>CEILING(SUMIFS(Regions!E:E,Owner1,Stats!A12),1)</f>
        <v>1229</v>
      </c>
      <c r="G12" s="45">
        <f t="shared" si="8"/>
        <v>393</v>
      </c>
      <c r="H12" s="14">
        <f>Govt!J12</f>
        <v>13</v>
      </c>
      <c r="I12" s="112">
        <f>ROUND(Govt!H12,0)</f>
        <v>11</v>
      </c>
      <c r="J12" s="107">
        <f>Govt!K12</f>
        <v>2.7507462824711011</v>
      </c>
      <c r="K12">
        <f>CEILING(SUMIFS(Regions!J:J,Owner1,Stats!A12)/10000,1)</f>
        <v>590</v>
      </c>
      <c r="L12" s="66">
        <f>Govt!I12</f>
        <v>5.5</v>
      </c>
      <c r="M12" s="14">
        <v>0</v>
      </c>
      <c r="N12" s="114">
        <f>Govt!AN12</f>
        <v>0.125</v>
      </c>
      <c r="O12" s="130">
        <f t="shared" si="9"/>
        <v>23.857500346183045</v>
      </c>
      <c r="P12" s="131">
        <f>ROUND(SUMIFS(Regions!P:P,Regions!K:K,A12)/COUNTIFS(Regions!K:K,A12),0.1)</f>
        <v>5</v>
      </c>
      <c r="Q12" s="87">
        <f>Govt!P12+(M12*Govt!H12/100)</f>
        <v>0.15197078482030077</v>
      </c>
      <c r="R12" s="28">
        <f>SUMIFS(Regions!O:O,Regions!K:K,A12)/COUNTIFS(Regions!K:K,A12)</f>
        <v>31.66</v>
      </c>
      <c r="S12" s="3">
        <f t="shared" si="10"/>
        <v>2.7499999999999997E-2</v>
      </c>
      <c r="T12" s="3">
        <f t="shared" si="0"/>
        <v>3.2831570382424735E-3</v>
      </c>
      <c r="U12" s="74">
        <v>0</v>
      </c>
      <c r="V12" s="12">
        <f t="shared" si="11"/>
        <v>1</v>
      </c>
      <c r="W12" s="3">
        <f t="shared" si="1"/>
        <v>-1.2333069035594293E-2</v>
      </c>
      <c r="X12" s="3">
        <f t="shared" si="2"/>
        <v>0</v>
      </c>
      <c r="Y12" s="3">
        <f t="shared" si="3"/>
        <v>0</v>
      </c>
      <c r="Z12" s="3">
        <f t="shared" si="4"/>
        <v>0</v>
      </c>
      <c r="AA12" s="3">
        <f t="shared" si="5"/>
        <v>0</v>
      </c>
      <c r="AB12" s="3">
        <f t="shared" si="6"/>
        <v>0</v>
      </c>
      <c r="AJ12" s="3"/>
      <c r="AK12"/>
    </row>
    <row r="13" spans="1:37" x14ac:dyDescent="0.25">
      <c r="A13" t="s">
        <v>56</v>
      </c>
      <c r="B13" t="s">
        <v>210</v>
      </c>
      <c r="C13" s="9">
        <f>SUMIFS(Regions!C:C,Owner1,Stats!A13)</f>
        <v>25182707.523467105</v>
      </c>
      <c r="D13" s="45">
        <f t="shared" si="7"/>
        <v>250</v>
      </c>
      <c r="E13" s="45">
        <f>CEILING(SUMIFS(Regions!F:F,Owner1,Stats!A13)*(1+X13),1)</f>
        <v>364</v>
      </c>
      <c r="F13" s="45">
        <f>CEILING(SUMIFS(Regions!E:E,Owner1,Stats!A13),1)</f>
        <v>798</v>
      </c>
      <c r="G13" s="45">
        <f t="shared" si="8"/>
        <v>220</v>
      </c>
      <c r="H13" s="14">
        <f>Govt!J13</f>
        <v>12</v>
      </c>
      <c r="I13" s="112">
        <f>ROUND(Govt!H13,0)</f>
        <v>10</v>
      </c>
      <c r="J13" s="107">
        <f>Govt!K13</f>
        <v>2.8203125</v>
      </c>
      <c r="K13">
        <f>CEILING(SUMIFS(Regions!J:J,Owner1,Stats!A13)/10000,1)</f>
        <v>331</v>
      </c>
      <c r="L13" s="66">
        <f>Govt!I13</f>
        <v>5.5</v>
      </c>
      <c r="M13" s="14">
        <v>0</v>
      </c>
      <c r="N13" s="114">
        <f>Govt!AN13</f>
        <v>0.125</v>
      </c>
      <c r="O13" s="130">
        <f t="shared" si="9"/>
        <v>27.023500346183045</v>
      </c>
      <c r="P13" s="131">
        <f>ROUND(SUMIFS(Regions!P:P,Regions!K:K,A13)/COUNTIFS(Regions!K:K,A13),0.1)</f>
        <v>4</v>
      </c>
      <c r="Q13" s="87">
        <f>Govt!P13+(M13*Govt!H13/100)</f>
        <v>0.13139489404774518</v>
      </c>
      <c r="R13" s="28">
        <f>SUMIFS(Regions!O:O,Regions!K:K,A13)/COUNTIFS(Regions!K:K,A13)</f>
        <v>31.66</v>
      </c>
      <c r="S13" s="3">
        <f t="shared" si="10"/>
        <v>2.7499999999999997E-2</v>
      </c>
      <c r="T13" s="3">
        <f t="shared" si="0"/>
        <v>3.4335839598997491E-3</v>
      </c>
      <c r="U13" s="74">
        <v>0</v>
      </c>
      <c r="V13" s="12">
        <f t="shared" si="11"/>
        <v>1</v>
      </c>
      <c r="W13" s="3">
        <f t="shared" si="1"/>
        <v>0</v>
      </c>
      <c r="X13" s="3">
        <f t="shared" si="2"/>
        <v>0</v>
      </c>
      <c r="Y13" s="3">
        <f t="shared" si="3"/>
        <v>0</v>
      </c>
      <c r="Z13" s="3">
        <f t="shared" si="4"/>
        <v>0</v>
      </c>
      <c r="AA13" s="3">
        <f t="shared" si="5"/>
        <v>0</v>
      </c>
      <c r="AB13" s="3">
        <f t="shared" si="6"/>
        <v>0</v>
      </c>
      <c r="AJ13" s="3"/>
      <c r="AK13"/>
    </row>
    <row r="14" spans="1:37" x14ac:dyDescent="0.25">
      <c r="A14" t="s">
        <v>57</v>
      </c>
      <c r="B14" t="s">
        <v>211</v>
      </c>
      <c r="C14" s="9">
        <f>SUMIFS(Regions!C:C,Owner1,Stats!A14)</f>
        <v>10254182.7062</v>
      </c>
      <c r="D14" s="45">
        <f t="shared" si="7"/>
        <v>101</v>
      </c>
      <c r="E14" s="45">
        <f>CEILING(SUMIFS(Regions!F:F,Owner1,Stats!A14)*(1+X14),1)</f>
        <v>149</v>
      </c>
      <c r="F14" s="45">
        <f>CEILING(SUMIFS(Regions!E:E,Owner1,Stats!A14),1)</f>
        <v>325</v>
      </c>
      <c r="G14" s="45">
        <f t="shared" si="8"/>
        <v>62</v>
      </c>
      <c r="H14" s="14">
        <f>Govt!J14</f>
        <v>12</v>
      </c>
      <c r="I14" s="112">
        <f>ROUND(Govt!H14,0)</f>
        <v>7</v>
      </c>
      <c r="J14" s="107">
        <f>Govt!K14</f>
        <v>3.2876250000000002</v>
      </c>
      <c r="K14">
        <f>CEILING(SUMIFS(Regions!J:J,Owner1,Stats!A14)/10000,1)</f>
        <v>93</v>
      </c>
      <c r="L14" s="66">
        <f>Govt!I14</f>
        <v>9</v>
      </c>
      <c r="M14" s="14">
        <v>0</v>
      </c>
      <c r="N14" s="114">
        <f>Govt!AN14</f>
        <v>7.4999999999999997E-2</v>
      </c>
      <c r="O14" s="130">
        <f t="shared" si="9"/>
        <v>33.998448085306777</v>
      </c>
      <c r="P14" s="131">
        <f>ROUND(SUMIFS(Regions!P:P,Regions!K:K,A14)/COUNTIFS(Regions!K:K,A14),0.1)</f>
        <v>3</v>
      </c>
      <c r="Q14" s="87">
        <f>Govt!P14+(M14*Govt!H14/100)</f>
        <v>9.0375378787084987E-2</v>
      </c>
      <c r="R14" s="28">
        <f>SUMIFS(Regions!O:O,Regions!K:K,A14)/COUNTIFS(Regions!K:K,A14)</f>
        <v>31.66</v>
      </c>
      <c r="S14" s="3">
        <f t="shared" si="10"/>
        <v>4.2999999999999997E-2</v>
      </c>
      <c r="T14" s="3">
        <f t="shared" si="0"/>
        <v>1.2315384615384615E-2</v>
      </c>
      <c r="U14" s="74">
        <v>50</v>
      </c>
      <c r="V14" s="12">
        <f t="shared" si="11"/>
        <v>0.75</v>
      </c>
      <c r="W14" s="3">
        <f t="shared" si="1"/>
        <v>-0.02</v>
      </c>
      <c r="X14" s="3">
        <f t="shared" si="2"/>
        <v>0</v>
      </c>
      <c r="Y14" s="3">
        <f t="shared" si="3"/>
        <v>0.5</v>
      </c>
      <c r="Z14" s="3">
        <f t="shared" si="4"/>
        <v>-2E-3</v>
      </c>
      <c r="AA14" s="3">
        <f t="shared" si="5"/>
        <v>5.0000000000000001E-3</v>
      </c>
      <c r="AB14" s="3">
        <f t="shared" si="6"/>
        <v>-0.25</v>
      </c>
      <c r="AJ14" s="3"/>
      <c r="AK14"/>
    </row>
    <row r="15" spans="1:37" x14ac:dyDescent="0.25">
      <c r="A15" t="s">
        <v>74</v>
      </c>
      <c r="B15" t="s">
        <v>75</v>
      </c>
      <c r="C15" s="9">
        <f>SUMIFS(Regions!C:C,Owner1,Stats!A15)</f>
        <v>1874410</v>
      </c>
      <c r="D15" s="45">
        <f t="shared" si="7"/>
        <v>16</v>
      </c>
      <c r="E15" s="45">
        <f>CEILING(SUMIFS(Regions!F:F,Owner1,Stats!A15)*(1+X15),1)</f>
        <v>17</v>
      </c>
      <c r="F15" s="45">
        <f>CEILING(SUMIFS(Regions!E:E,Owner1,Stats!A15),1)</f>
        <v>45</v>
      </c>
      <c r="G15" s="45">
        <f t="shared" si="8"/>
        <v>14</v>
      </c>
      <c r="H15" s="14">
        <f>Govt!J15</f>
        <v>13</v>
      </c>
      <c r="I15" s="112">
        <f>ROUND(Govt!H15,0)</f>
        <v>6</v>
      </c>
      <c r="J15" s="107">
        <f>Govt!K15</f>
        <v>2.8072499999999998</v>
      </c>
      <c r="K15">
        <f>CEILING(SUMIFS(Regions!J:J,Owner1,Stats!A15)/10000,1)</f>
        <v>22</v>
      </c>
      <c r="L15" s="66">
        <f>Govt!I15</f>
        <v>7.5</v>
      </c>
      <c r="M15" s="14">
        <v>0</v>
      </c>
      <c r="N15" s="114">
        <f>Govt!AN15</f>
        <v>0.15</v>
      </c>
      <c r="O15" s="130">
        <f t="shared" si="9"/>
        <v>30.251510863587423</v>
      </c>
      <c r="P15" s="131">
        <f>ROUND(SUMIFS(Regions!P:P,Regions!K:K,A15)/COUNTIFS(Regions!K:K,A15),0.1)</f>
        <v>5</v>
      </c>
      <c r="Q15" s="87">
        <f>Govt!P15+(M15*Govt!H15/100)</f>
        <v>0.11266706534580709</v>
      </c>
      <c r="R15" s="28">
        <f>SUMIFS(Regions!O:O,Regions!K:K,A15)/COUNTIFS(Regions!K:K,A15)</f>
        <v>23.499999999999996</v>
      </c>
      <c r="S15" s="3">
        <f t="shared" si="10"/>
        <v>3.7499999999999999E-2</v>
      </c>
      <c r="T15" s="3">
        <f t="shared" si="0"/>
        <v>3.2222222222222227E-3</v>
      </c>
      <c r="U15" s="74">
        <v>0</v>
      </c>
      <c r="V15" s="12">
        <f t="shared" si="11"/>
        <v>1</v>
      </c>
      <c r="W15" s="3">
        <f t="shared" si="1"/>
        <v>0</v>
      </c>
      <c r="X15" s="3">
        <f t="shared" si="2"/>
        <v>0</v>
      </c>
      <c r="Y15" s="3">
        <f t="shared" si="3"/>
        <v>0</v>
      </c>
      <c r="Z15" s="3">
        <f t="shared" si="4"/>
        <v>0</v>
      </c>
      <c r="AA15" s="3">
        <f t="shared" si="5"/>
        <v>0</v>
      </c>
      <c r="AB15" s="3">
        <f t="shared" si="6"/>
        <v>0</v>
      </c>
      <c r="AJ15" s="3"/>
      <c r="AK15"/>
    </row>
    <row r="16" spans="1:37" x14ac:dyDescent="0.25">
      <c r="A16" t="s">
        <v>59</v>
      </c>
      <c r="B16" t="s">
        <v>267</v>
      </c>
      <c r="C16" s="9">
        <f>SUMIFS(Regions!C:C,Owner1,Stats!A16)</f>
        <v>27979178.544430882</v>
      </c>
      <c r="D16" s="45">
        <f t="shared" si="7"/>
        <v>153</v>
      </c>
      <c r="E16" s="45">
        <f>CEILING(SUMIFS(Regions!F:F,Owner1,Stats!A16)*(1+X16),1)</f>
        <v>112</v>
      </c>
      <c r="F16" s="45">
        <f>CEILING(SUMIFS(Regions!E:E,Owner1,Stats!A16),1)</f>
        <v>402</v>
      </c>
      <c r="G16" s="45">
        <f t="shared" si="8"/>
        <v>230</v>
      </c>
      <c r="H16" s="14">
        <f>Govt!J16</f>
        <v>14</v>
      </c>
      <c r="I16" s="112">
        <f>ROUND(Govt!H16,0)</f>
        <v>11</v>
      </c>
      <c r="J16" s="107">
        <f>Govt!K16</f>
        <v>2.774</v>
      </c>
      <c r="K16">
        <f>CEILING(SUMIFS(Regions!J:J,Owner1,Stats!A16)/10000,1)</f>
        <v>345</v>
      </c>
      <c r="L16" s="66">
        <f>Govt!I16</f>
        <v>5.5</v>
      </c>
      <c r="M16" s="14">
        <v>0</v>
      </c>
      <c r="N16" s="114">
        <f>Govt!AN16</f>
        <v>0.2</v>
      </c>
      <c r="O16" s="130">
        <f t="shared" si="9"/>
        <v>11.176441751835442</v>
      </c>
      <c r="P16" s="131">
        <f>ROUND(SUMIFS(Regions!P:P,Regions!K:K,A16)/COUNTIFS(Regions!K:K,A16),0.1)</f>
        <v>9</v>
      </c>
      <c r="Q16" s="87">
        <f>Govt!P16+(M16*Govt!H16/100)</f>
        <v>0.13843945591682111</v>
      </c>
      <c r="R16" s="28">
        <f>SUMIFS(Regions!O:O,Regions!K:K,A16)/COUNTIFS(Regions!K:K,A16)</f>
        <v>13.191999999999998</v>
      </c>
      <c r="S16" s="3">
        <f t="shared" si="10"/>
        <v>2.7499999999999997E-2</v>
      </c>
      <c r="T16" s="3">
        <f t="shared" si="0"/>
        <v>3.0970149253731344E-3</v>
      </c>
      <c r="U16" s="74">
        <v>0</v>
      </c>
      <c r="V16" s="12">
        <f t="shared" si="11"/>
        <v>1</v>
      </c>
      <c r="W16" s="3">
        <f t="shared" si="1"/>
        <v>-1.1586837691635614E-2</v>
      </c>
      <c r="X16" s="3">
        <f t="shared" si="2"/>
        <v>5.3940515663836335E-2</v>
      </c>
      <c r="Y16" s="3">
        <f t="shared" si="3"/>
        <v>0</v>
      </c>
      <c r="Z16" s="3">
        <f t="shared" si="4"/>
        <v>0</v>
      </c>
      <c r="AA16" s="3">
        <f t="shared" si="5"/>
        <v>0</v>
      </c>
      <c r="AB16" s="3">
        <f t="shared" si="6"/>
        <v>0</v>
      </c>
      <c r="AJ16" s="3"/>
      <c r="AK16"/>
    </row>
    <row r="17" spans="1:37" ht="15" customHeight="1" x14ac:dyDescent="0.25">
      <c r="A17" t="s">
        <v>176</v>
      </c>
      <c r="B17" t="s">
        <v>178</v>
      </c>
      <c r="C17" s="9">
        <f>SUMIFS(Regions!C:C,Owner1,Stats!A17)</f>
        <v>336400000</v>
      </c>
      <c r="D17" s="45">
        <f t="shared" si="7"/>
        <v>215</v>
      </c>
      <c r="E17" s="45">
        <f>CEILING(SUMIFS(Regions!F:F,Owner1,Stats!A17)*(1+X17),1)</f>
        <v>54</v>
      </c>
      <c r="F17" s="45">
        <f>CEILING(SUMIFS(Regions!E:E,Owner1,Stats!A17),1)</f>
        <v>862</v>
      </c>
      <c r="G17" s="45">
        <f t="shared" si="8"/>
        <v>538</v>
      </c>
      <c r="H17" s="14">
        <f>Govt!J17</f>
        <v>10</v>
      </c>
      <c r="I17" s="112">
        <f>ROUND(Govt!H17,0)</f>
        <v>8</v>
      </c>
      <c r="J17" s="107">
        <f>Govt!K17</f>
        <v>2.1659999999999999</v>
      </c>
      <c r="K17">
        <f>CEILING(SUMIFS(Regions!J:J,Owner1,Stats!A17)/10000,1)</f>
        <v>808</v>
      </c>
      <c r="L17" s="66">
        <f>Govt!I17</f>
        <v>4.5</v>
      </c>
      <c r="M17" s="14">
        <v>0</v>
      </c>
      <c r="N17" s="114">
        <f>Govt!AN17</f>
        <v>0.6</v>
      </c>
      <c r="O17" s="130">
        <f t="shared" si="9"/>
        <v>15.099869893032789</v>
      </c>
      <c r="P17" s="131">
        <f>ROUND(SUMIFS(Regions!P:P,Regions!K:K,A17)/COUNTIFS(Regions!K:K,A17),0.1)</f>
        <v>2</v>
      </c>
      <c r="Q17" s="87">
        <f>Govt!P17+(M17*Govt!H17/100)</f>
        <v>9.6069860944097238E-2</v>
      </c>
      <c r="R17" s="28">
        <f>SUMIFS(Regions!O:O,Regions!K:K,A17)/COUNTIFS(Regions!K:K,A17)</f>
        <v>10.24</v>
      </c>
      <c r="S17" s="3">
        <f t="shared" si="10"/>
        <v>2.2499999999999999E-2</v>
      </c>
      <c r="T17" s="3">
        <f t="shared" si="0"/>
        <v>3.7529002320185619E-3</v>
      </c>
      <c r="U17" s="74">
        <v>0</v>
      </c>
      <c r="V17" s="12">
        <f t="shared" si="11"/>
        <v>1</v>
      </c>
      <c r="W17" s="3">
        <f t="shared" si="1"/>
        <v>0</v>
      </c>
      <c r="X17" s="3">
        <f t="shared" si="2"/>
        <v>0</v>
      </c>
      <c r="Y17" s="3">
        <f t="shared" si="3"/>
        <v>0</v>
      </c>
      <c r="Z17" s="3">
        <f t="shared" si="4"/>
        <v>0</v>
      </c>
      <c r="AA17" s="3">
        <f t="shared" si="5"/>
        <v>0</v>
      </c>
      <c r="AB17" s="3">
        <f t="shared" si="6"/>
        <v>0</v>
      </c>
      <c r="AJ17" s="3"/>
      <c r="AK17"/>
    </row>
    <row r="18" spans="1:37" x14ac:dyDescent="0.25">
      <c r="A18" t="s">
        <v>177</v>
      </c>
      <c r="B18" t="s">
        <v>179</v>
      </c>
      <c r="C18" s="9">
        <f>SUMIFS(Regions!C:C,Owner1,Stats!A18)</f>
        <v>68558000</v>
      </c>
      <c r="D18" s="45">
        <f t="shared" si="7"/>
        <v>86</v>
      </c>
      <c r="E18" s="45">
        <f>CEILING(SUMIFS(Regions!F:F,Owner1,Stats!A18)*(1+X18),1)</f>
        <v>58</v>
      </c>
      <c r="F18" s="45">
        <f>CEILING(SUMIFS(Regions!E:E,Owner1,Stats!A18),1)</f>
        <v>274</v>
      </c>
      <c r="G18" s="45">
        <f t="shared" si="8"/>
        <v>158</v>
      </c>
      <c r="H18" s="14">
        <f>Govt!J18</f>
        <v>12</v>
      </c>
      <c r="I18" s="112">
        <f>ROUND(Govt!H18,0)</f>
        <v>10</v>
      </c>
      <c r="J18" s="107">
        <f>Govt!K18</f>
        <v>2.375</v>
      </c>
      <c r="K18">
        <f>CEILING(SUMIFS(Regions!J:J,Owner1,Stats!A18)/10000,1)</f>
        <v>238</v>
      </c>
      <c r="L18" s="66">
        <f>Govt!I18</f>
        <v>5.5</v>
      </c>
      <c r="M18" s="14">
        <v>0</v>
      </c>
      <c r="N18" s="114">
        <f>Govt!AN18</f>
        <v>0.5</v>
      </c>
      <c r="O18" s="130">
        <f t="shared" si="9"/>
        <v>14.871555544218266</v>
      </c>
      <c r="P18" s="131">
        <f>ROUND(SUMIFS(Regions!P:P,Regions!K:K,A18)/COUNTIFS(Regions!K:K,A18),0.1)</f>
        <v>6</v>
      </c>
      <c r="Q18" s="87">
        <f>Govt!P18+(M18*Govt!H18/100)</f>
        <v>0.10257591423827614</v>
      </c>
      <c r="R18" s="28">
        <f>SUMIFS(Regions!O:O,Regions!K:K,A18)/COUNTIFS(Regions!K:K,A18)</f>
        <v>12.32</v>
      </c>
      <c r="S18" s="3">
        <f t="shared" si="10"/>
        <v>2.7499999999999997E-2</v>
      </c>
      <c r="T18" s="3">
        <f t="shared" si="0"/>
        <v>3.4306569343065699E-3</v>
      </c>
      <c r="U18" s="74">
        <v>0</v>
      </c>
      <c r="V18" s="12">
        <f t="shared" si="11"/>
        <v>1</v>
      </c>
      <c r="W18" s="3">
        <f t="shared" si="1"/>
        <v>0</v>
      </c>
      <c r="X18" s="3">
        <f t="shared" si="2"/>
        <v>0</v>
      </c>
      <c r="Y18" s="3">
        <f t="shared" si="3"/>
        <v>0</v>
      </c>
      <c r="Z18" s="3">
        <f t="shared" si="4"/>
        <v>0</v>
      </c>
      <c r="AA18" s="3">
        <f t="shared" si="5"/>
        <v>0</v>
      </c>
      <c r="AB18" s="3">
        <f t="shared" si="6"/>
        <v>0</v>
      </c>
      <c r="AJ18" s="3"/>
      <c r="AK18"/>
    </row>
    <row r="19" spans="1:37" x14ac:dyDescent="0.25">
      <c r="A19" t="s">
        <v>180</v>
      </c>
      <c r="B19" t="s">
        <v>181</v>
      </c>
      <c r="C19" s="9">
        <f>SUMIFS(Regions!C:C,Owner1,Stats!A19)</f>
        <v>10081388.90520809</v>
      </c>
      <c r="D19" s="45">
        <f t="shared" si="7"/>
        <v>35</v>
      </c>
      <c r="E19" s="45">
        <f>CEILING(SUMIFS(Regions!F:F,Owner1,Stats!A19)*(1+X19),1)</f>
        <v>15</v>
      </c>
      <c r="F19" s="45">
        <f>CEILING(SUMIFS(Regions!E:E,Owner1,Stats!A19),1)</f>
        <v>123</v>
      </c>
      <c r="G19" s="45">
        <f t="shared" si="8"/>
        <v>64</v>
      </c>
      <c r="H19" s="14">
        <f>Govt!J19</f>
        <v>11</v>
      </c>
      <c r="I19" s="112">
        <f>ROUND(Govt!H19,0)</f>
        <v>9</v>
      </c>
      <c r="J19" s="107">
        <f>Govt!K19</f>
        <v>2.375</v>
      </c>
      <c r="K19">
        <f>CEILING(SUMIFS(Regions!J:J,Owner1,Stats!A19)/10000,1)</f>
        <v>96</v>
      </c>
      <c r="L19" s="66">
        <f>Govt!I19</f>
        <v>5</v>
      </c>
      <c r="M19" s="14">
        <v>0</v>
      </c>
      <c r="N19" s="114">
        <f>Govt!AN19</f>
        <v>0.5</v>
      </c>
      <c r="O19" s="130">
        <f t="shared" si="9"/>
        <v>15.894418459228419</v>
      </c>
      <c r="P19" s="131">
        <f>ROUND(SUMIFS(Regions!P:P,Regions!K:K,A19)/COUNTIFS(Regions!K:K,A19),0.1)</f>
        <v>8</v>
      </c>
      <c r="Q19" s="87">
        <f>Govt!P19+(M19*Govt!H19/100)</f>
        <v>9.4876953806687758E-2</v>
      </c>
      <c r="R19" s="28">
        <f>SUMIFS(Regions!O:O,Regions!K:K,A19)/COUNTIFS(Regions!K:K,A19)</f>
        <v>12.16</v>
      </c>
      <c r="S19" s="3">
        <f t="shared" si="10"/>
        <v>2.5000000000000001E-2</v>
      </c>
      <c r="T19" s="3">
        <f t="shared" si="0"/>
        <v>3.5772357723577236E-3</v>
      </c>
      <c r="U19" s="74">
        <v>0</v>
      </c>
      <c r="V19" s="12">
        <f t="shared" si="11"/>
        <v>1</v>
      </c>
      <c r="W19" s="3">
        <f t="shared" si="1"/>
        <v>0</v>
      </c>
      <c r="X19" s="3">
        <f t="shared" si="2"/>
        <v>0</v>
      </c>
      <c r="Y19" s="3">
        <f t="shared" si="3"/>
        <v>0</v>
      </c>
      <c r="Z19" s="3">
        <f t="shared" si="4"/>
        <v>0</v>
      </c>
      <c r="AA19" s="3">
        <f t="shared" si="5"/>
        <v>0</v>
      </c>
      <c r="AB19" s="3">
        <f t="shared" si="6"/>
        <v>0</v>
      </c>
      <c r="AJ19" s="3"/>
      <c r="AK19"/>
    </row>
    <row r="20" spans="1:37" x14ac:dyDescent="0.25">
      <c r="A20" t="s">
        <v>61</v>
      </c>
      <c r="B20" t="s">
        <v>212</v>
      </c>
      <c r="C20" s="9">
        <f>SUMIFS(Regions!C:C,Owner1,Stats!A20)</f>
        <v>4051000</v>
      </c>
      <c r="D20" s="45">
        <f t="shared" si="7"/>
        <v>37</v>
      </c>
      <c r="E20" s="45">
        <f>CEILING(SUMIFS(Regions!F:F,Owner1,Stats!A20)*(1+X20),1)</f>
        <v>42</v>
      </c>
      <c r="F20" s="45">
        <f>CEILING(SUMIFS(Regions!E:E,Owner1,Stats!A20),1)</f>
        <v>103</v>
      </c>
      <c r="G20" s="45">
        <f t="shared" si="8"/>
        <v>24</v>
      </c>
      <c r="H20" s="14">
        <f>Govt!J20</f>
        <v>13</v>
      </c>
      <c r="I20" s="112">
        <f>ROUND(Govt!H20,0)</f>
        <v>8</v>
      </c>
      <c r="J20" s="107">
        <f>Govt!K20</f>
        <v>2.8544999999999998</v>
      </c>
      <c r="K20">
        <f>CEILING(SUMIFS(Regions!J:J,Owner1,Stats!A20)/10000,1)</f>
        <v>36</v>
      </c>
      <c r="L20" s="66">
        <f>Govt!I20</f>
        <v>8.5</v>
      </c>
      <c r="M20" s="14">
        <v>0</v>
      </c>
      <c r="N20" s="114">
        <f>Govt!AN20</f>
        <v>0.45</v>
      </c>
      <c r="O20" s="130">
        <f t="shared" si="9"/>
        <v>34.764005172818393</v>
      </c>
      <c r="P20" s="131">
        <f>ROUND(SUMIFS(Regions!P:P,Regions!K:K,A20)/COUNTIFS(Regions!K:K,A20),0.1)</f>
        <v>3</v>
      </c>
      <c r="Q20" s="87">
        <f>Govt!P20+(M20*Govt!H20/100)</f>
        <v>8.7494090709549707E-2</v>
      </c>
      <c r="R20" s="28">
        <f>SUMIFS(Regions!O:O,Regions!K:K,A20)/COUNTIFS(Regions!K:K,A20)</f>
        <v>25.36</v>
      </c>
      <c r="S20" s="3">
        <f t="shared" si="10"/>
        <v>4.2500000000000003E-2</v>
      </c>
      <c r="T20" s="3">
        <f t="shared" si="0"/>
        <v>3.2038834951456313E-3</v>
      </c>
      <c r="U20" s="74">
        <v>0</v>
      </c>
      <c r="V20" s="12">
        <f t="shared" si="11"/>
        <v>1</v>
      </c>
      <c r="W20" s="3">
        <f t="shared" si="1"/>
        <v>0</v>
      </c>
      <c r="X20" s="3">
        <f t="shared" si="2"/>
        <v>0</v>
      </c>
      <c r="Y20" s="3">
        <f t="shared" si="3"/>
        <v>0</v>
      </c>
      <c r="Z20" s="3">
        <f t="shared" si="4"/>
        <v>0</v>
      </c>
      <c r="AA20" s="3">
        <f t="shared" si="5"/>
        <v>0</v>
      </c>
      <c r="AB20" s="3">
        <f t="shared" si="6"/>
        <v>0</v>
      </c>
      <c r="AJ20" s="3"/>
      <c r="AK20"/>
    </row>
    <row r="21" spans="1:37" x14ac:dyDescent="0.25">
      <c r="A21" t="s">
        <v>62</v>
      </c>
      <c r="B21" t="s">
        <v>63</v>
      </c>
      <c r="C21" s="9">
        <f>SUMIFS(Regions!C:C,Owner1,Stats!A21)</f>
        <v>6152000</v>
      </c>
      <c r="D21" s="45">
        <f t="shared" si="7"/>
        <v>30</v>
      </c>
      <c r="E21" s="45">
        <f>CEILING(SUMIFS(Regions!F:F,Owner1,Stats!A21)*(1+X21),1)</f>
        <v>30</v>
      </c>
      <c r="F21" s="45">
        <f>CEILING(SUMIFS(Regions!E:E,Owner1,Stats!A21),1)</f>
        <v>107</v>
      </c>
      <c r="G21" s="45">
        <f t="shared" si="8"/>
        <v>53</v>
      </c>
      <c r="H21" s="14">
        <f>Govt!J21</f>
        <v>11</v>
      </c>
      <c r="I21" s="112">
        <f>ROUND(Govt!H21,0)</f>
        <v>8</v>
      </c>
      <c r="J21" s="107">
        <f>Govt!K21</f>
        <v>2.774</v>
      </c>
      <c r="K21">
        <f>CEILING(SUMIFS(Regions!J:J,Owner1,Stats!A21)/10000,1)</f>
        <v>80</v>
      </c>
      <c r="L21" s="66">
        <f>Govt!I21</f>
        <v>4</v>
      </c>
      <c r="M21" s="14">
        <v>0</v>
      </c>
      <c r="N21" s="114">
        <f>Govt!AN21</f>
        <v>0.2</v>
      </c>
      <c r="O21" s="130">
        <f t="shared" si="9"/>
        <v>19.800906658329275</v>
      </c>
      <c r="P21" s="131">
        <f>ROUND(SUMIFS(Regions!P:P,Regions!K:K,A21)/COUNTIFS(Regions!K:K,A21),0.1)</f>
        <v>8</v>
      </c>
      <c r="Q21" s="87">
        <f>Govt!P21+(M21*Govt!H21/100)</f>
        <v>0.12998579467842561</v>
      </c>
      <c r="R21" s="28">
        <f>SUMIFS(Regions!O:O,Regions!K:K,A21)/COUNTIFS(Regions!K:K,A21)</f>
        <v>17.260000000000002</v>
      </c>
      <c r="S21" s="3">
        <f t="shared" si="10"/>
        <v>1.9999999999999997E-2</v>
      </c>
      <c r="T21" s="3">
        <f t="shared" si="0"/>
        <v>3.5981308411214951E-3</v>
      </c>
      <c r="U21" s="74">
        <v>0</v>
      </c>
      <c r="V21" s="12">
        <f t="shared" si="11"/>
        <v>1</v>
      </c>
      <c r="W21" s="3">
        <f t="shared" si="1"/>
        <v>0</v>
      </c>
      <c r="X21" s="3">
        <f t="shared" si="2"/>
        <v>0</v>
      </c>
      <c r="Y21" s="3">
        <f t="shared" si="3"/>
        <v>0</v>
      </c>
      <c r="Z21" s="3">
        <f t="shared" si="4"/>
        <v>0</v>
      </c>
      <c r="AA21" s="3">
        <f t="shared" si="5"/>
        <v>0</v>
      </c>
      <c r="AB21" s="3">
        <f t="shared" si="6"/>
        <v>0</v>
      </c>
      <c r="AJ21" s="3"/>
      <c r="AK21"/>
    </row>
    <row r="22" spans="1:37" x14ac:dyDescent="0.25">
      <c r="A22" t="s">
        <v>64</v>
      </c>
      <c r="B22" t="s">
        <v>65</v>
      </c>
      <c r="C22" s="9">
        <f>SUMIFS(Regions!C:C,Owner1,Stats!A22)</f>
        <v>2807000</v>
      </c>
      <c r="D22" s="45">
        <f t="shared" si="7"/>
        <v>13</v>
      </c>
      <c r="E22" s="45">
        <f>CEILING(SUMIFS(Regions!F:F,Owner1,Stats!A22)*(1+X22),1)</f>
        <v>12</v>
      </c>
      <c r="F22" s="45">
        <f>CEILING(SUMIFS(Regions!E:E,Owner1,Stats!A22),1)</f>
        <v>45</v>
      </c>
      <c r="G22" s="45">
        <f t="shared" si="8"/>
        <v>14</v>
      </c>
      <c r="H22" s="14">
        <f>Govt!J22</f>
        <v>11</v>
      </c>
      <c r="I22" s="112">
        <f>ROUND(Govt!H22,0)</f>
        <v>5</v>
      </c>
      <c r="J22" s="107">
        <f>Govt!K22</f>
        <v>2.0662500000000001</v>
      </c>
      <c r="K22">
        <f>CEILING(SUMIFS(Regions!J:J,Owner1,Stats!A22)/10000,1)</f>
        <v>21</v>
      </c>
      <c r="L22" s="66">
        <f>Govt!I22</f>
        <v>6.5</v>
      </c>
      <c r="M22" s="14">
        <v>0</v>
      </c>
      <c r="N22" s="114">
        <f>Govt!AN22</f>
        <v>0.35</v>
      </c>
      <c r="O22" s="130">
        <f t="shared" si="9"/>
        <v>25.465727652959387</v>
      </c>
      <c r="P22" s="131">
        <f>ROUND(SUMIFS(Regions!P:P,Regions!K:K,A22)/COUNTIFS(Regions!K:K,A22),0.1)</f>
        <v>5</v>
      </c>
      <c r="Q22" s="87">
        <f>Govt!P22+(M22*Govt!H22/100)</f>
        <v>7.3859818083127762E-2</v>
      </c>
      <c r="R22" s="28">
        <f>SUMIFS(Regions!O:O,Regions!K:K,A22)/COUNTIFS(Regions!K:K,A22)</f>
        <v>16</v>
      </c>
      <c r="S22" s="3">
        <f t="shared" si="10"/>
        <v>3.2499999999999994E-2</v>
      </c>
      <c r="T22" s="3">
        <f t="shared" si="0"/>
        <v>3.5555555555555557E-3</v>
      </c>
      <c r="U22" s="74">
        <v>0</v>
      </c>
      <c r="V22" s="12">
        <f t="shared" si="11"/>
        <v>1</v>
      </c>
      <c r="W22" s="3">
        <f t="shared" si="1"/>
        <v>0</v>
      </c>
      <c r="X22" s="3">
        <f t="shared" si="2"/>
        <v>0</v>
      </c>
      <c r="Y22" s="3">
        <f t="shared" si="3"/>
        <v>0</v>
      </c>
      <c r="Z22" s="3">
        <f t="shared" si="4"/>
        <v>0</v>
      </c>
      <c r="AA22" s="3">
        <f t="shared" si="5"/>
        <v>0</v>
      </c>
      <c r="AB22" s="3">
        <f t="shared" si="6"/>
        <v>0</v>
      </c>
      <c r="AJ22" s="3"/>
      <c r="AK22"/>
    </row>
    <row r="23" spans="1:37" x14ac:dyDescent="0.25">
      <c r="A23" t="s">
        <v>66</v>
      </c>
      <c r="B23" t="s">
        <v>67</v>
      </c>
      <c r="C23" s="9">
        <f>SUMIFS(Regions!C:C,Owner1,Stats!A23)</f>
        <v>3542000</v>
      </c>
      <c r="D23" s="45">
        <f t="shared" si="7"/>
        <v>15</v>
      </c>
      <c r="E23" s="45">
        <f>CEILING(SUMIFS(Regions!F:F,Owner1,Stats!A23)*(1+X23),1)</f>
        <v>12</v>
      </c>
      <c r="F23" s="45">
        <f>CEILING(SUMIFS(Regions!E:E,Owner1,Stats!A23),1)</f>
        <v>53</v>
      </c>
      <c r="G23" s="45">
        <f t="shared" si="8"/>
        <v>16</v>
      </c>
      <c r="H23" s="14">
        <f>Govt!J23</f>
        <v>11</v>
      </c>
      <c r="I23" s="112">
        <f>ROUND(Govt!H23,0)</f>
        <v>5</v>
      </c>
      <c r="J23" s="107">
        <f>Govt!K23</f>
        <v>2.0662500000000001</v>
      </c>
      <c r="K23">
        <f>CEILING(SUMIFS(Regions!J:J,Owner1,Stats!A23)/10000,1)</f>
        <v>25</v>
      </c>
      <c r="L23" s="66">
        <f>Govt!I23</f>
        <v>6.5</v>
      </c>
      <c r="M23" s="14">
        <v>0</v>
      </c>
      <c r="N23" s="114">
        <f>Govt!AN23</f>
        <v>0.35</v>
      </c>
      <c r="O23" s="130">
        <f t="shared" si="9"/>
        <v>23.651294557686025</v>
      </c>
      <c r="P23" s="131">
        <f>ROUND(SUMIFS(Regions!P:P,Regions!K:K,A23)/COUNTIFS(Regions!K:K,A23),0.1)</f>
        <v>5</v>
      </c>
      <c r="Q23" s="87">
        <f>Govt!P23+(M23*Govt!H23/100)</f>
        <v>6.7775028922565164E-2</v>
      </c>
      <c r="R23" s="28">
        <f>SUMIFS(Regions!O:O,Regions!K:K,A23)/COUNTIFS(Regions!K:K,A23)</f>
        <v>14.859999999999998</v>
      </c>
      <c r="S23" s="3">
        <f t="shared" si="10"/>
        <v>3.2499999999999994E-2</v>
      </c>
      <c r="T23" s="3">
        <f t="shared" si="0"/>
        <v>3.5849056603773585E-3</v>
      </c>
      <c r="U23" s="74">
        <v>0</v>
      </c>
      <c r="V23" s="12">
        <f t="shared" si="11"/>
        <v>1</v>
      </c>
      <c r="W23" s="3">
        <f t="shared" si="1"/>
        <v>0</v>
      </c>
      <c r="X23" s="3">
        <f t="shared" si="2"/>
        <v>0</v>
      </c>
      <c r="Y23" s="3">
        <f t="shared" si="3"/>
        <v>0</v>
      </c>
      <c r="Z23" s="3">
        <f t="shared" si="4"/>
        <v>0</v>
      </c>
      <c r="AA23" s="3">
        <f t="shared" si="5"/>
        <v>0</v>
      </c>
      <c r="AB23" s="3">
        <f t="shared" si="6"/>
        <v>0</v>
      </c>
      <c r="AJ23" s="3"/>
      <c r="AK23"/>
    </row>
    <row r="24" spans="1:37" x14ac:dyDescent="0.25">
      <c r="A24" t="s">
        <v>68</v>
      </c>
      <c r="B24" t="s">
        <v>69</v>
      </c>
      <c r="C24" s="9">
        <f>SUMIFS(Regions!C:C,Owner1,Stats!A24)</f>
        <v>25106000</v>
      </c>
      <c r="D24" s="45">
        <f t="shared" si="7"/>
        <v>116</v>
      </c>
      <c r="E24" s="45">
        <f>CEILING(SUMIFS(Regions!F:F,Owner1,Stats!A24)*(1+X24),1)</f>
        <v>142</v>
      </c>
      <c r="F24" s="45">
        <f>CEILING(SUMIFS(Regions!E:E,Owner1,Stats!A24),1)</f>
        <v>464</v>
      </c>
      <c r="G24" s="45">
        <f t="shared" si="8"/>
        <v>146</v>
      </c>
      <c r="H24" s="14">
        <f>Govt!J24</f>
        <v>10</v>
      </c>
      <c r="I24" s="112">
        <f>ROUND(Govt!H24,0)</f>
        <v>4</v>
      </c>
      <c r="J24" s="107">
        <f>Govt!K24</f>
        <v>2.774</v>
      </c>
      <c r="K24">
        <f>CEILING(SUMIFS(Regions!J:J,Owner1,Stats!A24)/10000,1)</f>
        <v>219</v>
      </c>
      <c r="L24" s="66">
        <f>Govt!I24</f>
        <v>5</v>
      </c>
      <c r="M24" s="14">
        <v>0</v>
      </c>
      <c r="N24" s="114">
        <f>Govt!AN24</f>
        <v>0.2</v>
      </c>
      <c r="O24" s="130">
        <f t="shared" si="9"/>
        <v>26.116965492039288</v>
      </c>
      <c r="P24" s="131">
        <f>ROUND(SUMIFS(Regions!P:P,Regions!K:K,A24)/COUNTIFS(Regions!K:K,A24),0.1)</f>
        <v>5</v>
      </c>
      <c r="Q24" s="87">
        <f>Govt!P24+(M24*Govt!H24/100)</f>
        <v>8.6915678834561985E-2</v>
      </c>
      <c r="R24" s="28">
        <f>SUMIFS(Regions!O:O,Regions!K:K,A24)/COUNTIFS(Regions!K:K,A24)</f>
        <v>16.88</v>
      </c>
      <c r="S24" s="3">
        <f t="shared" si="10"/>
        <v>2.5000000000000001E-2</v>
      </c>
      <c r="T24" s="3">
        <f t="shared" si="0"/>
        <v>3.7499999999999999E-3</v>
      </c>
      <c r="U24" s="74">
        <v>0</v>
      </c>
      <c r="V24" s="12">
        <f t="shared" si="11"/>
        <v>1</v>
      </c>
      <c r="W24" s="3">
        <f t="shared" si="1"/>
        <v>0</v>
      </c>
      <c r="X24" s="3">
        <f t="shared" si="2"/>
        <v>0</v>
      </c>
      <c r="Y24" s="3">
        <f t="shared" si="3"/>
        <v>0</v>
      </c>
      <c r="Z24" s="3">
        <f t="shared" si="4"/>
        <v>0</v>
      </c>
      <c r="AA24" s="3">
        <f t="shared" si="5"/>
        <v>0</v>
      </c>
      <c r="AB24" s="3">
        <f t="shared" si="6"/>
        <v>0</v>
      </c>
      <c r="AJ24" s="3"/>
      <c r="AK24"/>
    </row>
    <row r="25" spans="1:37" x14ac:dyDescent="0.25">
      <c r="A25" t="s">
        <v>70</v>
      </c>
      <c r="B25" t="s">
        <v>71</v>
      </c>
      <c r="C25" s="9">
        <f>SUMIFS(Regions!C:C,Owner1,Stats!A25)</f>
        <v>11418682.753224153</v>
      </c>
      <c r="D25" s="45">
        <f t="shared" si="7"/>
        <v>46</v>
      </c>
      <c r="E25" s="45">
        <f>CEILING(SUMIFS(Regions!F:F,Owner1,Stats!A25)*(1+X25),1)</f>
        <v>38</v>
      </c>
      <c r="F25" s="45">
        <f>CEILING(SUMIFS(Regions!E:E,Owner1,Stats!A25),1)</f>
        <v>131</v>
      </c>
      <c r="G25" s="45">
        <f t="shared" si="8"/>
        <v>47</v>
      </c>
      <c r="H25" s="14">
        <f>Govt!J25</f>
        <v>13</v>
      </c>
      <c r="I25" s="112">
        <f>ROUND(Govt!H25,0)</f>
        <v>7</v>
      </c>
      <c r="J25" s="107">
        <f>Govt!K25</f>
        <v>2.6172499999999999</v>
      </c>
      <c r="K25">
        <f>CEILING(SUMIFS(Regions!J:J,Owner1,Stats!A25)/10000,1)</f>
        <v>71</v>
      </c>
      <c r="L25" s="66">
        <f>Govt!I25</f>
        <v>7.5</v>
      </c>
      <c r="M25" s="14">
        <v>0</v>
      </c>
      <c r="N25" s="114">
        <f>Govt!AN25</f>
        <v>0.35</v>
      </c>
      <c r="O25" s="130">
        <f t="shared" si="9"/>
        <v>20.011322728097245</v>
      </c>
      <c r="P25" s="131">
        <f>ROUND(SUMIFS(Regions!P:P,Regions!K:K,A25)/COUNTIFS(Regions!K:K,A25),0.1)</f>
        <v>4</v>
      </c>
      <c r="Q25" s="87">
        <f>Govt!P25+(M25*Govt!H25/100)</f>
        <v>8.9283766212514284E-2</v>
      </c>
      <c r="R25" s="28">
        <f>SUMIFS(Regions!O:O,Regions!K:K,A25)/COUNTIFS(Regions!K:K,A25)</f>
        <v>14.379999999999999</v>
      </c>
      <c r="S25" s="3">
        <f t="shared" si="10"/>
        <v>3.7499999999999999E-2</v>
      </c>
      <c r="T25" s="3">
        <f t="shared" si="0"/>
        <v>3.2442748091603053E-3</v>
      </c>
      <c r="U25" s="74">
        <v>0</v>
      </c>
      <c r="V25" s="12">
        <f t="shared" si="11"/>
        <v>1</v>
      </c>
      <c r="W25" s="3">
        <f t="shared" si="1"/>
        <v>0</v>
      </c>
      <c r="X25" s="3">
        <f t="shared" si="2"/>
        <v>0</v>
      </c>
      <c r="Y25" s="3">
        <f t="shared" si="3"/>
        <v>0</v>
      </c>
      <c r="Z25" s="3">
        <f t="shared" si="4"/>
        <v>0</v>
      </c>
      <c r="AA25" s="3">
        <f t="shared" si="5"/>
        <v>0</v>
      </c>
      <c r="AB25" s="3">
        <f t="shared" si="6"/>
        <v>0</v>
      </c>
      <c r="AJ25" s="3"/>
      <c r="AK25"/>
    </row>
    <row r="26" spans="1:37" x14ac:dyDescent="0.25">
      <c r="A26" t="s">
        <v>89</v>
      </c>
      <c r="B26" t="s">
        <v>90</v>
      </c>
      <c r="C26" s="9">
        <f>SUMIFS(Regions!C:C,Owner1,Stats!A26)</f>
        <v>8076000</v>
      </c>
      <c r="D26" s="45">
        <f t="shared" si="7"/>
        <v>59</v>
      </c>
      <c r="E26" s="45">
        <f>CEILING(SUMIFS(Regions!F:F,Owner1,Stats!A26)*(1+X26),1)</f>
        <v>47</v>
      </c>
      <c r="F26" s="45">
        <f>CEILING(SUMIFS(Regions!E:E,Owner1,Stats!A26),1)</f>
        <v>151</v>
      </c>
      <c r="G26" s="45">
        <f t="shared" si="8"/>
        <v>51</v>
      </c>
      <c r="H26" s="14">
        <f>Govt!J26</f>
        <v>14</v>
      </c>
      <c r="I26" s="112">
        <f>ROUND(Govt!H26,0)</f>
        <v>7</v>
      </c>
      <c r="J26" s="107">
        <f>Govt!K26</f>
        <v>2.7312499999999997</v>
      </c>
      <c r="K26">
        <f>CEILING(SUMIFS(Regions!J:J,Owner1,Stats!A26)/10000,1)</f>
        <v>77</v>
      </c>
      <c r="L26" s="66">
        <f>Govt!I26</f>
        <v>8</v>
      </c>
      <c r="M26" s="14">
        <v>0</v>
      </c>
      <c r="N26" s="114">
        <f>Govt!AN26</f>
        <v>0.25</v>
      </c>
      <c r="O26" s="130">
        <f t="shared" si="9"/>
        <v>24.231999999999996</v>
      </c>
      <c r="P26" s="131">
        <f>ROUND(SUMIFS(Regions!P:P,Regions!K:K,A26)/COUNTIFS(Regions!K:K,A26),0.1)</f>
        <v>5</v>
      </c>
      <c r="Q26" s="87">
        <f>Govt!P26+(M26*Govt!H26/100)</f>
        <v>9.4159635363664104E-2</v>
      </c>
      <c r="R26" s="28">
        <f>SUMIFS(Regions!O:O,Regions!K:K,A26)/COUNTIFS(Regions!K:K,A26)</f>
        <v>18.64</v>
      </c>
      <c r="S26" s="3">
        <f t="shared" si="10"/>
        <v>3.9999999999999994E-2</v>
      </c>
      <c r="T26" s="3">
        <f t="shared" si="0"/>
        <v>3.0463576158940397E-3</v>
      </c>
      <c r="U26" s="74">
        <v>0</v>
      </c>
      <c r="V26" s="12">
        <f t="shared" si="11"/>
        <v>1</v>
      </c>
      <c r="W26" s="3">
        <f t="shared" si="1"/>
        <v>0</v>
      </c>
      <c r="X26" s="3">
        <f t="shared" si="2"/>
        <v>0</v>
      </c>
      <c r="Y26" s="3">
        <f t="shared" si="3"/>
        <v>0</v>
      </c>
      <c r="Z26" s="3">
        <f t="shared" si="4"/>
        <v>0</v>
      </c>
      <c r="AA26" s="3">
        <f t="shared" si="5"/>
        <v>0</v>
      </c>
      <c r="AB26" s="3">
        <f t="shared" si="6"/>
        <v>0</v>
      </c>
      <c r="AJ26" s="3"/>
      <c r="AK26"/>
    </row>
    <row r="27" spans="1:37" x14ac:dyDescent="0.25">
      <c r="A27" t="s">
        <v>25</v>
      </c>
      <c r="B27" t="s">
        <v>91</v>
      </c>
      <c r="C27" s="9">
        <f>SUMIFS(Regions!C:C,Owner1,Stats!A27)</f>
        <v>14141000</v>
      </c>
      <c r="D27" s="45">
        <f t="shared" si="7"/>
        <v>47</v>
      </c>
      <c r="E27" s="45">
        <f>CEILING(SUMIFS(Regions!F:F,Owner1,Stats!A27)*(1+X27),1)</f>
        <v>46</v>
      </c>
      <c r="F27" s="45">
        <f>CEILING(SUMIFS(Regions!E:E,Owner1,Stats!A27),1)</f>
        <v>211</v>
      </c>
      <c r="G27" s="45">
        <f t="shared" si="8"/>
        <v>53</v>
      </c>
      <c r="H27" s="14">
        <f>Govt!J27</f>
        <v>9</v>
      </c>
      <c r="I27" s="112">
        <f>ROUND(Govt!H27,0)</f>
        <v>3</v>
      </c>
      <c r="J27" s="107">
        <f>Govt!K27</f>
        <v>1.9462499999999998</v>
      </c>
      <c r="K27">
        <f>CEILING(SUMIFS(Regions!J:J,Owner1,Stats!A27)/10000,1)</f>
        <v>80</v>
      </c>
      <c r="L27" s="66">
        <f>Govt!I27</f>
        <v>4.5</v>
      </c>
      <c r="M27" s="14">
        <v>0</v>
      </c>
      <c r="N27" s="114">
        <f>Govt!AN27</f>
        <v>0.45</v>
      </c>
      <c r="O27" s="130">
        <f t="shared" si="9"/>
        <v>27.800391043694056</v>
      </c>
      <c r="P27" s="131">
        <f>ROUND(SUMIFS(Regions!P:P,Regions!K:K,A27)/COUNTIFS(Regions!K:K,A27),0.1)</f>
        <v>4</v>
      </c>
      <c r="Q27" s="87">
        <f>Govt!P27+(M27*Govt!H27/100)</f>
        <v>5.645915659692733E-2</v>
      </c>
      <c r="R27" s="28">
        <f>SUMIFS(Regions!O:O,Regions!K:K,A27)/COUNTIFS(Regions!K:K,A27)</f>
        <v>14.859999999999998</v>
      </c>
      <c r="S27" s="3">
        <f t="shared" si="10"/>
        <v>2.2499999999999999E-2</v>
      </c>
      <c r="T27" s="3">
        <f t="shared" si="0"/>
        <v>3.8862559241706163E-3</v>
      </c>
      <c r="U27" s="74">
        <v>0</v>
      </c>
      <c r="V27" s="12">
        <f t="shared" si="11"/>
        <v>1</v>
      </c>
      <c r="W27" s="3">
        <f t="shared" si="1"/>
        <v>0</v>
      </c>
      <c r="X27" s="3">
        <f t="shared" si="2"/>
        <v>0</v>
      </c>
      <c r="Y27" s="3">
        <f t="shared" si="3"/>
        <v>0</v>
      </c>
      <c r="Z27" s="3">
        <f t="shared" si="4"/>
        <v>0</v>
      </c>
      <c r="AA27" s="3">
        <f t="shared" si="5"/>
        <v>0</v>
      </c>
      <c r="AB27" s="3">
        <f t="shared" si="6"/>
        <v>0</v>
      </c>
      <c r="AJ27" s="3"/>
      <c r="AK27"/>
    </row>
    <row r="28" spans="1:37" x14ac:dyDescent="0.25">
      <c r="A28" t="s">
        <v>92</v>
      </c>
      <c r="B28" t="s">
        <v>93</v>
      </c>
      <c r="C28" s="9">
        <f>SUMIFS(Regions!C:C,Owner1,Stats!A28)</f>
        <v>14407000</v>
      </c>
      <c r="D28" s="45">
        <f t="shared" si="7"/>
        <v>48</v>
      </c>
      <c r="E28" s="45">
        <f>CEILING(SUMIFS(Regions!F:F,Owner1,Stats!A28)*(1+X28),1)</f>
        <v>47</v>
      </c>
      <c r="F28" s="45">
        <f>CEILING(SUMIFS(Regions!E:E,Owner1,Stats!A28),1)</f>
        <v>215</v>
      </c>
      <c r="G28" s="45">
        <f t="shared" si="8"/>
        <v>54</v>
      </c>
      <c r="H28" s="14">
        <f>Govt!J28</f>
        <v>9</v>
      </c>
      <c r="I28" s="112">
        <f>ROUND(Govt!H28,0)</f>
        <v>3</v>
      </c>
      <c r="J28" s="107">
        <f>Govt!K28</f>
        <v>1.9462499999999998</v>
      </c>
      <c r="K28">
        <f>CEILING(SUMIFS(Regions!J:J,Owner1,Stats!A28)/10000,1)</f>
        <v>82</v>
      </c>
      <c r="L28" s="66">
        <f>Govt!I28</f>
        <v>4.5</v>
      </c>
      <c r="M28" s="14">
        <v>0</v>
      </c>
      <c r="N28" s="114">
        <f>Govt!AN28</f>
        <v>0.45</v>
      </c>
      <c r="O28" s="130">
        <f t="shared" si="9"/>
        <v>27.800391043694059</v>
      </c>
      <c r="P28" s="131">
        <f>ROUND(SUMIFS(Regions!P:P,Regions!K:K,A28)/COUNTIFS(Regions!K:K,A28),0.1)</f>
        <v>4</v>
      </c>
      <c r="Q28" s="87">
        <f>Govt!P28+(M28*Govt!H28/100)</f>
        <v>5.645915659692733E-2</v>
      </c>
      <c r="R28" s="28">
        <f>SUMIFS(Regions!O:O,Regions!K:K,A28)/COUNTIFS(Regions!K:K,A28)</f>
        <v>14.86</v>
      </c>
      <c r="S28" s="3">
        <f t="shared" si="10"/>
        <v>2.2499999999999999E-2</v>
      </c>
      <c r="T28" s="3">
        <f t="shared" si="0"/>
        <v>3.8837209302325583E-3</v>
      </c>
      <c r="U28" s="74">
        <v>0</v>
      </c>
      <c r="V28" s="12">
        <f t="shared" si="11"/>
        <v>1</v>
      </c>
      <c r="W28" s="3">
        <f t="shared" si="1"/>
        <v>0</v>
      </c>
      <c r="X28" s="3">
        <f t="shared" si="2"/>
        <v>0</v>
      </c>
      <c r="Y28" s="3">
        <f t="shared" si="3"/>
        <v>0</v>
      </c>
      <c r="Z28" s="3">
        <f t="shared" si="4"/>
        <v>0</v>
      </c>
      <c r="AA28" s="3">
        <f t="shared" si="5"/>
        <v>0</v>
      </c>
      <c r="AB28" s="3">
        <f t="shared" si="6"/>
        <v>0</v>
      </c>
      <c r="AJ28" s="3"/>
      <c r="AK28"/>
    </row>
    <row r="29" spans="1:37" x14ac:dyDescent="0.25">
      <c r="A29" t="s">
        <v>144</v>
      </c>
      <c r="B29" t="s">
        <v>343</v>
      </c>
      <c r="C29" s="9">
        <f>SUMIFS(Regions!C:C,Owner1,Stats!A29)</f>
        <v>5500000</v>
      </c>
      <c r="D29" s="45">
        <f t="shared" si="7"/>
        <v>12</v>
      </c>
      <c r="E29" s="45">
        <f>CEILING(SUMIFS(Regions!F:F,Owner1,Stats!A29)*(1+X29),1)</f>
        <v>15</v>
      </c>
      <c r="F29" s="45">
        <f>CEILING(SUMIFS(Regions!E:E,Owner1,Stats!A29),1)</f>
        <v>77</v>
      </c>
      <c r="G29" s="45">
        <f t="shared" si="8"/>
        <v>21</v>
      </c>
      <c r="H29" s="14">
        <f>Govt!J30</f>
        <v>6</v>
      </c>
      <c r="I29" s="112">
        <f>ROUND(Govt!H29,0)</f>
        <v>3</v>
      </c>
      <c r="J29" s="107">
        <f>Govt!K29</f>
        <v>1.9462499999999998</v>
      </c>
      <c r="K29">
        <f>CEILING(SUMIFS(Regions!J:J,Owner1,Stats!A29)/10000,1)</f>
        <v>32</v>
      </c>
      <c r="L29" s="66">
        <f>Govt!I30</f>
        <v>5.5</v>
      </c>
      <c r="M29" s="14">
        <v>0</v>
      </c>
      <c r="N29" s="114">
        <f>Govt!AN29</f>
        <v>0.45</v>
      </c>
      <c r="O29" s="130">
        <f t="shared" si="9"/>
        <v>25.892154242579128</v>
      </c>
      <c r="P29" s="131">
        <f>ROUND(SUMIFS(Regions!P:P,Regions!K:K,A29)/COUNTIFS(Regions!K:K,A29),0.1)</f>
        <v>4</v>
      </c>
      <c r="Q29" s="87">
        <f>Govt!P29+(M29*Govt!H29/100)</f>
        <v>5.645915659692733E-2</v>
      </c>
      <c r="R29" s="28">
        <f>SUMIFS(Regions!O:O,Regions!K:K,A29)/COUNTIFS(Regions!K:K,A29)</f>
        <v>13.840000000000002</v>
      </c>
      <c r="S29" s="3">
        <f t="shared" si="10"/>
        <v>2.7499999999999997E-2</v>
      </c>
      <c r="T29" s="3">
        <f t="shared" si="0"/>
        <v>4.2207792207792205E-3</v>
      </c>
      <c r="U29" s="74">
        <v>0</v>
      </c>
      <c r="V29" s="12">
        <f t="shared" si="11"/>
        <v>1</v>
      </c>
      <c r="W29" s="3">
        <f t="shared" si="1"/>
        <v>0</v>
      </c>
      <c r="X29" s="3">
        <f t="shared" si="2"/>
        <v>0</v>
      </c>
      <c r="Y29" s="3">
        <f t="shared" si="3"/>
        <v>0</v>
      </c>
      <c r="Z29" s="3">
        <f t="shared" si="4"/>
        <v>0</v>
      </c>
      <c r="AA29" s="3">
        <f t="shared" si="5"/>
        <v>0</v>
      </c>
      <c r="AB29" s="3">
        <f t="shared" si="6"/>
        <v>0</v>
      </c>
      <c r="AJ29" s="3"/>
      <c r="AK29"/>
    </row>
    <row r="30" spans="1:37" x14ac:dyDescent="0.25">
      <c r="A30" t="s">
        <v>94</v>
      </c>
      <c r="B30" t="s">
        <v>95</v>
      </c>
      <c r="C30" s="9">
        <f>SUMIFS(Regions!C:C,Owner1,Stats!A30)</f>
        <v>6351000</v>
      </c>
      <c r="D30" s="45">
        <f t="shared" si="7"/>
        <v>14</v>
      </c>
      <c r="E30" s="45">
        <f>CEILING(SUMIFS(Regions!F:F,Owner1,Stats!A30)*(1+X30),1)</f>
        <v>21</v>
      </c>
      <c r="F30" s="45">
        <f>CEILING(SUMIFS(Regions!E:E,Owner1,Stats!A30),1)</f>
        <v>95</v>
      </c>
      <c r="G30" s="45">
        <f t="shared" si="8"/>
        <v>25</v>
      </c>
      <c r="H30" s="14">
        <f>Govt!J30</f>
        <v>6</v>
      </c>
      <c r="I30" s="112">
        <f>ROUND(Govt!H30,0)</f>
        <v>2</v>
      </c>
      <c r="J30" s="107">
        <f>Govt!K30</f>
        <v>2.4794999999999998</v>
      </c>
      <c r="K30">
        <f>CEILING(SUMIFS(Regions!J:J,Owner1,Stats!A30)/10000,1)</f>
        <v>38</v>
      </c>
      <c r="L30" s="66">
        <f>Govt!I30</f>
        <v>5.5</v>
      </c>
      <c r="M30" s="14">
        <v>0</v>
      </c>
      <c r="N30" s="114">
        <f>Govt!AN30</f>
        <v>0.35</v>
      </c>
      <c r="O30" s="130">
        <f t="shared" si="9"/>
        <v>28.109294557686024</v>
      </c>
      <c r="P30" s="131">
        <f>ROUND(SUMIFS(Regions!P:P,Regions!K:K,A30)/COUNTIFS(Regions!K:K,A30),0.1)</f>
        <v>4</v>
      </c>
      <c r="Q30" s="87">
        <f>Govt!P30+(M30*Govt!H30/100)</f>
        <v>5.8917073848835134E-2</v>
      </c>
      <c r="R30" s="28">
        <f>SUMIFS(Regions!O:O,Regions!K:K,A30)/COUNTIFS(Regions!K:K,A30)</f>
        <v>14.859999999999998</v>
      </c>
      <c r="S30" s="3">
        <f t="shared" si="10"/>
        <v>2.7499999999999997E-2</v>
      </c>
      <c r="T30" s="3">
        <f t="shared" si="0"/>
        <v>4.263157894736842E-3</v>
      </c>
      <c r="U30" s="74">
        <v>0</v>
      </c>
      <c r="V30" s="12">
        <f t="shared" si="11"/>
        <v>1</v>
      </c>
      <c r="W30" s="3">
        <f t="shared" si="1"/>
        <v>0</v>
      </c>
      <c r="X30" s="3">
        <f t="shared" si="2"/>
        <v>0</v>
      </c>
      <c r="Y30" s="3">
        <f t="shared" si="3"/>
        <v>0</v>
      </c>
      <c r="Z30" s="3">
        <f t="shared" si="4"/>
        <v>0</v>
      </c>
      <c r="AA30" s="3">
        <f t="shared" si="5"/>
        <v>0</v>
      </c>
      <c r="AB30" s="3">
        <f t="shared" si="6"/>
        <v>0</v>
      </c>
      <c r="AJ30" s="3"/>
      <c r="AK30"/>
    </row>
    <row r="31" spans="1:37" x14ac:dyDescent="0.25">
      <c r="A31" t="s">
        <v>96</v>
      </c>
      <c r="B31" t="s">
        <v>76</v>
      </c>
      <c r="C31" s="9">
        <f>SUMIFS(Regions!C:C,Owner1,Stats!A31)</f>
        <v>94709253.404444441</v>
      </c>
      <c r="D31" s="45">
        <f t="shared" si="7"/>
        <v>349</v>
      </c>
      <c r="E31" s="45">
        <f>CEILING(SUMIFS(Regions!F:F,Owner1,Stats!A31)*(1+X31),1)</f>
        <v>109</v>
      </c>
      <c r="F31" s="45">
        <f>CEILING(SUMIFS(Regions!E:E,Owner1,Stats!A31),1)</f>
        <v>1110</v>
      </c>
      <c r="G31" s="45">
        <f t="shared" si="8"/>
        <v>441</v>
      </c>
      <c r="H31" s="14">
        <f>Govt!J31</f>
        <v>12</v>
      </c>
      <c r="I31" s="112">
        <f>ROUND(Govt!H31,0)</f>
        <v>6</v>
      </c>
      <c r="J31" s="107">
        <f>Govt!K31</f>
        <v>1.4772500000000002</v>
      </c>
      <c r="K31">
        <f>CEILING(SUMIFS(Regions!J:J,Owner1,Stats!A31)/10000,1)</f>
        <v>662</v>
      </c>
      <c r="L31" s="66">
        <f>Govt!I31</f>
        <v>6.5</v>
      </c>
      <c r="M31" s="14">
        <v>0</v>
      </c>
      <c r="N31" s="114">
        <f>Govt!AN31</f>
        <v>0.85</v>
      </c>
      <c r="O31" s="130">
        <f t="shared" si="9"/>
        <v>21.061793392630573</v>
      </c>
      <c r="P31" s="131">
        <f>ROUND(SUMIFS(Regions!P:P,Regions!K:K,A31)/COUNTIFS(Regions!K:K,A31),0.1)</f>
        <v>6</v>
      </c>
      <c r="Q31" s="87">
        <f>Govt!P31+(M31*Govt!H31/100)</f>
        <v>6.9829337413699996E-2</v>
      </c>
      <c r="R31" s="28">
        <f>SUMIFS(Regions!O:O,Regions!K:K,A31)/COUNTIFS(Regions!K:K,A31)</f>
        <v>11.559999999999999</v>
      </c>
      <c r="S31" s="3">
        <f t="shared" si="10"/>
        <v>3.2499999999999994E-2</v>
      </c>
      <c r="T31" s="3">
        <f t="shared" si="0"/>
        <v>3.427927927927928E-3</v>
      </c>
      <c r="U31" s="74">
        <v>0</v>
      </c>
      <c r="V31" s="12">
        <f t="shared" si="11"/>
        <v>1</v>
      </c>
      <c r="W31" s="3">
        <f t="shared" si="1"/>
        <v>0</v>
      </c>
      <c r="X31" s="3">
        <f t="shared" si="2"/>
        <v>0</v>
      </c>
      <c r="Y31" s="3">
        <f t="shared" si="3"/>
        <v>0</v>
      </c>
      <c r="Z31" s="3">
        <f t="shared" si="4"/>
        <v>0</v>
      </c>
      <c r="AA31" s="3">
        <f t="shared" si="5"/>
        <v>0</v>
      </c>
      <c r="AB31" s="3">
        <f t="shared" si="6"/>
        <v>0</v>
      </c>
      <c r="AJ31" s="3"/>
      <c r="AK31"/>
    </row>
    <row r="32" spans="1:37" x14ac:dyDescent="0.25">
      <c r="A32" t="s">
        <v>77</v>
      </c>
      <c r="B32" t="s">
        <v>352</v>
      </c>
      <c r="C32" s="9">
        <f>SUMIFS(Regions!C:C,Owner1,Stats!A32)</f>
        <v>139225532.85333332</v>
      </c>
      <c r="D32" s="45">
        <f t="shared" si="7"/>
        <v>269</v>
      </c>
      <c r="E32" s="45">
        <f>CEILING(SUMIFS(Regions!F:F,Owner1,Stats!A32)*(1+X32),1)</f>
        <v>314</v>
      </c>
      <c r="F32" s="45">
        <f>CEILING(SUMIFS(Regions!E:E,Owner1,Stats!A32),1)</f>
        <v>1863</v>
      </c>
      <c r="G32" s="45">
        <f t="shared" si="8"/>
        <v>846</v>
      </c>
      <c r="H32" s="14">
        <f>Govt!J32</f>
        <v>6</v>
      </c>
      <c r="I32" s="112">
        <f>ROUND(Govt!H32,0)</f>
        <v>3</v>
      </c>
      <c r="J32" s="107">
        <f>Govt!K32</f>
        <v>3.59375</v>
      </c>
      <c r="K32">
        <f>CEILING(SUMIFS(Regions!J:J,Owner1,Stats!A32)/10000,1)</f>
        <v>1270</v>
      </c>
      <c r="L32" s="66">
        <f>Govt!I32</f>
        <v>5.5</v>
      </c>
      <c r="M32" s="14">
        <v>0</v>
      </c>
      <c r="N32" s="114">
        <f>Govt!AN32</f>
        <v>0.25</v>
      </c>
      <c r="O32" s="130">
        <f t="shared" si="9"/>
        <v>22.737500000000001</v>
      </c>
      <c r="P32" s="131">
        <f>ROUND(SUMIFS(Regions!P:P,Regions!K:K,A32)/COUNTIFS(Regions!K:K,A32),0.1)</f>
        <v>7</v>
      </c>
      <c r="Q32" s="87">
        <f>Govt!P32+(M32*Govt!H32/100)</f>
        <v>9.1188366482891789E-2</v>
      </c>
      <c r="R32" s="28">
        <f>SUMIFS(Regions!O:O,Regions!K:K,A32)/COUNTIFS(Regions!K:K,A32)</f>
        <v>13.375</v>
      </c>
      <c r="S32" s="3">
        <f t="shared" si="10"/>
        <v>2.7499999999999997E-2</v>
      </c>
      <c r="T32" s="3">
        <f t="shared" si="0"/>
        <v>4.2780461621041337E-3</v>
      </c>
      <c r="U32" s="74">
        <v>0</v>
      </c>
      <c r="V32" s="12">
        <f t="shared" si="11"/>
        <v>1</v>
      </c>
      <c r="W32" s="3">
        <f t="shared" si="1"/>
        <v>0</v>
      </c>
      <c r="X32" s="3">
        <f t="shared" si="2"/>
        <v>0</v>
      </c>
      <c r="Y32" s="3">
        <f t="shared" si="3"/>
        <v>0</v>
      </c>
      <c r="Z32" s="3">
        <f t="shared" si="4"/>
        <v>0</v>
      </c>
      <c r="AA32" s="3">
        <f t="shared" si="5"/>
        <v>0</v>
      </c>
      <c r="AB32" s="3">
        <f t="shared" si="6"/>
        <v>0</v>
      </c>
      <c r="AJ32" s="3"/>
      <c r="AK32"/>
    </row>
    <row r="33" spans="1:37" x14ac:dyDescent="0.25">
      <c r="A33" t="s">
        <v>78</v>
      </c>
      <c r="B33" t="s">
        <v>239</v>
      </c>
      <c r="C33" s="9">
        <f>SUMIFS(Regions!C:C,Owner1,Stats!A33)</f>
        <v>138933886.00888887</v>
      </c>
      <c r="D33" s="45">
        <f t="shared" si="7"/>
        <v>339</v>
      </c>
      <c r="E33" s="45">
        <f>CEILING(SUMIFS(Regions!F:F,Owner1,Stats!A33)*(1+X33),1)</f>
        <v>235</v>
      </c>
      <c r="F33" s="45">
        <f>CEILING(SUMIFS(Regions!E:E,Owner1,Stats!A33),1)</f>
        <v>1742</v>
      </c>
      <c r="G33" s="45">
        <f t="shared" si="8"/>
        <v>524</v>
      </c>
      <c r="H33" s="14">
        <f>Govt!J33</f>
        <v>8</v>
      </c>
      <c r="I33" s="112">
        <f>ROUND(Govt!H33,0)</f>
        <v>3</v>
      </c>
      <c r="J33" s="107">
        <f>Govt!K33</f>
        <v>2.1555</v>
      </c>
      <c r="K33">
        <f>CEILING(SUMIFS(Regions!J:J,Owner1,Stats!A33)/10000,1)</f>
        <v>787</v>
      </c>
      <c r="L33" s="66">
        <f>Govt!I33</f>
        <v>6.5</v>
      </c>
      <c r="M33" s="14">
        <v>0</v>
      </c>
      <c r="N33" s="114">
        <f>Govt!AN33</f>
        <v>0.55000000000000004</v>
      </c>
      <c r="O33" s="130">
        <f t="shared" si="9"/>
        <v>24.338204803574417</v>
      </c>
      <c r="P33" s="131">
        <f>ROUND(SUMIFS(Regions!P:P,Regions!K:K,A33)/COUNTIFS(Regions!K:K,A33),0.1)</f>
        <v>5</v>
      </c>
      <c r="Q33" s="87">
        <f>Govt!P33+(M33*Govt!H33/100)</f>
        <v>5.663278844691233E-2</v>
      </c>
      <c r="R33" s="28">
        <f>SUMIFS(Regions!O:O,Regions!K:K,A33)/COUNTIFS(Regions!K:K,A33)</f>
        <v>12.535000000000002</v>
      </c>
      <c r="S33" s="3">
        <f t="shared" si="10"/>
        <v>3.2499999999999994E-2</v>
      </c>
      <c r="T33" s="3">
        <f t="shared" si="0"/>
        <v>4.0269804822043627E-3</v>
      </c>
      <c r="U33" s="74">
        <v>0</v>
      </c>
      <c r="V33" s="12">
        <f t="shared" si="11"/>
        <v>1</v>
      </c>
      <c r="W33" s="3">
        <f t="shared" si="1"/>
        <v>0</v>
      </c>
      <c r="X33" s="3">
        <f t="shared" si="2"/>
        <v>0</v>
      </c>
      <c r="Y33" s="3">
        <f t="shared" si="3"/>
        <v>0</v>
      </c>
      <c r="Z33" s="3">
        <f t="shared" si="4"/>
        <v>0</v>
      </c>
      <c r="AA33" s="3">
        <f t="shared" si="5"/>
        <v>0</v>
      </c>
      <c r="AB33" s="3">
        <f t="shared" si="6"/>
        <v>0</v>
      </c>
      <c r="AJ33" s="3"/>
      <c r="AK33"/>
    </row>
    <row r="34" spans="1:37" x14ac:dyDescent="0.25">
      <c r="A34" t="s">
        <v>169</v>
      </c>
      <c r="B34" t="s">
        <v>170</v>
      </c>
      <c r="C34" s="9">
        <f>SUMIFS(Regions!C:C,Owner1,Stats!A34)</f>
        <v>64901370.24222222</v>
      </c>
      <c r="D34" s="45">
        <f t="shared" si="7"/>
        <v>186</v>
      </c>
      <c r="E34" s="45">
        <f>CEILING(SUMIFS(Regions!F:F,Owner1,Stats!A34)*(1+X34),1)</f>
        <v>65</v>
      </c>
      <c r="F34" s="45">
        <f>CEILING(SUMIFS(Regions!E:E,Owner1,Stats!A34),1)</f>
        <v>747</v>
      </c>
      <c r="G34" s="45">
        <f t="shared" si="8"/>
        <v>292</v>
      </c>
      <c r="H34" s="14">
        <f>Govt!J34</f>
        <v>10</v>
      </c>
      <c r="I34" s="112">
        <f>ROUND(Govt!H34,0)</f>
        <v>4</v>
      </c>
      <c r="J34" s="107">
        <f>Govt!K34</f>
        <v>2.0662500000000001</v>
      </c>
      <c r="K34">
        <f>CEILING(SUMIFS(Regions!J:J,Owner1,Stats!A34)/10000,1)</f>
        <v>439</v>
      </c>
      <c r="L34" s="66">
        <f>Govt!I34</f>
        <v>4</v>
      </c>
      <c r="M34" s="14">
        <v>0</v>
      </c>
      <c r="N34" s="114">
        <f>Govt!AN34</f>
        <v>0.35</v>
      </c>
      <c r="O34" s="130">
        <f t="shared" si="9"/>
        <v>19.453491750564559</v>
      </c>
      <c r="P34" s="131">
        <f>ROUND(SUMIFS(Regions!P:P,Regions!K:K,A34)/COUNTIFS(Regions!K:K,A34),0.1)</f>
        <v>6</v>
      </c>
      <c r="Q34" s="87">
        <f>Govt!P34+(M34*Govt!H34/100)</f>
        <v>6.7600388312494181E-2</v>
      </c>
      <c r="R34" s="28">
        <f>SUMIFS(Regions!O:O,Regions!K:K,A34)/COUNTIFS(Regions!K:K,A34)</f>
        <v>11.5</v>
      </c>
      <c r="S34" s="3">
        <f t="shared" si="10"/>
        <v>1.9999999999999997E-2</v>
      </c>
      <c r="T34" s="3">
        <f t="shared" si="0"/>
        <v>3.7550200803212852E-3</v>
      </c>
      <c r="U34" s="74">
        <v>0</v>
      </c>
      <c r="V34" s="12">
        <f t="shared" si="11"/>
        <v>1</v>
      </c>
      <c r="W34" s="3">
        <f t="shared" si="1"/>
        <v>0</v>
      </c>
      <c r="X34" s="3">
        <f t="shared" si="2"/>
        <v>0</v>
      </c>
      <c r="Y34" s="3">
        <f t="shared" si="3"/>
        <v>0</v>
      </c>
      <c r="Z34" s="3">
        <f t="shared" si="4"/>
        <v>0</v>
      </c>
      <c r="AA34" s="3">
        <f t="shared" si="5"/>
        <v>0</v>
      </c>
      <c r="AB34" s="3">
        <f t="shared" si="6"/>
        <v>0</v>
      </c>
      <c r="AJ34" s="3"/>
      <c r="AK34"/>
    </row>
    <row r="35" spans="1:37" x14ac:dyDescent="0.25">
      <c r="A35" t="s">
        <v>168</v>
      </c>
      <c r="B35" t="s">
        <v>171</v>
      </c>
      <c r="C35" s="9">
        <f>SUMIFS(Regions!C:C,Owner1,Stats!A35)</f>
        <v>5000000</v>
      </c>
      <c r="D35" s="45">
        <f t="shared" ref="D35:D60" si="12">CEILING(F35*(((20+H35*3)/100)^2+(L35-6)/1000)*(1+W35),1)</f>
        <v>12</v>
      </c>
      <c r="E35" s="45">
        <f>CEILING(SUMIFS(Regions!F:F,Owner1,Stats!A35)*(1+X35),1)</f>
        <v>1</v>
      </c>
      <c r="F35" s="45">
        <f>CEILING(SUMIFS(Regions!E:E,Owner1,Stats!A35),1)</f>
        <v>51</v>
      </c>
      <c r="G35" s="45">
        <f t="shared" si="8"/>
        <v>19</v>
      </c>
      <c r="H35" s="14">
        <f>Govt!J35</f>
        <v>9</v>
      </c>
      <c r="I35" s="112">
        <f>ROUND(Govt!H35,0)</f>
        <v>5</v>
      </c>
      <c r="J35" s="107">
        <f>Govt!K35</f>
        <v>1.0349999999999999</v>
      </c>
      <c r="K35">
        <f>CEILING(SUMIFS(Regions!J:J,Owner1,Stats!A35)/10000,1)</f>
        <v>29</v>
      </c>
      <c r="L35" s="66">
        <f>Govt!I35</f>
        <v>5.5</v>
      </c>
      <c r="M35" s="14">
        <v>0</v>
      </c>
      <c r="N35" s="114">
        <f>Govt!AN35</f>
        <v>0.9</v>
      </c>
      <c r="O35" s="130">
        <f t="shared" si="9"/>
        <v>19.60375397838817</v>
      </c>
      <c r="P35" s="131">
        <f>ROUND(SUMIFS(Regions!P:P,Regions!K:K,A35)/COUNTIFS(Regions!K:K,A35),0.1)</f>
        <v>6</v>
      </c>
      <c r="Q35" s="87">
        <f>Govt!P35+(M35*Govt!H35/100)</f>
        <v>5.6854659199816443E-2</v>
      </c>
      <c r="R35" s="28">
        <f>SUMIFS(Regions!O:O,Regions!K:K,A35)/COUNTIFS(Regions!K:K,A35)</f>
        <v>10.06</v>
      </c>
      <c r="S35" s="3">
        <f t="shared" si="10"/>
        <v>2.7499999999999997E-2</v>
      </c>
      <c r="T35" s="3">
        <f t="shared" ref="T35:T60" si="13">(U35/F35*(1+Y35)*GovernmentGrowth+(F35-D35)/F35*PrivateGrowth*V35)+AA35</f>
        <v>3.8235294117647057E-3</v>
      </c>
      <c r="U35" s="74">
        <v>0</v>
      </c>
      <c r="V35" s="12">
        <f t="shared" si="11"/>
        <v>1</v>
      </c>
      <c r="W35" s="3">
        <f t="shared" ref="W35:W60" si="14">SUMIFS(ModEP,ModTags,A35)</f>
        <v>0</v>
      </c>
      <c r="X35" s="3">
        <f t="shared" ref="X35:X60" si="15">SUMIFS(ModIC,ModTags,A35)</f>
        <v>0</v>
      </c>
      <c r="Y35" s="3">
        <f t="shared" ref="Y35:Y60" si="16">SUMIFS(ModEprinE,ModTags,$A35)</f>
        <v>0</v>
      </c>
      <c r="Z35" s="3">
        <f t="shared" ref="Z35:Z60" si="17">SUMIFS(ModPGR,ModTags,$A35)</f>
        <v>0</v>
      </c>
      <c r="AA35" s="3">
        <f t="shared" ref="AA35:AA60" si="18">SUMIFS(ModIGR,ModTags,$A35)</f>
        <v>0</v>
      </c>
      <c r="AB35" s="3">
        <f t="shared" ref="AB35:AB60" si="19">SUMIFS(ModMS,ModTags,$A35)</f>
        <v>0</v>
      </c>
      <c r="AJ35" s="3"/>
      <c r="AK35"/>
    </row>
    <row r="36" spans="1:37" x14ac:dyDescent="0.25">
      <c r="A36" t="s">
        <v>31</v>
      </c>
      <c r="B36" t="s">
        <v>79</v>
      </c>
      <c r="C36" s="9">
        <f>SUMIFS(Regions!C:C,Owner1,Stats!A36)</f>
        <v>20850000</v>
      </c>
      <c r="D36" s="45">
        <f t="shared" si="12"/>
        <v>76</v>
      </c>
      <c r="E36" s="45">
        <f>CEILING(SUMIFS(Regions!F:F,Owner1,Stats!A36)*(1+X36),1)</f>
        <v>21</v>
      </c>
      <c r="F36" s="45">
        <f>CEILING(SUMIFS(Regions!E:E,Owner1,Stats!A36),1)</f>
        <v>240</v>
      </c>
      <c r="G36" s="45">
        <f t="shared" si="8"/>
        <v>92</v>
      </c>
      <c r="H36" s="14">
        <f>Govt!J36</f>
        <v>12</v>
      </c>
      <c r="I36" s="112">
        <f>ROUND(Govt!H36,0)</f>
        <v>6</v>
      </c>
      <c r="J36" s="107">
        <f>Govt!K36</f>
        <v>1.2899999999999998</v>
      </c>
      <c r="K36">
        <f>CEILING(SUMIFS(Regions!J:J,Owner1,Stats!A36)/10000,1)</f>
        <v>138</v>
      </c>
      <c r="L36" s="66">
        <f>Govt!I36</f>
        <v>7.5</v>
      </c>
      <c r="M36" s="14">
        <v>0</v>
      </c>
      <c r="N36" s="114">
        <f>Govt!AN36</f>
        <v>0.8</v>
      </c>
      <c r="O36" s="130">
        <f t="shared" si="9"/>
        <v>20.635912696499034</v>
      </c>
      <c r="P36" s="131">
        <f>ROUND(SUMIFS(Regions!P:P,Regions!K:K,A36)/COUNTIFS(Regions!K:K,A36),0.1)</f>
        <v>6</v>
      </c>
      <c r="Q36" s="87">
        <f>Govt!P36+(M36*Govt!H36/100)</f>
        <v>6.6035802961176088E-2</v>
      </c>
      <c r="R36" s="28">
        <f>SUMIFS(Regions!O:O,Regions!K:K,A36)/COUNTIFS(Regions!K:K,A36)</f>
        <v>11.500000000000002</v>
      </c>
      <c r="S36" s="3">
        <f t="shared" si="10"/>
        <v>3.7499999999999999E-2</v>
      </c>
      <c r="T36" s="3">
        <f t="shared" si="13"/>
        <v>3.4166666666666668E-3</v>
      </c>
      <c r="U36" s="74">
        <v>0</v>
      </c>
      <c r="V36" s="12">
        <f t="shared" si="11"/>
        <v>1</v>
      </c>
      <c r="W36" s="3">
        <f t="shared" si="14"/>
        <v>0</v>
      </c>
      <c r="X36" s="3">
        <f t="shared" si="15"/>
        <v>0</v>
      </c>
      <c r="Y36" s="3">
        <f t="shared" si="16"/>
        <v>0</v>
      </c>
      <c r="Z36" s="3">
        <f t="shared" si="17"/>
        <v>0</v>
      </c>
      <c r="AA36" s="3">
        <f t="shared" si="18"/>
        <v>0</v>
      </c>
      <c r="AB36" s="3">
        <f t="shared" si="19"/>
        <v>0</v>
      </c>
      <c r="AJ36" s="3"/>
      <c r="AK36"/>
    </row>
    <row r="37" spans="1:37" x14ac:dyDescent="0.25">
      <c r="A37" t="s">
        <v>80</v>
      </c>
      <c r="B37" t="s">
        <v>81</v>
      </c>
      <c r="C37" s="9">
        <f>SUMIFS(Regions!C:C,Owner1,Stats!A37)</f>
        <v>6043197.968332299</v>
      </c>
      <c r="D37" s="45">
        <f t="shared" si="12"/>
        <v>21</v>
      </c>
      <c r="E37" s="45">
        <f>CEILING(SUMIFS(Regions!F:F,Owner1,Stats!A37)*(1+X37),1)</f>
        <v>9</v>
      </c>
      <c r="F37" s="45">
        <f>CEILING(SUMIFS(Regions!E:E,Owner1,Stats!A37),1)</f>
        <v>74</v>
      </c>
      <c r="G37" s="45">
        <f t="shared" si="8"/>
        <v>26</v>
      </c>
      <c r="H37" s="14">
        <f>Govt!J37</f>
        <v>11</v>
      </c>
      <c r="I37" s="112">
        <f>ROUND(Govt!H37,0)</f>
        <v>5</v>
      </c>
      <c r="J37" s="107">
        <f>Govt!K37</f>
        <v>1.1662500000000002</v>
      </c>
      <c r="K37">
        <f>CEILING(SUMIFS(Regions!J:J,Owner1,Stats!A37)/10000,1)</f>
        <v>39</v>
      </c>
      <c r="L37" s="66">
        <f>Govt!I37</f>
        <v>6.5</v>
      </c>
      <c r="M37" s="14">
        <v>0</v>
      </c>
      <c r="N37" s="114">
        <f>Govt!AN37</f>
        <v>0.85</v>
      </c>
      <c r="O37" s="130">
        <f t="shared" si="9"/>
        <v>23.370966060068149</v>
      </c>
      <c r="P37" s="131">
        <f>ROUND(SUMIFS(Regions!P:P,Regions!K:K,A37)/COUNTIFS(Regions!K:K,A37),0.1)</f>
        <v>5</v>
      </c>
      <c r="Q37" s="87">
        <f>Govt!P37+(M37*Govt!H37/100)</f>
        <v>6.436260913407299E-2</v>
      </c>
      <c r="R37" s="28">
        <f>SUMIFS(Regions!O:O,Regions!K:K,A37)/COUNTIFS(Regions!K:K,A37)</f>
        <v>12.159999999999998</v>
      </c>
      <c r="S37" s="3">
        <f t="shared" si="10"/>
        <v>3.2499999999999994E-2</v>
      </c>
      <c r="T37" s="3">
        <f t="shared" si="13"/>
        <v>3.5810810810810814E-3</v>
      </c>
      <c r="U37" s="74">
        <v>0</v>
      </c>
      <c r="V37" s="12">
        <f t="shared" si="11"/>
        <v>1</v>
      </c>
      <c r="W37" s="3">
        <f t="shared" si="14"/>
        <v>0</v>
      </c>
      <c r="X37" s="3">
        <f t="shared" si="15"/>
        <v>0</v>
      </c>
      <c r="Y37" s="3">
        <f t="shared" si="16"/>
        <v>0</v>
      </c>
      <c r="Z37" s="3">
        <f t="shared" si="17"/>
        <v>0</v>
      </c>
      <c r="AA37" s="3">
        <f t="shared" si="18"/>
        <v>0</v>
      </c>
      <c r="AB37" s="3">
        <f t="shared" si="19"/>
        <v>0</v>
      </c>
      <c r="AJ37" s="3"/>
      <c r="AK37"/>
    </row>
    <row r="38" spans="1:37" x14ac:dyDescent="0.25">
      <c r="A38" t="s">
        <v>29</v>
      </c>
      <c r="B38" t="s">
        <v>82</v>
      </c>
      <c r="C38" s="9">
        <f>SUMIFS(Regions!C:C,Owner1,Stats!A38)</f>
        <v>12128661.247608762</v>
      </c>
      <c r="D38" s="45">
        <f t="shared" si="12"/>
        <v>44</v>
      </c>
      <c r="E38" s="45">
        <f>CEILING(SUMIFS(Regions!F:F,Owner1,Stats!A38)*(1+X38),1)</f>
        <v>21</v>
      </c>
      <c r="F38" s="45">
        <f>CEILING(SUMIFS(Regions!E:E,Owner1,Stats!A38),1)</f>
        <v>153</v>
      </c>
      <c r="G38" s="45">
        <f t="shared" si="8"/>
        <v>52</v>
      </c>
      <c r="H38" s="14">
        <f>Govt!J38</f>
        <v>11</v>
      </c>
      <c r="I38" s="112">
        <f>ROUND(Govt!H38,0)</f>
        <v>6</v>
      </c>
      <c r="J38" s="107">
        <f>Govt!K38</f>
        <v>1.5150000000000001</v>
      </c>
      <c r="K38">
        <f>CEILING(SUMIFS(Regions!J:J,Owner1,Stats!A38)/10000,1)</f>
        <v>78</v>
      </c>
      <c r="L38" s="66">
        <f>Govt!I38</f>
        <v>7</v>
      </c>
      <c r="M38" s="14">
        <v>0</v>
      </c>
      <c r="N38" s="114">
        <f>Govt!AN38</f>
        <v>0.7</v>
      </c>
      <c r="O38" s="130">
        <f t="shared" si="9"/>
        <v>21.76903343260464</v>
      </c>
      <c r="P38" s="131">
        <f>ROUND(SUMIFS(Regions!P:P,Regions!K:K,A38)/COUNTIFS(Regions!K:K,A38),0.1)</f>
        <v>5</v>
      </c>
      <c r="Q38" s="87">
        <f>Govt!P38+(M38*Govt!H38/100)</f>
        <v>6.4079496082458526E-2</v>
      </c>
      <c r="R38" s="28">
        <f>SUMIFS(Regions!O:O,Regions!K:K,A38)/COUNTIFS(Regions!K:K,A38)</f>
        <v>12.535000000000002</v>
      </c>
      <c r="S38" s="3">
        <f t="shared" si="10"/>
        <v>3.5000000000000003E-2</v>
      </c>
      <c r="T38" s="3">
        <f t="shared" si="13"/>
        <v>3.562091503267974E-3</v>
      </c>
      <c r="U38" s="74">
        <v>0</v>
      </c>
      <c r="V38" s="12">
        <f t="shared" si="11"/>
        <v>1</v>
      </c>
      <c r="W38" s="3">
        <f t="shared" si="14"/>
        <v>0</v>
      </c>
      <c r="X38" s="3">
        <f t="shared" si="15"/>
        <v>0</v>
      </c>
      <c r="Y38" s="3">
        <f t="shared" si="16"/>
        <v>0</v>
      </c>
      <c r="Z38" s="3">
        <f t="shared" si="17"/>
        <v>0</v>
      </c>
      <c r="AA38" s="3">
        <f t="shared" si="18"/>
        <v>0</v>
      </c>
      <c r="AB38" s="3">
        <f t="shared" si="19"/>
        <v>0</v>
      </c>
      <c r="AJ38" s="3"/>
      <c r="AK38"/>
    </row>
    <row r="39" spans="1:37" x14ac:dyDescent="0.25">
      <c r="A39" t="s">
        <v>84</v>
      </c>
      <c r="B39" t="s">
        <v>85</v>
      </c>
      <c r="C39" s="9">
        <f>SUMIFS(Regions!C:C,Owner1,Stats!A39)</f>
        <v>15999327.32183555</v>
      </c>
      <c r="D39" s="45">
        <f t="shared" si="12"/>
        <v>52</v>
      </c>
      <c r="E39" s="45">
        <f>CEILING(SUMIFS(Regions!F:F,Owner1,Stats!A39)*(1+X39),1)</f>
        <v>16</v>
      </c>
      <c r="F39" s="45">
        <f>CEILING(SUMIFS(Regions!E:E,Owner1,Stats!A39),1)</f>
        <v>184</v>
      </c>
      <c r="G39" s="45">
        <f t="shared" si="8"/>
        <v>72</v>
      </c>
      <c r="H39" s="14">
        <f>Govt!J39</f>
        <v>11</v>
      </c>
      <c r="I39" s="112">
        <f>ROUND(Govt!H39,0)</f>
        <v>6</v>
      </c>
      <c r="J39" s="107">
        <f>Govt!K39</f>
        <v>1.61625</v>
      </c>
      <c r="K39">
        <f>CEILING(SUMIFS(Regions!J:J,Owner1,Stats!A39)/10000,1)</f>
        <v>109</v>
      </c>
      <c r="L39" s="66">
        <f>Govt!I39</f>
        <v>7</v>
      </c>
      <c r="M39" s="14">
        <v>0</v>
      </c>
      <c r="N39" s="114">
        <f>Govt!AN39</f>
        <v>0.65</v>
      </c>
      <c r="O39" s="130">
        <f t="shared" si="9"/>
        <v>19.621596410543329</v>
      </c>
      <c r="P39" s="131">
        <f>ROUND(SUMIFS(Regions!P:P,Regions!K:K,A39)/COUNTIFS(Regions!K:K,A39),0.1)</f>
        <v>6</v>
      </c>
      <c r="Q39" s="87">
        <f>Govt!P39+(M39*Govt!H39/100)</f>
        <v>6.7721354225840899E-2</v>
      </c>
      <c r="R39" s="28">
        <f>SUMIFS(Regions!O:O,Regions!K:K,A39)/COUNTIFS(Regions!K:K,A39)</f>
        <v>11.5</v>
      </c>
      <c r="S39" s="3">
        <f t="shared" si="10"/>
        <v>3.5000000000000003E-2</v>
      </c>
      <c r="T39" s="3">
        <f t="shared" si="13"/>
        <v>3.5869565217391303E-3</v>
      </c>
      <c r="U39" s="74">
        <v>0</v>
      </c>
      <c r="V39" s="12">
        <f t="shared" si="11"/>
        <v>1</v>
      </c>
      <c r="W39" s="3">
        <f t="shared" si="14"/>
        <v>0</v>
      </c>
      <c r="X39" s="3">
        <f t="shared" si="15"/>
        <v>0</v>
      </c>
      <c r="Y39" s="3">
        <f t="shared" si="16"/>
        <v>0</v>
      </c>
      <c r="Z39" s="3">
        <f t="shared" si="17"/>
        <v>0</v>
      </c>
      <c r="AA39" s="3">
        <f t="shared" si="18"/>
        <v>0</v>
      </c>
      <c r="AB39" s="3">
        <f t="shared" si="19"/>
        <v>0</v>
      </c>
      <c r="AJ39" s="3"/>
      <c r="AK39"/>
    </row>
    <row r="40" spans="1:37" x14ac:dyDescent="0.25">
      <c r="A40" t="s">
        <v>88</v>
      </c>
      <c r="B40" t="s">
        <v>159</v>
      </c>
      <c r="C40" s="9">
        <f>SUMIFS(Regions!C:C,Owner1,Stats!A40)</f>
        <v>11214000</v>
      </c>
      <c r="D40" s="45">
        <f t="shared" si="12"/>
        <v>47</v>
      </c>
      <c r="E40" s="45">
        <f>CEILING(SUMIFS(Regions!F:F,Owner1,Stats!A40)*(1+X40),1)</f>
        <v>45</v>
      </c>
      <c r="F40" s="45">
        <f>CEILING(SUMIFS(Regions!E:E,Owner1,Stats!A40),1)</f>
        <v>167</v>
      </c>
      <c r="G40" s="45">
        <f t="shared" si="8"/>
        <v>60</v>
      </c>
      <c r="H40" s="14">
        <f>Govt!J40</f>
        <v>11</v>
      </c>
      <c r="I40" s="112">
        <f>ROUND(Govt!H40,0)</f>
        <v>8</v>
      </c>
      <c r="J40" s="107">
        <f>Govt!K40</f>
        <v>2.2752499999999998</v>
      </c>
      <c r="K40">
        <f>CEILING(SUMIFS(Regions!J:J,Owner1,Stats!A40)/10000,1)</f>
        <v>91</v>
      </c>
      <c r="L40" s="66">
        <f>Govt!I40</f>
        <v>4</v>
      </c>
      <c r="M40" s="14">
        <v>0</v>
      </c>
      <c r="N40" s="114">
        <f>Govt!AN40</f>
        <v>0.55000000000000004</v>
      </c>
      <c r="O40" s="130">
        <f t="shared" si="9"/>
        <v>23.065917579353062</v>
      </c>
      <c r="P40" s="131">
        <f>ROUND(SUMIFS(Regions!P:P,Regions!K:K,A40)/COUNTIFS(Regions!K:K,A40),0.1)</f>
        <v>5</v>
      </c>
      <c r="Q40" s="87">
        <f>Govt!P40+(M40*Govt!H40/100)</f>
        <v>8.670499225429977E-2</v>
      </c>
      <c r="R40" s="28">
        <f>SUMIFS(Regions!O:O,Regions!K:K,A40)/COUNTIFS(Regions!K:K,A40)</f>
        <v>16</v>
      </c>
      <c r="S40" s="3">
        <f t="shared" si="10"/>
        <v>1.9999999999999997E-2</v>
      </c>
      <c r="T40" s="3">
        <f t="shared" si="13"/>
        <v>3.592814371257485E-3</v>
      </c>
      <c r="U40" s="74">
        <v>0</v>
      </c>
      <c r="V40" s="12">
        <f t="shared" si="11"/>
        <v>1</v>
      </c>
      <c r="W40" s="3">
        <f t="shared" si="14"/>
        <v>0</v>
      </c>
      <c r="X40" s="3">
        <f t="shared" si="15"/>
        <v>0</v>
      </c>
      <c r="Y40" s="3">
        <f t="shared" si="16"/>
        <v>0</v>
      </c>
      <c r="Z40" s="3">
        <f t="shared" si="17"/>
        <v>0</v>
      </c>
      <c r="AA40" s="3">
        <f t="shared" si="18"/>
        <v>0</v>
      </c>
      <c r="AB40" s="3">
        <f t="shared" si="19"/>
        <v>0</v>
      </c>
      <c r="AJ40" s="3"/>
      <c r="AK40"/>
    </row>
    <row r="41" spans="1:37" x14ac:dyDescent="0.25">
      <c r="A41" t="s">
        <v>157</v>
      </c>
      <c r="B41" t="s">
        <v>158</v>
      </c>
      <c r="C41" s="9">
        <f>SUMIFS(Regions!C:C,Owner1,Stats!A41)</f>
        <v>21853800</v>
      </c>
      <c r="D41" s="45">
        <f t="shared" si="12"/>
        <v>81</v>
      </c>
      <c r="E41" s="45">
        <f>CEILING(SUMIFS(Regions!F:F,Owner1,Stats!A41)*(1+X41),1)</f>
        <v>104</v>
      </c>
      <c r="F41" s="45">
        <f>CEILING(SUMIFS(Regions!E:E,Owner1,Stats!A41),1)</f>
        <v>367</v>
      </c>
      <c r="G41" s="45">
        <f t="shared" si="8"/>
        <v>139</v>
      </c>
      <c r="H41" s="14">
        <f>Govt!J41</f>
        <v>9</v>
      </c>
      <c r="I41" s="112">
        <f>ROUND(Govt!H41,0)</f>
        <v>6</v>
      </c>
      <c r="J41" s="107">
        <f>Govt!K41</f>
        <v>3.2326250000000005</v>
      </c>
      <c r="K41">
        <f>CEILING(SUMIFS(Regions!J:J,Owner1,Stats!A41)/10000,1)</f>
        <v>209</v>
      </c>
      <c r="L41" s="66">
        <f>Govt!I41</f>
        <v>5.5</v>
      </c>
      <c r="M41" s="14">
        <v>0</v>
      </c>
      <c r="N41" s="114">
        <f>Govt!AN41</f>
        <v>0.17499999999999999</v>
      </c>
      <c r="O41" s="130">
        <f t="shared" si="9"/>
        <v>21.172380013068629</v>
      </c>
      <c r="P41" s="131">
        <f>ROUND(SUMIFS(Regions!P:P,Regions!K:K,A41)/COUNTIFS(Regions!K:K,A41),0.1)</f>
        <v>6</v>
      </c>
      <c r="Q41" s="87">
        <f>Govt!P41+(M41*Govt!H41/100)</f>
        <v>9.710236222667297E-2</v>
      </c>
      <c r="R41" s="28">
        <f>SUMIFS(Regions!O:O,Regions!K:K,A41)/COUNTIFS(Regions!K:K,A41)</f>
        <v>16.060000000000002</v>
      </c>
      <c r="S41" s="3">
        <f t="shared" si="10"/>
        <v>2.7499999999999997E-2</v>
      </c>
      <c r="T41" s="3">
        <f t="shared" si="13"/>
        <v>3.8964577656675748E-3</v>
      </c>
      <c r="U41" s="74">
        <v>0</v>
      </c>
      <c r="V41" s="12">
        <f t="shared" si="11"/>
        <v>1</v>
      </c>
      <c r="W41" s="3">
        <f t="shared" si="14"/>
        <v>0</v>
      </c>
      <c r="X41" s="3">
        <f t="shared" si="15"/>
        <v>0</v>
      </c>
      <c r="Y41" s="3">
        <f t="shared" si="16"/>
        <v>0</v>
      </c>
      <c r="Z41" s="3">
        <f t="shared" si="17"/>
        <v>0</v>
      </c>
      <c r="AA41" s="3">
        <f t="shared" si="18"/>
        <v>0</v>
      </c>
      <c r="AB41" s="3">
        <f t="shared" si="19"/>
        <v>0</v>
      </c>
      <c r="AJ41" s="3"/>
      <c r="AK41"/>
    </row>
    <row r="42" spans="1:37" x14ac:dyDescent="0.25">
      <c r="A42" t="s">
        <v>86</v>
      </c>
      <c r="B42" t="s">
        <v>87</v>
      </c>
      <c r="C42" s="9">
        <f>SUMIFS(Regions!C:C,Owner1,Stats!A42)</f>
        <v>13427200</v>
      </c>
      <c r="D42" s="45">
        <f t="shared" si="12"/>
        <v>50</v>
      </c>
      <c r="E42" s="45">
        <f>CEILING(SUMIFS(Regions!F:F,Owner1,Stats!A42)*(1+X42),1)</f>
        <v>44</v>
      </c>
      <c r="F42" s="45">
        <f>CEILING(SUMIFS(Regions!E:E,Owner1,Stats!A42),1)</f>
        <v>200</v>
      </c>
      <c r="G42" s="45">
        <f t="shared" si="8"/>
        <v>76</v>
      </c>
      <c r="H42" s="14">
        <f>Govt!J42</f>
        <v>10</v>
      </c>
      <c r="I42" s="112">
        <f>ROUND(Govt!H42,0)</f>
        <v>6</v>
      </c>
      <c r="J42" s="107">
        <f>Govt!K42</f>
        <v>2.375</v>
      </c>
      <c r="K42">
        <f>CEILING(SUMIFS(Regions!J:J,Owner1,Stats!A42)/10000,1)</f>
        <v>115</v>
      </c>
      <c r="L42" s="66">
        <f>Govt!I42</f>
        <v>4</v>
      </c>
      <c r="M42" s="14">
        <v>0</v>
      </c>
      <c r="N42" s="114">
        <f>Govt!AN42</f>
        <v>0.5</v>
      </c>
      <c r="O42" s="130">
        <f t="shared" si="9"/>
        <v>23.881606768432093</v>
      </c>
      <c r="P42" s="131">
        <f>ROUND(SUMIFS(Regions!P:P,Regions!K:K,A42)/COUNTIFS(Regions!K:K,A42),0.1)</f>
        <v>6</v>
      </c>
      <c r="Q42" s="87">
        <f>Govt!P42+(M42*Govt!H42/100)</f>
        <v>8.5173352640365158E-2</v>
      </c>
      <c r="R42" s="28">
        <f>SUMIFS(Regions!O:O,Regions!K:K,A42)/COUNTIFS(Regions!K:K,A42)</f>
        <v>14.86</v>
      </c>
      <c r="S42" s="3">
        <f t="shared" si="10"/>
        <v>1.9999999999999997E-2</v>
      </c>
      <c r="T42" s="3">
        <f t="shared" si="13"/>
        <v>3.7499999999999999E-3</v>
      </c>
      <c r="U42" s="74">
        <v>0</v>
      </c>
      <c r="V42" s="12">
        <f t="shared" si="11"/>
        <v>1</v>
      </c>
      <c r="W42" s="3">
        <f t="shared" si="14"/>
        <v>0</v>
      </c>
      <c r="X42" s="3">
        <f t="shared" si="15"/>
        <v>0</v>
      </c>
      <c r="Y42" s="3">
        <f t="shared" si="16"/>
        <v>0</v>
      </c>
      <c r="Z42" s="3">
        <f t="shared" si="17"/>
        <v>0</v>
      </c>
      <c r="AA42" s="3">
        <f t="shared" si="18"/>
        <v>0</v>
      </c>
      <c r="AB42" s="3">
        <f t="shared" si="19"/>
        <v>0</v>
      </c>
      <c r="AJ42" s="3"/>
      <c r="AK42"/>
    </row>
    <row r="43" spans="1:37" x14ac:dyDescent="0.25">
      <c r="A43" t="s">
        <v>155</v>
      </c>
      <c r="B43" t="s">
        <v>156</v>
      </c>
      <c r="C43" s="9">
        <f>SUMIFS(Regions!C:C,Owner1,Stats!A43)</f>
        <v>5341000</v>
      </c>
      <c r="D43" s="45">
        <f t="shared" si="12"/>
        <v>28</v>
      </c>
      <c r="E43" s="45">
        <f>CEILING(SUMIFS(Regions!F:F,Owner1,Stats!A43)*(1+X43),1)</f>
        <v>22</v>
      </c>
      <c r="F43" s="45">
        <f>CEILING(SUMIFS(Regions!E:E,Owner1,Stats!A43),1)</f>
        <v>86</v>
      </c>
      <c r="G43" s="45">
        <f t="shared" si="8"/>
        <v>35</v>
      </c>
      <c r="H43" s="14">
        <f>Govt!J43</f>
        <v>12</v>
      </c>
      <c r="I43" s="112">
        <f>ROUND(Govt!H43,0)</f>
        <v>7</v>
      </c>
      <c r="J43" s="107">
        <f>Govt!K43</f>
        <v>3.2505000000000002</v>
      </c>
      <c r="K43">
        <f>CEILING(SUMIFS(Regions!J:J,Owner1,Stats!A43)/10000,1)</f>
        <v>53</v>
      </c>
      <c r="L43" s="66">
        <f>Govt!I43</f>
        <v>8</v>
      </c>
      <c r="M43" s="14">
        <v>0</v>
      </c>
      <c r="N43" s="114">
        <f>Govt!AN43</f>
        <v>0.15</v>
      </c>
      <c r="O43" s="130">
        <f t="shared" si="9"/>
        <v>18.996773353931864</v>
      </c>
      <c r="P43" s="131">
        <f>ROUND(SUMIFS(Regions!P:P,Regions!K:K,A43)/COUNTIFS(Regions!K:K,A43),0.1)</f>
        <v>6</v>
      </c>
      <c r="Q43" s="87">
        <f>Govt!P43+(M43*Govt!H43/100)</f>
        <v>9.743030725973964E-2</v>
      </c>
      <c r="R43" s="28">
        <f>SUMIFS(Regions!O:O,Regions!K:K,A43)/COUNTIFS(Regions!K:K,A43)</f>
        <v>16</v>
      </c>
      <c r="S43" s="3">
        <f t="shared" si="10"/>
        <v>3.9999999999999994E-2</v>
      </c>
      <c r="T43" s="3">
        <f t="shared" si="13"/>
        <v>3.372093023255814E-3</v>
      </c>
      <c r="U43" s="74">
        <v>0</v>
      </c>
      <c r="V43" s="12">
        <f t="shared" si="11"/>
        <v>1</v>
      </c>
      <c r="W43" s="3">
        <f t="shared" si="14"/>
        <v>0</v>
      </c>
      <c r="X43" s="3">
        <f t="shared" si="15"/>
        <v>0</v>
      </c>
      <c r="Y43" s="3">
        <f t="shared" si="16"/>
        <v>0</v>
      </c>
      <c r="Z43" s="3">
        <f t="shared" si="17"/>
        <v>0</v>
      </c>
      <c r="AA43" s="3">
        <f t="shared" si="18"/>
        <v>0</v>
      </c>
      <c r="AB43" s="3">
        <f t="shared" si="19"/>
        <v>0</v>
      </c>
      <c r="AJ43" s="3"/>
      <c r="AK43"/>
    </row>
    <row r="44" spans="1:37" x14ac:dyDescent="0.25">
      <c r="A44" t="s">
        <v>160</v>
      </c>
      <c r="B44" t="s">
        <v>161</v>
      </c>
      <c r="C44" s="9">
        <f>SUMIFS(Regions!C:C,Owner1,Stats!A44)</f>
        <v>4266000</v>
      </c>
      <c r="D44" s="45">
        <f t="shared" si="12"/>
        <v>15</v>
      </c>
      <c r="E44" s="45">
        <f>CEILING(SUMIFS(Regions!F:F,Owner1,Stats!A44)*(1+X44),1)</f>
        <v>14</v>
      </c>
      <c r="F44" s="45">
        <f>CEILING(SUMIFS(Regions!E:E,Owner1,Stats!A44),1)</f>
        <v>64</v>
      </c>
      <c r="G44" s="45">
        <f t="shared" si="8"/>
        <v>22</v>
      </c>
      <c r="H44" s="14">
        <f>Govt!J44</f>
        <v>9</v>
      </c>
      <c r="I44" s="112">
        <f>ROUND(Govt!H44,0)</f>
        <v>3</v>
      </c>
      <c r="J44" s="107">
        <f>Govt!K44</f>
        <v>3.1625000000000001</v>
      </c>
      <c r="K44">
        <f>CEILING(SUMIFS(Regions!J:J,Owner1,Stats!A44)/10000,1)</f>
        <v>33</v>
      </c>
      <c r="L44" s="66">
        <f>Govt!I44</f>
        <v>7</v>
      </c>
      <c r="M44" s="14">
        <v>0</v>
      </c>
      <c r="N44" s="114">
        <f>Govt!AN44</f>
        <v>0.25</v>
      </c>
      <c r="O44" s="130">
        <f t="shared" si="9"/>
        <v>25.261999999999997</v>
      </c>
      <c r="P44" s="131">
        <f>ROUND(SUMIFS(Regions!P:P,Regions!K:K,A44)/COUNTIFS(Regions!K:K,A44),0.1)</f>
        <v>5</v>
      </c>
      <c r="Q44" s="87">
        <f>Govt!P44+(M44*Govt!H44/100)</f>
        <v>7.5153176912223757E-2</v>
      </c>
      <c r="R44" s="28">
        <f>SUMIFS(Regions!O:O,Regions!K:K,A44)/COUNTIFS(Regions!K:K,A44)</f>
        <v>14.859999999999998</v>
      </c>
      <c r="S44" s="3">
        <f t="shared" si="10"/>
        <v>3.5000000000000003E-2</v>
      </c>
      <c r="T44" s="3">
        <f t="shared" si="13"/>
        <v>3.8281249999999999E-3</v>
      </c>
      <c r="U44" s="74">
        <v>0</v>
      </c>
      <c r="V44" s="12">
        <f t="shared" si="11"/>
        <v>1</v>
      </c>
      <c r="W44" s="3">
        <f t="shared" si="14"/>
        <v>0</v>
      </c>
      <c r="X44" s="3">
        <f t="shared" si="15"/>
        <v>0</v>
      </c>
      <c r="Y44" s="3">
        <f t="shared" si="16"/>
        <v>0</v>
      </c>
      <c r="Z44" s="3">
        <f t="shared" si="17"/>
        <v>0</v>
      </c>
      <c r="AA44" s="3">
        <f t="shared" si="18"/>
        <v>0</v>
      </c>
      <c r="AB44" s="3">
        <f t="shared" si="19"/>
        <v>0</v>
      </c>
      <c r="AJ44" s="3"/>
      <c r="AK44"/>
    </row>
    <row r="45" spans="1:37" x14ac:dyDescent="0.25">
      <c r="A45" t="s">
        <v>162</v>
      </c>
      <c r="B45" t="s">
        <v>163</v>
      </c>
      <c r="C45" s="9">
        <f>SUMIFS(Regions!C:C,Owner1,Stats!A45)</f>
        <v>11896000</v>
      </c>
      <c r="D45" s="45">
        <f t="shared" si="12"/>
        <v>48</v>
      </c>
      <c r="E45" s="45">
        <f>CEILING(SUMIFS(Regions!F:F,Owner1,Stats!A45)*(1+X45),1)</f>
        <v>48</v>
      </c>
      <c r="F45" s="45">
        <f>CEILING(SUMIFS(Regions!E:E,Owner1,Stats!A45),1)</f>
        <v>191</v>
      </c>
      <c r="G45" s="45">
        <f t="shared" si="8"/>
        <v>64</v>
      </c>
      <c r="H45" s="14">
        <f>Govt!J45</f>
        <v>10</v>
      </c>
      <c r="I45" s="112">
        <f>ROUND(Govt!H45,0)</f>
        <v>5</v>
      </c>
      <c r="J45" s="107">
        <f>Govt!K45</f>
        <v>3.1336250000000003</v>
      </c>
      <c r="K45">
        <f>CEILING(SUMIFS(Regions!J:J,Owner1,Stats!A45)/10000,1)</f>
        <v>97</v>
      </c>
      <c r="L45" s="66">
        <f>Govt!I45</f>
        <v>7</v>
      </c>
      <c r="M45" s="14">
        <v>0</v>
      </c>
      <c r="N45" s="114">
        <f>Govt!AN45</f>
        <v>0.27500000000000002</v>
      </c>
      <c r="O45" s="130">
        <f t="shared" si="9"/>
        <v>24.39047078536122</v>
      </c>
      <c r="P45" s="131">
        <f>ROUND(SUMIFS(Regions!P:P,Regions!K:K,A45)/COUNTIFS(Regions!K:K,A45),0.1)</f>
        <v>5</v>
      </c>
      <c r="Q45" s="87">
        <f>Govt!P45+(M45*Govt!H45/100)</f>
        <v>8.1529135896316246E-2</v>
      </c>
      <c r="R45" s="28">
        <f>SUMIFS(Regions!O:O,Regions!K:K,A45)/COUNTIFS(Regions!K:K,A45)</f>
        <v>16.000000000000004</v>
      </c>
      <c r="S45" s="3">
        <f t="shared" si="10"/>
        <v>3.5000000000000003E-2</v>
      </c>
      <c r="T45" s="3">
        <f t="shared" si="13"/>
        <v>3.7434554973821989E-3</v>
      </c>
      <c r="U45" s="74">
        <v>0</v>
      </c>
      <c r="V45" s="12">
        <f t="shared" si="11"/>
        <v>1</v>
      </c>
      <c r="W45" s="3">
        <f t="shared" si="14"/>
        <v>0</v>
      </c>
      <c r="X45" s="3">
        <f t="shared" si="15"/>
        <v>0</v>
      </c>
      <c r="Y45" s="3">
        <f t="shared" si="16"/>
        <v>0</v>
      </c>
      <c r="Z45" s="3">
        <f t="shared" si="17"/>
        <v>0</v>
      </c>
      <c r="AA45" s="3">
        <f t="shared" si="18"/>
        <v>0</v>
      </c>
      <c r="AB45" s="3">
        <f t="shared" si="19"/>
        <v>0</v>
      </c>
      <c r="AJ45" s="3"/>
      <c r="AK45"/>
    </row>
    <row r="46" spans="1:37" x14ac:dyDescent="0.25">
      <c r="A46" t="s">
        <v>164</v>
      </c>
      <c r="B46" t="s">
        <v>165</v>
      </c>
      <c r="C46" s="9">
        <f>SUMIFS(Regions!C:C,Owner1,Stats!A46)</f>
        <v>10701000</v>
      </c>
      <c r="D46" s="45">
        <f t="shared" si="12"/>
        <v>39</v>
      </c>
      <c r="E46" s="45">
        <f>CEILING(SUMIFS(Regions!F:F,Owner1,Stats!A46)*(1+X46),1)</f>
        <v>39</v>
      </c>
      <c r="F46" s="45">
        <f>CEILING(SUMIFS(Regions!E:E,Owner1,Stats!A46),1)</f>
        <v>137</v>
      </c>
      <c r="G46" s="45">
        <f t="shared" si="8"/>
        <v>35</v>
      </c>
      <c r="H46" s="14">
        <f>Govt!J46</f>
        <v>11</v>
      </c>
      <c r="I46" s="112">
        <f>ROUND(Govt!H46,0)</f>
        <v>5</v>
      </c>
      <c r="J46" s="107">
        <f>Govt!K46</f>
        <v>2.1740625000000002</v>
      </c>
      <c r="K46">
        <f>CEILING(SUMIFS(Regions!J:J,Owner1,Stats!A46)/10000,1)</f>
        <v>53</v>
      </c>
      <c r="L46" s="66">
        <f>Govt!I46</f>
        <v>6.5</v>
      </c>
      <c r="M46" s="14">
        <v>0</v>
      </c>
      <c r="N46" s="114">
        <f>Govt!AN46</f>
        <v>0.22500000000000001</v>
      </c>
      <c r="O46" s="130">
        <f t="shared" si="9"/>
        <v>23.169279014431915</v>
      </c>
      <c r="P46" s="131">
        <f>ROUND(SUMIFS(Regions!P:P,Regions!K:K,A46)/COUNTIFS(Regions!K:K,A46),0.1)</f>
        <v>4</v>
      </c>
      <c r="Q46" s="87">
        <f>Govt!P46+(M46*Govt!H46/100)</f>
        <v>5.9034658541325613E-2</v>
      </c>
      <c r="R46" s="28">
        <f>SUMIFS(Regions!O:O,Regions!K:K,A46)/COUNTIFS(Regions!K:K,A46)</f>
        <v>15.715</v>
      </c>
      <c r="S46" s="3">
        <f t="shared" si="10"/>
        <v>3.2499999999999994E-2</v>
      </c>
      <c r="T46" s="3">
        <f t="shared" si="13"/>
        <v>3.5766423357664234E-3</v>
      </c>
      <c r="U46" s="74">
        <v>0</v>
      </c>
      <c r="V46" s="12">
        <f t="shared" si="11"/>
        <v>1</v>
      </c>
      <c r="W46" s="3">
        <f t="shared" si="14"/>
        <v>0</v>
      </c>
      <c r="X46" s="3">
        <f t="shared" si="15"/>
        <v>0</v>
      </c>
      <c r="Y46" s="3">
        <f t="shared" si="16"/>
        <v>0</v>
      </c>
      <c r="Z46" s="3">
        <f t="shared" si="17"/>
        <v>0</v>
      </c>
      <c r="AA46" s="3">
        <f t="shared" si="18"/>
        <v>0</v>
      </c>
      <c r="AB46" s="3">
        <f t="shared" si="19"/>
        <v>0</v>
      </c>
      <c r="AJ46" s="3"/>
      <c r="AK46"/>
    </row>
    <row r="47" spans="1:37" x14ac:dyDescent="0.25">
      <c r="A47" t="s">
        <v>166</v>
      </c>
      <c r="B47" t="s">
        <v>167</v>
      </c>
      <c r="C47" s="9">
        <f>SUMIFS(Regions!C:C,Owner1,Stats!A47)</f>
        <v>515000</v>
      </c>
      <c r="D47" s="45">
        <f t="shared" si="12"/>
        <v>3</v>
      </c>
      <c r="E47" s="45">
        <f>CEILING(SUMIFS(Regions!F:F,Owner1,Stats!A47)*(1+X47),1)</f>
        <v>3</v>
      </c>
      <c r="F47" s="45">
        <f>CEILING(SUMIFS(Regions!E:E,Owner1,Stats!A47),1)</f>
        <v>9</v>
      </c>
      <c r="G47" s="45">
        <f t="shared" si="8"/>
        <v>3</v>
      </c>
      <c r="H47" s="14">
        <f>Govt!J47</f>
        <v>11</v>
      </c>
      <c r="I47" s="112">
        <f>ROUND(Govt!H47,0)</f>
        <v>8</v>
      </c>
      <c r="J47" s="107">
        <f>Govt!K47</f>
        <v>2.2752499999999998</v>
      </c>
      <c r="K47">
        <f>CEILING(SUMIFS(Regions!J:J,Owner1,Stats!A47)/10000,1)</f>
        <v>5</v>
      </c>
      <c r="L47" s="66">
        <f>Govt!I47</f>
        <v>4</v>
      </c>
      <c r="M47" s="14">
        <v>0</v>
      </c>
      <c r="N47" s="114">
        <v>0.5</v>
      </c>
      <c r="O47" s="130">
        <f t="shared" si="9"/>
        <v>22.513708498984762</v>
      </c>
      <c r="P47" s="131">
        <f>ROUND(SUMIFS(Regions!P:P,Regions!K:K,A47)/COUNTIFS(Regions!K:K,A47),0.1)</f>
        <v>5</v>
      </c>
      <c r="Q47" s="87">
        <f>Govt!P47+(M47*Govt!H47/100)</f>
        <v>8.670499225429977E-2</v>
      </c>
      <c r="R47" s="28">
        <f>SUMIFS(Regions!O:O,Regions!K:K,A47)/COUNTIFS(Regions!K:K,A47)</f>
        <v>16</v>
      </c>
      <c r="S47" s="3">
        <f t="shared" si="10"/>
        <v>1.9999999999999997E-2</v>
      </c>
      <c r="T47" s="3">
        <f t="shared" si="13"/>
        <v>3.3333333333333331E-3</v>
      </c>
      <c r="U47" s="74">
        <v>0</v>
      </c>
      <c r="V47" s="12">
        <f t="shared" si="11"/>
        <v>1</v>
      </c>
      <c r="W47" s="3">
        <f t="shared" si="14"/>
        <v>0</v>
      </c>
      <c r="X47" s="3">
        <f t="shared" si="15"/>
        <v>0</v>
      </c>
      <c r="Y47" s="3">
        <f t="shared" si="16"/>
        <v>0</v>
      </c>
      <c r="Z47" s="3">
        <f t="shared" si="17"/>
        <v>0</v>
      </c>
      <c r="AA47" s="3">
        <f t="shared" si="18"/>
        <v>0</v>
      </c>
      <c r="AB47" s="3">
        <f t="shared" si="19"/>
        <v>0</v>
      </c>
      <c r="AJ47" s="3"/>
      <c r="AK47"/>
    </row>
    <row r="48" spans="1:37" x14ac:dyDescent="0.25">
      <c r="A48" t="s">
        <v>268</v>
      </c>
      <c r="B48" t="s">
        <v>269</v>
      </c>
      <c r="C48" s="9">
        <f>SUMIFS(Regions!C:C,Owner1,Stats!A48)</f>
        <v>1113388.6768447838</v>
      </c>
      <c r="D48" s="45">
        <f t="shared" si="12"/>
        <v>6</v>
      </c>
      <c r="E48" s="45">
        <f>CEILING(SUMIFS(Regions!F:F,Owner1,Stats!A48)*(1+X48),1)</f>
        <v>8</v>
      </c>
      <c r="F48" s="45">
        <f>CEILING(SUMIFS(Regions!E:E,Owner1,Stats!A48),1)</f>
        <v>23</v>
      </c>
      <c r="G48" s="45">
        <f t="shared" si="8"/>
        <v>7</v>
      </c>
      <c r="H48" s="14">
        <f>Govt!J48</f>
        <v>10</v>
      </c>
      <c r="I48" s="112">
        <f>ROUND(Govt!H48,0)</f>
        <v>8</v>
      </c>
      <c r="J48" s="107">
        <f>Govt!K48</f>
        <v>2.2752499999999998</v>
      </c>
      <c r="K48">
        <f>CEILING(SUMIFS(Regions!J:J,Owner1,Stats!A48)/10000,1)</f>
        <v>11</v>
      </c>
      <c r="L48" s="66">
        <f>Govt!I48</f>
        <v>3.5</v>
      </c>
      <c r="M48" s="14">
        <v>0</v>
      </c>
      <c r="N48" s="114">
        <v>0.75</v>
      </c>
      <c r="O48" s="130">
        <f t="shared" si="9"/>
        <v>31.539751632218593</v>
      </c>
      <c r="P48" s="131">
        <f>ROUND(SUMIFS(Regions!P:P,Regions!K:K,A48)/COUNTIFS(Regions!K:K,A48),0.1)</f>
        <v>5</v>
      </c>
      <c r="Q48" s="87">
        <f>Govt!P48+(M48*Govt!H48/100)</f>
        <v>9.1176807507571372E-2</v>
      </c>
      <c r="R48" s="28">
        <f>SUMIFS(Regions!O:O,Regions!K:K,A48)/COUNTIFS(Regions!K:K,A48)</f>
        <v>20.14</v>
      </c>
      <c r="S48" s="3">
        <f t="shared" si="10"/>
        <v>1.7500000000000002E-2</v>
      </c>
      <c r="T48" s="3">
        <f t="shared" si="13"/>
        <v>3.6956521739130435E-3</v>
      </c>
      <c r="U48" s="74">
        <v>0</v>
      </c>
      <c r="V48" s="12">
        <f t="shared" si="11"/>
        <v>1</v>
      </c>
      <c r="W48" s="3">
        <f t="shared" si="14"/>
        <v>0</v>
      </c>
      <c r="X48" s="3">
        <f t="shared" si="15"/>
        <v>0</v>
      </c>
      <c r="Y48" s="3">
        <f t="shared" si="16"/>
        <v>0</v>
      </c>
      <c r="Z48" s="3">
        <f t="shared" si="17"/>
        <v>0</v>
      </c>
      <c r="AA48" s="3">
        <f t="shared" si="18"/>
        <v>0</v>
      </c>
      <c r="AB48" s="3">
        <f t="shared" si="19"/>
        <v>0</v>
      </c>
      <c r="AJ48" s="3"/>
      <c r="AK48"/>
    </row>
    <row r="49" spans="1:37" x14ac:dyDescent="0.25">
      <c r="A49" t="s">
        <v>270</v>
      </c>
      <c r="B49" t="s">
        <v>271</v>
      </c>
      <c r="C49" s="9">
        <f>SUMIFS(Regions!C:C,Owner1,Stats!A49)</f>
        <v>1436348.6005089057</v>
      </c>
      <c r="D49" s="45">
        <f t="shared" si="12"/>
        <v>7</v>
      </c>
      <c r="E49" s="45">
        <f>CEILING(SUMIFS(Regions!F:F,Owner1,Stats!A49)*(1+X49),1)</f>
        <v>6</v>
      </c>
      <c r="F49" s="45">
        <f>CEILING(SUMIFS(Regions!E:E,Owner1,Stats!A49),1)</f>
        <v>23</v>
      </c>
      <c r="G49" s="45">
        <f t="shared" si="8"/>
        <v>10</v>
      </c>
      <c r="H49" s="14">
        <f>Govt!J49</f>
        <v>11</v>
      </c>
      <c r="I49" s="112">
        <f>ROUND(Govt!H49,0)</f>
        <v>8</v>
      </c>
      <c r="J49" s="107">
        <f>Govt!K49</f>
        <v>2.2752499999999998</v>
      </c>
      <c r="K49">
        <f>CEILING(SUMIFS(Regions!J:J,Owner1,Stats!A49)/10000,1)</f>
        <v>16</v>
      </c>
      <c r="L49" s="66">
        <f>Govt!I49</f>
        <v>5</v>
      </c>
      <c r="M49" s="14">
        <v>0</v>
      </c>
      <c r="N49" s="114">
        <v>0.5</v>
      </c>
      <c r="O49" s="130">
        <f t="shared" si="9"/>
        <v>22.513708498984762</v>
      </c>
      <c r="P49" s="131">
        <f>ROUND(SUMIFS(Regions!P:P,Regions!K:K,A49)/COUNTIFS(Regions!K:K,A49),0.1)</f>
        <v>7</v>
      </c>
      <c r="Q49" s="87">
        <f>Govt!P49+(M49*Govt!H49/100)</f>
        <v>0.10814384360235633</v>
      </c>
      <c r="R49" s="28">
        <f>SUMIFS(Regions!O:O,Regions!K:K,A49)/COUNTIFS(Regions!K:K,A49)</f>
        <v>16</v>
      </c>
      <c r="S49" s="3">
        <f t="shared" si="10"/>
        <v>2.5000000000000001E-2</v>
      </c>
      <c r="T49" s="3">
        <f t="shared" si="13"/>
        <v>3.4782608695652175E-3</v>
      </c>
      <c r="U49" s="74">
        <v>0</v>
      </c>
      <c r="V49" s="12">
        <f t="shared" si="11"/>
        <v>1</v>
      </c>
      <c r="W49" s="3">
        <f t="shared" si="14"/>
        <v>0</v>
      </c>
      <c r="X49" s="3">
        <f t="shared" si="15"/>
        <v>0</v>
      </c>
      <c r="Y49" s="3">
        <f t="shared" si="16"/>
        <v>0</v>
      </c>
      <c r="Z49" s="3">
        <f t="shared" si="17"/>
        <v>0</v>
      </c>
      <c r="AA49" s="3">
        <f t="shared" si="18"/>
        <v>0</v>
      </c>
      <c r="AB49" s="3">
        <f t="shared" si="19"/>
        <v>0</v>
      </c>
      <c r="AJ49" s="3"/>
      <c r="AK49"/>
    </row>
    <row r="50" spans="1:37" x14ac:dyDescent="0.25">
      <c r="A50" t="s">
        <v>272</v>
      </c>
      <c r="B50" t="s">
        <v>375</v>
      </c>
      <c r="C50" s="9">
        <f>SUMIFS(Regions!C:C,Owner1,Stats!A50)</f>
        <v>454795.16539440199</v>
      </c>
      <c r="D50" s="45">
        <f t="shared" si="12"/>
        <v>1</v>
      </c>
      <c r="E50" s="45">
        <f>CEILING(SUMIFS(Regions!F:F,Owner1,Stats!A50)*(1+X50),1)</f>
        <v>2</v>
      </c>
      <c r="F50" s="45">
        <f>CEILING(SUMIFS(Regions!E:E,Owner1,Stats!A50),1)</f>
        <v>7</v>
      </c>
      <c r="G50" s="45">
        <f t="shared" si="8"/>
        <v>2</v>
      </c>
      <c r="H50" s="14">
        <f>Govt!J50</f>
        <v>5</v>
      </c>
      <c r="I50" s="112">
        <f>ROUND(Govt!H50,0)</f>
        <v>5</v>
      </c>
      <c r="J50" s="107">
        <f>Govt!K50</f>
        <v>3.3530000000000002</v>
      </c>
      <c r="K50">
        <f>CEILING(SUMIFS(Regions!J:J,Owner1,Stats!A50)/10000,1)</f>
        <v>4</v>
      </c>
      <c r="L50" s="66">
        <f>Govt!I50</f>
        <v>4</v>
      </c>
      <c r="M50" s="14">
        <v>0</v>
      </c>
      <c r="N50" s="114">
        <v>0.1</v>
      </c>
      <c r="O50" s="130">
        <f t="shared" si="9"/>
        <v>19.559144603010211</v>
      </c>
      <c r="P50" s="131">
        <f>ROUND(SUMIFS(Regions!P:P,Regions!K:K,A50)/COUNTIFS(Regions!K:K,A50),0.1)</f>
        <v>5</v>
      </c>
      <c r="Q50" s="87">
        <f>Govt!P50+(M50*Govt!H50/100)</f>
        <v>7.1945370689408247E-2</v>
      </c>
      <c r="R50" s="28">
        <f>SUMIFS(Regions!O:O,Regions!K:K,A50)/COUNTIFS(Regions!K:K,A50)</f>
        <v>14.86</v>
      </c>
      <c r="S50" s="3">
        <f t="shared" si="10"/>
        <v>1.9999999999999997E-2</v>
      </c>
      <c r="T50" s="3">
        <f t="shared" si="13"/>
        <v>4.2857142857142859E-3</v>
      </c>
      <c r="U50" s="74">
        <v>0</v>
      </c>
      <c r="V50" s="12">
        <f t="shared" si="11"/>
        <v>1</v>
      </c>
      <c r="W50" s="3">
        <f t="shared" si="14"/>
        <v>0</v>
      </c>
      <c r="X50" s="3">
        <f t="shared" si="15"/>
        <v>0</v>
      </c>
      <c r="Y50" s="3">
        <f t="shared" si="16"/>
        <v>0</v>
      </c>
      <c r="Z50" s="3">
        <f t="shared" si="17"/>
        <v>0</v>
      </c>
      <c r="AA50" s="3">
        <f t="shared" si="18"/>
        <v>0</v>
      </c>
      <c r="AB50" s="3">
        <f t="shared" si="19"/>
        <v>0</v>
      </c>
      <c r="AJ50" s="3"/>
      <c r="AK50"/>
    </row>
    <row r="51" spans="1:37" x14ac:dyDescent="0.25">
      <c r="A51" t="s">
        <v>273</v>
      </c>
      <c r="B51" t="s">
        <v>274</v>
      </c>
      <c r="C51" s="9">
        <f>SUMIFS(Regions!C:C,Owner1,Stats!A51)</f>
        <v>1554199.1094147584</v>
      </c>
      <c r="D51" s="45">
        <f t="shared" si="12"/>
        <v>7</v>
      </c>
      <c r="E51" s="45">
        <f>CEILING(SUMIFS(Regions!F:F,Owner1,Stats!A51)*(1+X51),1)</f>
        <v>7</v>
      </c>
      <c r="F51" s="45">
        <f>CEILING(SUMIFS(Regions!E:E,Owner1,Stats!A51),1)</f>
        <v>25</v>
      </c>
      <c r="G51" s="45">
        <f t="shared" si="8"/>
        <v>10</v>
      </c>
      <c r="H51" s="14">
        <f>Govt!J51</f>
        <v>10</v>
      </c>
      <c r="I51" s="112">
        <f>ROUND(Govt!H51,0)</f>
        <v>8</v>
      </c>
      <c r="J51" s="107">
        <f>Govt!K51</f>
        <v>2.2752499999999998</v>
      </c>
      <c r="K51">
        <f>CEILING(SUMIFS(Regions!J:J,Owner1,Stats!A51)/10000,1)</f>
        <v>16</v>
      </c>
      <c r="L51" s="66">
        <f>Govt!I51</f>
        <v>3.5</v>
      </c>
      <c r="M51" s="14">
        <v>0</v>
      </c>
      <c r="N51" s="114">
        <v>0.5</v>
      </c>
      <c r="O51" s="130">
        <f t="shared" si="9"/>
        <v>22.513708498984762</v>
      </c>
      <c r="P51" s="131">
        <f>ROUND(SUMIFS(Regions!P:P,Regions!K:K,A51)/COUNTIFS(Regions!K:K,A51),0.1)</f>
        <v>6</v>
      </c>
      <c r="Q51" s="87">
        <f>Govt!P51+(M51*Govt!H51/100)</f>
        <v>0.10035448533709257</v>
      </c>
      <c r="R51" s="28">
        <f>SUMIFS(Regions!O:O,Regions!K:K,A51)/COUNTIFS(Regions!K:K,A51)</f>
        <v>16</v>
      </c>
      <c r="S51" s="3">
        <f t="shared" si="10"/>
        <v>1.7500000000000002E-2</v>
      </c>
      <c r="T51" s="3">
        <f t="shared" si="13"/>
        <v>3.5999999999999999E-3</v>
      </c>
      <c r="U51" s="74">
        <v>0</v>
      </c>
      <c r="V51" s="12">
        <f t="shared" si="11"/>
        <v>1</v>
      </c>
      <c r="W51" s="3">
        <f t="shared" si="14"/>
        <v>0</v>
      </c>
      <c r="X51" s="3">
        <f t="shared" si="15"/>
        <v>0</v>
      </c>
      <c r="Y51" s="3">
        <f t="shared" si="16"/>
        <v>0</v>
      </c>
      <c r="Z51" s="3">
        <f t="shared" si="17"/>
        <v>0</v>
      </c>
      <c r="AA51" s="3">
        <f t="shared" si="18"/>
        <v>0</v>
      </c>
      <c r="AB51" s="3">
        <f t="shared" si="19"/>
        <v>0</v>
      </c>
      <c r="AJ51" s="3"/>
      <c r="AK51"/>
    </row>
    <row r="52" spans="1:37" x14ac:dyDescent="0.25">
      <c r="A52" t="s">
        <v>72</v>
      </c>
      <c r="B52" t="s">
        <v>382</v>
      </c>
      <c r="C52" s="9">
        <f>SUMIFS(Regions!C:C,Owner1,Stats!A52)</f>
        <v>8315089.0585241728</v>
      </c>
      <c r="D52" s="45">
        <f t="shared" si="12"/>
        <v>43</v>
      </c>
      <c r="E52" s="45">
        <f>CEILING(SUMIFS(Regions!F:F,Owner1,Stats!A52)*(1+X52),1)</f>
        <v>57</v>
      </c>
      <c r="F52" s="45">
        <f>CEILING(SUMIFS(Regions!E:E,Owner1,Stats!A52),1)</f>
        <v>168</v>
      </c>
      <c r="G52" s="45">
        <f t="shared" si="8"/>
        <v>44</v>
      </c>
      <c r="H52" s="14">
        <f>Govt!J52</f>
        <v>10</v>
      </c>
      <c r="I52" s="112">
        <f>ROUND(Govt!H52,0)</f>
        <v>5</v>
      </c>
      <c r="J52" s="107">
        <f>Govt!K52</f>
        <v>2.6345000000000001</v>
      </c>
      <c r="K52">
        <f>CEILING(SUMIFS(Regions!J:J,Owner1,Stats!A52)/10000,1)</f>
        <v>67</v>
      </c>
      <c r="L52" s="66">
        <f>Govt!I52</f>
        <v>7</v>
      </c>
      <c r="M52" s="14">
        <v>0</v>
      </c>
      <c r="N52" s="114">
        <v>0.35</v>
      </c>
      <c r="O52" s="130">
        <f t="shared" si="9"/>
        <v>32.05498468316263</v>
      </c>
      <c r="P52" s="131">
        <f>ROUND(SUMIFS(Regions!P:P,Regions!K:K,A52)/COUNTIFS(Regions!K:K,A52),0.1)</f>
        <v>4</v>
      </c>
      <c r="Q52" s="87">
        <f>Govt!P52+(M52*Govt!H52/100)</f>
        <v>8.0439294586889337E-2</v>
      </c>
      <c r="R52" s="28">
        <f>SUMIFS(Regions!O:O,Regions!K:K,A52)/COUNTIFS(Regions!K:K,A52)</f>
        <v>20.14</v>
      </c>
      <c r="S52" s="3">
        <f t="shared" si="10"/>
        <v>3.5000000000000003E-2</v>
      </c>
      <c r="T52" s="3">
        <f t="shared" si="13"/>
        <v>3.7202380952380955E-3</v>
      </c>
      <c r="U52" s="74">
        <v>0</v>
      </c>
      <c r="V52" s="12">
        <f t="shared" si="11"/>
        <v>1</v>
      </c>
      <c r="W52" s="3">
        <f t="shared" si="14"/>
        <v>0</v>
      </c>
      <c r="X52" s="3">
        <f t="shared" si="15"/>
        <v>0</v>
      </c>
      <c r="Y52" s="3">
        <f t="shared" si="16"/>
        <v>0</v>
      </c>
      <c r="Z52" s="3">
        <f t="shared" si="17"/>
        <v>0</v>
      </c>
      <c r="AA52" s="3">
        <f t="shared" si="18"/>
        <v>0</v>
      </c>
      <c r="AB52" s="3">
        <f t="shared" si="19"/>
        <v>0</v>
      </c>
      <c r="AJ52" s="3"/>
      <c r="AK52"/>
    </row>
    <row r="53" spans="1:37" x14ac:dyDescent="0.25">
      <c r="A53" t="s">
        <v>275</v>
      </c>
      <c r="B53" t="s">
        <v>276</v>
      </c>
      <c r="C53" s="9">
        <f>SUMIFS(Regions!C:C,Owner1,Stats!A53)</f>
        <v>1631697.8371501272</v>
      </c>
      <c r="D53" s="45">
        <f t="shared" si="12"/>
        <v>7</v>
      </c>
      <c r="E53" s="45">
        <f>CEILING(SUMIFS(Regions!F:F,Owner1,Stats!A53)*(1+X53),1)</f>
        <v>10</v>
      </c>
      <c r="F53" s="45">
        <f>CEILING(SUMIFS(Regions!E:E,Owner1,Stats!A53),1)</f>
        <v>31</v>
      </c>
      <c r="G53" s="45">
        <f t="shared" si="8"/>
        <v>8</v>
      </c>
      <c r="H53" s="14">
        <f>Govt!J53</f>
        <v>9</v>
      </c>
      <c r="I53" s="112">
        <f>ROUND(Govt!H53,0)</f>
        <v>6</v>
      </c>
      <c r="J53" s="107">
        <f>Govt!K53</f>
        <v>1.7962500000000001</v>
      </c>
      <c r="K53">
        <f>CEILING(SUMIFS(Regions!J:J,Owner1,Stats!A53)/10000,1)</f>
        <v>12</v>
      </c>
      <c r="L53" s="66">
        <f>Govt!I53</f>
        <v>6</v>
      </c>
      <c r="M53" s="14">
        <v>0</v>
      </c>
      <c r="N53" s="114">
        <v>0.2</v>
      </c>
      <c r="O53" s="130">
        <f t="shared" si="9"/>
        <v>25.112061420119215</v>
      </c>
      <c r="P53" s="131">
        <f>ROUND(SUMIFS(Regions!P:P,Regions!K:K,A53)/COUNTIFS(Regions!K:K,A53),0.1)</f>
        <v>4</v>
      </c>
      <c r="Q53" s="87">
        <f>Govt!P53+(M53*Govt!H53/100)</f>
        <v>7.2057505444673084E-2</v>
      </c>
      <c r="R53" s="28">
        <f>SUMIFS(Regions!O:O,Regions!K:K,A53)/COUNTIFS(Regions!K:K,A53)</f>
        <v>18.64</v>
      </c>
      <c r="S53" s="3">
        <f t="shared" si="10"/>
        <v>0.03</v>
      </c>
      <c r="T53" s="3">
        <f t="shared" si="13"/>
        <v>3.8709677419354839E-3</v>
      </c>
      <c r="U53" s="74">
        <v>0</v>
      </c>
      <c r="V53" s="12">
        <f t="shared" si="11"/>
        <v>1</v>
      </c>
      <c r="W53" s="3">
        <f t="shared" si="14"/>
        <v>0</v>
      </c>
      <c r="X53" s="3">
        <f t="shared" si="15"/>
        <v>0</v>
      </c>
      <c r="Y53" s="3">
        <f t="shared" si="16"/>
        <v>0</v>
      </c>
      <c r="Z53" s="3">
        <f t="shared" si="17"/>
        <v>0</v>
      </c>
      <c r="AA53" s="3">
        <f t="shared" si="18"/>
        <v>0</v>
      </c>
      <c r="AB53" s="3">
        <f t="shared" si="19"/>
        <v>0</v>
      </c>
      <c r="AJ53" s="3"/>
      <c r="AK53"/>
    </row>
    <row r="54" spans="1:37" x14ac:dyDescent="0.25">
      <c r="A54" t="s">
        <v>350</v>
      </c>
      <c r="B54" t="s">
        <v>351</v>
      </c>
      <c r="C54" s="9">
        <f>SUMIFS(Regions!C:C,Owner1,Stats!A54)</f>
        <v>597555.97964376595</v>
      </c>
      <c r="D54" s="45">
        <f t="shared" si="12"/>
        <v>4</v>
      </c>
      <c r="E54" s="45">
        <f>CEILING(SUMIFS(Regions!F:F,Owner1,Stats!A54)*(1+X54),1)</f>
        <v>3</v>
      </c>
      <c r="F54" s="45">
        <f>CEILING(SUMIFS(Regions!E:E,Owner1,Stats!A54),1)</f>
        <v>11</v>
      </c>
      <c r="G54" s="45">
        <f t="shared" si="8"/>
        <v>4</v>
      </c>
      <c r="H54" s="14">
        <f>Govt!J56</f>
        <v>12</v>
      </c>
      <c r="I54" s="112">
        <f>ROUND(Govt!H54,0)</f>
        <v>9</v>
      </c>
      <c r="J54" s="107">
        <f>Govt!K54</f>
        <v>2.2752499999999998</v>
      </c>
      <c r="K54">
        <f>CEILING(SUMIFS(Regions!J:J,Owner1,Stats!A54)/10000,1)</f>
        <v>7</v>
      </c>
      <c r="L54" s="66">
        <f>Govt!I56</f>
        <v>7</v>
      </c>
      <c r="M54" s="14">
        <v>0</v>
      </c>
      <c r="N54" s="114">
        <v>0.22500000000000001</v>
      </c>
      <c r="O54" s="130">
        <f t="shared" si="9"/>
        <v>18.543136862175935</v>
      </c>
      <c r="P54" s="131">
        <f>ROUND(SUMIFS(Regions!P:P,Regions!K:K,A54)/COUNTIFS(Regions!K:K,A54),0.1)</f>
        <v>6</v>
      </c>
      <c r="Q54" s="87">
        <f>Govt!P54+(M54*Govt!H54/100)</f>
        <v>0.10156431012372943</v>
      </c>
      <c r="R54" s="28">
        <f>SUMIFS(Regions!O:O,Regions!K:K,A54)/COUNTIFS(Regions!K:K,A54)</f>
        <v>17.260000000000002</v>
      </c>
      <c r="S54" s="3">
        <f t="shared" si="10"/>
        <v>3.5000000000000003E-2</v>
      </c>
      <c r="T54" s="3">
        <f t="shared" si="13"/>
        <v>3.1818181818181819E-3</v>
      </c>
      <c r="U54" s="74">
        <v>0</v>
      </c>
      <c r="V54" s="12">
        <f t="shared" si="11"/>
        <v>1</v>
      </c>
      <c r="W54" s="3">
        <f t="shared" si="14"/>
        <v>0</v>
      </c>
      <c r="X54" s="3">
        <f t="shared" si="15"/>
        <v>0</v>
      </c>
      <c r="Y54" s="3">
        <f t="shared" si="16"/>
        <v>0</v>
      </c>
      <c r="Z54" s="3">
        <f t="shared" si="17"/>
        <v>0</v>
      </c>
      <c r="AA54" s="3">
        <f t="shared" si="18"/>
        <v>0</v>
      </c>
      <c r="AB54" s="3">
        <f t="shared" si="19"/>
        <v>0</v>
      </c>
      <c r="AJ54" s="3"/>
      <c r="AK54"/>
    </row>
    <row r="55" spans="1:37" x14ac:dyDescent="0.25">
      <c r="A55" t="s">
        <v>380</v>
      </c>
      <c r="B55" t="s">
        <v>381</v>
      </c>
      <c r="C55" s="9">
        <f>SUMIFS(Regions!C:C,Owner1,Stats!A55)</f>
        <v>2071925.572519084</v>
      </c>
      <c r="D55" s="45">
        <f t="shared" ref="D55" si="20">CEILING(F55*(((20+H55*3)/100)^2+(L55-6)/1000)*(1+W55),1)</f>
        <v>13</v>
      </c>
      <c r="E55" s="45">
        <f>CEILING(SUMIFS(Regions!F:F,Owner1,Stats!A55)*(1+X55),1)</f>
        <v>12</v>
      </c>
      <c r="F55" s="45">
        <f>CEILING(SUMIFS(Regions!E:E,Owner1,Stats!A55),1)</f>
        <v>39</v>
      </c>
      <c r="G55" s="45">
        <f t="shared" si="8"/>
        <v>14</v>
      </c>
      <c r="H55" s="14">
        <f>Govt!J57</f>
        <v>12</v>
      </c>
      <c r="I55" s="112">
        <f>ROUND(Govt!H55,0)</f>
        <v>9</v>
      </c>
      <c r="J55" s="107">
        <f>Govt!K55</f>
        <v>2.6345000000000001</v>
      </c>
      <c r="K55">
        <f>CEILING(SUMIFS(Regions!J:J,Owner1,Stats!A55)/10000,1)</f>
        <v>22</v>
      </c>
      <c r="L55" s="66">
        <f>Govt!I57</f>
        <v>8</v>
      </c>
      <c r="M55" s="14">
        <v>0</v>
      </c>
      <c r="N55" s="114">
        <v>0.2</v>
      </c>
      <c r="O55" s="130">
        <f t="shared" si="9"/>
        <v>19.520061420119212</v>
      </c>
      <c r="P55" s="131">
        <f>ROUND(SUMIFS(Regions!P:P,Regions!K:K,A55)/COUNTIFS(Regions!K:K,A55),0.1)</f>
        <v>6</v>
      </c>
      <c r="Q55" s="87">
        <f>Govt!P56+(M55*Govt!H56/100)</f>
        <v>0.10362286843953109</v>
      </c>
      <c r="R55" s="28">
        <f>SUMIFS(Regions!O:O,Regions!K:K,A55)/COUNTIFS(Regions!K:K,A55)</f>
        <v>18.639999999999997</v>
      </c>
      <c r="S55" s="3">
        <f t="shared" si="10"/>
        <v>3.9999999999999994E-2</v>
      </c>
      <c r="T55" s="3">
        <f t="shared" si="13"/>
        <v>3.3333333333333331E-3</v>
      </c>
      <c r="U55" s="74">
        <v>0</v>
      </c>
      <c r="V55" s="12">
        <f t="shared" si="11"/>
        <v>1</v>
      </c>
      <c r="W55" s="3">
        <f t="shared" ref="W55" si="21">SUMIFS(ModEP,ModTags,A55)</f>
        <v>0</v>
      </c>
      <c r="X55" s="3">
        <f t="shared" ref="X55" si="22">SUMIFS(ModIC,ModTags,A55)</f>
        <v>0</v>
      </c>
      <c r="Y55" s="3">
        <f t="shared" si="16"/>
        <v>0</v>
      </c>
      <c r="Z55" s="3">
        <f t="shared" si="17"/>
        <v>0</v>
      </c>
      <c r="AA55" s="3">
        <f t="shared" si="18"/>
        <v>0</v>
      </c>
      <c r="AB55" s="3">
        <f t="shared" si="19"/>
        <v>0</v>
      </c>
      <c r="AJ55" s="3"/>
      <c r="AK55"/>
    </row>
    <row r="56" spans="1:37" x14ac:dyDescent="0.25">
      <c r="A56" t="s">
        <v>277</v>
      </c>
      <c r="B56" t="s">
        <v>278</v>
      </c>
      <c r="C56" s="9">
        <f>SUMIFS(Regions!C:C,Owner1,Stats!A56)</f>
        <v>2422000</v>
      </c>
      <c r="D56" s="45">
        <f t="shared" si="12"/>
        <v>13</v>
      </c>
      <c r="E56" s="45">
        <f>CEILING(SUMIFS(Regions!F:F,Owner1,Stats!A56)*(1+X56),1)</f>
        <v>10</v>
      </c>
      <c r="F56" s="45">
        <f>CEILING(SUMIFS(Regions!E:E,Owner1,Stats!A56),1)</f>
        <v>39</v>
      </c>
      <c r="G56" s="45">
        <f t="shared" si="8"/>
        <v>17</v>
      </c>
      <c r="H56" s="14">
        <f>Govt!J56</f>
        <v>12</v>
      </c>
      <c r="I56" s="112">
        <f>ROUND(Govt!H56,0)</f>
        <v>6</v>
      </c>
      <c r="J56" s="107">
        <f>Govt!K56</f>
        <v>2.2752499999999998</v>
      </c>
      <c r="K56">
        <f>CEILING(SUMIFS(Regions!J:J,Owner1,Stats!A56)/10000,1)</f>
        <v>26</v>
      </c>
      <c r="L56" s="66">
        <f>Govt!I56</f>
        <v>7</v>
      </c>
      <c r="M56" s="14">
        <v>0</v>
      </c>
      <c r="N56" s="114">
        <v>0.35</v>
      </c>
      <c r="O56" s="130">
        <f t="shared" si="9"/>
        <v>23.865727652959389</v>
      </c>
      <c r="P56" s="131">
        <f>ROUND(SUMIFS(Regions!P:P,Regions!K:K,A56)/COUNTIFS(Regions!K:K,A56),0.1)</f>
        <v>6</v>
      </c>
      <c r="Q56" s="87">
        <f>Govt!P56+(M56*Govt!H56/100)</f>
        <v>0.10362286843953109</v>
      </c>
      <c r="R56" s="28">
        <f>SUMIFS(Regions!O:O,Regions!K:K,A56)/COUNTIFS(Regions!K:K,A56)</f>
        <v>16.000000000000004</v>
      </c>
      <c r="S56" s="3">
        <f t="shared" si="10"/>
        <v>3.5000000000000003E-2</v>
      </c>
      <c r="T56" s="3">
        <f t="shared" si="13"/>
        <v>3.3333333333333331E-3</v>
      </c>
      <c r="U56" s="74">
        <v>0</v>
      </c>
      <c r="V56" s="12">
        <f t="shared" si="11"/>
        <v>1</v>
      </c>
      <c r="W56" s="3">
        <f t="shared" si="14"/>
        <v>0</v>
      </c>
      <c r="X56" s="3">
        <f t="shared" si="15"/>
        <v>0</v>
      </c>
      <c r="Y56" s="3">
        <f t="shared" si="16"/>
        <v>0</v>
      </c>
      <c r="Z56" s="3">
        <f t="shared" si="17"/>
        <v>0</v>
      </c>
      <c r="AA56" s="3">
        <f t="shared" si="18"/>
        <v>0</v>
      </c>
      <c r="AB56" s="3">
        <f t="shared" si="19"/>
        <v>0</v>
      </c>
      <c r="AJ56" s="3"/>
      <c r="AK56"/>
    </row>
    <row r="57" spans="1:37" x14ac:dyDescent="0.25">
      <c r="A57" t="s">
        <v>200</v>
      </c>
      <c r="B57" t="s">
        <v>280</v>
      </c>
      <c r="C57" s="9">
        <f>SUMIFS(Regions!C:C,Owner1,Stats!A57)</f>
        <v>362286.38146644674</v>
      </c>
      <c r="D57" s="45">
        <f t="shared" si="12"/>
        <v>2</v>
      </c>
      <c r="E57" s="45">
        <f>CEILING(SUMIFS(Regions!F:F,Owner1,Stats!A57)*(1+X57),1)</f>
        <v>1</v>
      </c>
      <c r="F57" s="45">
        <f>CEILING(SUMIFS(Regions!E:E,Owner1,Stats!A57),1)</f>
        <v>5</v>
      </c>
      <c r="G57" s="45">
        <f t="shared" si="8"/>
        <v>2</v>
      </c>
      <c r="H57" s="14">
        <f>Govt!J57</f>
        <v>12</v>
      </c>
      <c r="I57" s="112">
        <f>ROUND(Govt!H57,0)</f>
        <v>7</v>
      </c>
      <c r="J57" s="107">
        <f>Govt!K57</f>
        <v>1.7962500000000001</v>
      </c>
      <c r="K57">
        <f>CEILING(SUMIFS(Regions!J:J,Owner1,Stats!A57)/10000,1)</f>
        <v>3</v>
      </c>
      <c r="L57" s="66">
        <f>Govt!I57</f>
        <v>8</v>
      </c>
      <c r="M57" s="14">
        <v>0</v>
      </c>
      <c r="N57" s="114">
        <f>Govt!AN57</f>
        <v>0.55000000000000004</v>
      </c>
      <c r="O57" s="130">
        <f t="shared" si="9"/>
        <v>18.746097360308323</v>
      </c>
      <c r="P57" s="131">
        <f>ROUND(SUMIFS(Regions!P:P,Regions!K:K,A57)/COUNTIFS(Regions!K:K,A57),0.1)</f>
        <v>5</v>
      </c>
      <c r="Q57" s="87">
        <f>Govt!P57+(M57*Govt!H57/100)</f>
        <v>6.6189809707317554E-2</v>
      </c>
      <c r="R57" s="28">
        <f>SUMIFS(Regions!O:O,Regions!K:K,A57)/COUNTIFS(Regions!K:K,A57)</f>
        <v>12.159999999999998</v>
      </c>
      <c r="S57" s="3">
        <f t="shared" si="10"/>
        <v>3.9999999999999994E-2</v>
      </c>
      <c r="T57" s="3">
        <f t="shared" si="13"/>
        <v>3.0000000000000001E-3</v>
      </c>
      <c r="U57" s="74">
        <v>0</v>
      </c>
      <c r="V57" s="12">
        <f t="shared" si="11"/>
        <v>1</v>
      </c>
      <c r="W57" s="3">
        <f t="shared" si="14"/>
        <v>0</v>
      </c>
      <c r="X57" s="3">
        <f t="shared" si="15"/>
        <v>0</v>
      </c>
      <c r="Y57" s="3">
        <f t="shared" si="16"/>
        <v>0</v>
      </c>
      <c r="Z57" s="3">
        <f t="shared" si="17"/>
        <v>0</v>
      </c>
      <c r="AA57" s="3">
        <f t="shared" si="18"/>
        <v>0</v>
      </c>
      <c r="AB57" s="3">
        <f t="shared" si="19"/>
        <v>0</v>
      </c>
      <c r="AJ57" s="3"/>
      <c r="AK57"/>
    </row>
    <row r="58" spans="1:37" x14ac:dyDescent="0.25">
      <c r="A58" t="s">
        <v>201</v>
      </c>
      <c r="B58" t="s">
        <v>281</v>
      </c>
      <c r="C58" s="9">
        <f>SUMIFS(Regions!C:C,Owner1,Stats!A58)</f>
        <v>3542195.6489990884</v>
      </c>
      <c r="D58" s="45">
        <f t="shared" si="12"/>
        <v>14</v>
      </c>
      <c r="E58" s="45">
        <f>CEILING(SUMIFS(Regions!F:F,Owner1,Stats!A58)*(1+X58),1)</f>
        <v>6</v>
      </c>
      <c r="F58" s="45">
        <f>CEILING(SUMIFS(Regions!E:E,Owner1,Stats!A58),1)</f>
        <v>44</v>
      </c>
      <c r="G58" s="45">
        <f t="shared" si="8"/>
        <v>16</v>
      </c>
      <c r="H58" s="14">
        <f>Govt!J58</f>
        <v>12</v>
      </c>
      <c r="I58" s="112">
        <f>ROUND(Govt!H58,0)</f>
        <v>7</v>
      </c>
      <c r="J58" s="107">
        <f>Govt!K58</f>
        <v>1.7962500000000001</v>
      </c>
      <c r="K58">
        <f>CEILING(SUMIFS(Regions!J:J,Owner1,Stats!A58)/10000,1)</f>
        <v>24</v>
      </c>
      <c r="L58" s="66">
        <f>Govt!I58</f>
        <v>8</v>
      </c>
      <c r="M58" s="14">
        <v>0</v>
      </c>
      <c r="N58" s="114">
        <v>0.45</v>
      </c>
      <c r="O58" s="130">
        <f t="shared" si="9"/>
        <v>17.885175981919232</v>
      </c>
      <c r="P58" s="131">
        <f>ROUND(SUMIFS(Regions!P:P,Regions!K:K,A58)/COUNTIFS(Regions!K:K,A58),0.1)</f>
        <v>5</v>
      </c>
      <c r="Q58" s="87">
        <f>Govt!P58+(M58*Govt!H58/100)</f>
        <v>6.6189809707317554E-2</v>
      </c>
      <c r="R58" s="28">
        <f>SUMIFS(Regions!O:O,Regions!K:K,A58)/COUNTIFS(Regions!K:K,A58)</f>
        <v>12.16</v>
      </c>
      <c r="S58" s="3">
        <f t="shared" si="10"/>
        <v>3.9999999999999994E-2</v>
      </c>
      <c r="T58" s="3">
        <f t="shared" si="13"/>
        <v>3.4090909090909089E-3</v>
      </c>
      <c r="U58" s="74">
        <v>0</v>
      </c>
      <c r="V58" s="12">
        <f t="shared" si="11"/>
        <v>1</v>
      </c>
      <c r="W58" s="3">
        <f t="shared" si="14"/>
        <v>0</v>
      </c>
      <c r="X58" s="3">
        <f t="shared" si="15"/>
        <v>0</v>
      </c>
      <c r="Y58" s="3">
        <f t="shared" si="16"/>
        <v>0</v>
      </c>
      <c r="Z58" s="3">
        <f t="shared" si="17"/>
        <v>0</v>
      </c>
      <c r="AA58" s="3">
        <f t="shared" si="18"/>
        <v>0</v>
      </c>
      <c r="AB58" s="3">
        <f t="shared" si="19"/>
        <v>0</v>
      </c>
      <c r="AJ58" s="3"/>
      <c r="AK58"/>
    </row>
    <row r="59" spans="1:37" x14ac:dyDescent="0.25">
      <c r="A59" t="s">
        <v>282</v>
      </c>
      <c r="B59" t="s">
        <v>283</v>
      </c>
      <c r="C59" s="9">
        <f>SUMIFS(Regions!C:C,Owner1,Stats!A59)</f>
        <v>71644.151030458292</v>
      </c>
      <c r="D59" s="45">
        <f t="shared" si="12"/>
        <v>1</v>
      </c>
      <c r="E59" s="45">
        <f>CEILING(SUMIFS(Regions!F:F,Owner1,Stats!A59)*(1+X59),1)</f>
        <v>1</v>
      </c>
      <c r="F59" s="45">
        <f>CEILING(SUMIFS(Regions!E:E,Owner1,Stats!A59),1)</f>
        <v>1</v>
      </c>
      <c r="G59" s="45">
        <f t="shared" si="8"/>
        <v>0</v>
      </c>
      <c r="H59" s="14">
        <f>Govt!J59</f>
        <v>12</v>
      </c>
      <c r="I59" s="112">
        <f>ROUND(Govt!H59,0)</f>
        <v>7</v>
      </c>
      <c r="J59" s="107">
        <f>Govt!K59</f>
        <v>1.7962500000000001</v>
      </c>
      <c r="K59">
        <f>CEILING(SUMIFS(Regions!J:J,Owner1,Stats!A59)/10000,1)</f>
        <v>1</v>
      </c>
      <c r="L59" s="66">
        <f>Govt!I59</f>
        <v>8</v>
      </c>
      <c r="M59" s="14">
        <v>0</v>
      </c>
      <c r="N59" s="114">
        <v>0.5</v>
      </c>
      <c r="O59" s="130">
        <f t="shared" si="9"/>
        <v>18.326418459228417</v>
      </c>
      <c r="P59" s="131">
        <f>ROUND(SUMIFS(Regions!P:P,Regions!K:K,A59)/COUNTIFS(Regions!K:K,A59),0.1)</f>
        <v>5</v>
      </c>
      <c r="Q59" s="87">
        <f>Govt!P59+(M59*Govt!H59/100)</f>
        <v>6.6189809707317554E-2</v>
      </c>
      <c r="R59" s="28">
        <f>SUMIFS(Regions!O:O,Regions!K:K,A59)/COUNTIFS(Regions!K:K,A59)</f>
        <v>12.16</v>
      </c>
      <c r="S59" s="3">
        <f t="shared" si="10"/>
        <v>3.9999999999999994E-2</v>
      </c>
      <c r="T59" s="3">
        <f t="shared" si="13"/>
        <v>0</v>
      </c>
      <c r="U59" s="74">
        <v>0</v>
      </c>
      <c r="V59" s="12">
        <f t="shared" si="11"/>
        <v>1</v>
      </c>
      <c r="W59" s="3">
        <f t="shared" si="14"/>
        <v>0</v>
      </c>
      <c r="X59" s="3">
        <f t="shared" si="15"/>
        <v>0</v>
      </c>
      <c r="Y59" s="3">
        <f t="shared" si="16"/>
        <v>0</v>
      </c>
      <c r="Z59" s="3">
        <f t="shared" si="17"/>
        <v>0</v>
      </c>
      <c r="AA59" s="3">
        <f t="shared" si="18"/>
        <v>0</v>
      </c>
      <c r="AB59" s="3">
        <f t="shared" si="19"/>
        <v>0</v>
      </c>
      <c r="AJ59" s="3"/>
      <c r="AK59"/>
    </row>
    <row r="60" spans="1:37" x14ac:dyDescent="0.25">
      <c r="A60" t="s">
        <v>284</v>
      </c>
      <c r="B60" t="s">
        <v>464</v>
      </c>
      <c r="C60" s="9">
        <f>SUMIFS(Regions!C:C,Owner1,Stats!A60)</f>
        <v>12392000</v>
      </c>
      <c r="D60" s="45">
        <f t="shared" si="12"/>
        <v>9</v>
      </c>
      <c r="E60" s="45">
        <f>CEILING(SUMIFS(Regions!F:F,Owner1,Stats!A60)*(1+X60),1)</f>
        <v>8</v>
      </c>
      <c r="F60" s="45">
        <f>CEILING(SUMIFS(Regions!E:E,Owner1,Stats!A60),1)</f>
        <v>34</v>
      </c>
      <c r="G60" s="45">
        <f t="shared" si="8"/>
        <v>17</v>
      </c>
      <c r="H60" s="14">
        <f>Govt!J60</f>
        <v>10</v>
      </c>
      <c r="I60" s="112">
        <f>ROUND(Govt!H60,0)</f>
        <v>5</v>
      </c>
      <c r="J60" s="107">
        <f>Govt!K60</f>
        <v>1.7962500000000001</v>
      </c>
      <c r="K60">
        <f>CEILING(SUMIFS(Regions!J:J,Owner1,Stats!A60)/10000,1)</f>
        <v>26</v>
      </c>
      <c r="L60" s="66">
        <f>Govt!I60</f>
        <v>6</v>
      </c>
      <c r="M60" s="14">
        <v>0</v>
      </c>
      <c r="N60" s="114">
        <v>0.15</v>
      </c>
      <c r="O60" s="130">
        <f t="shared" si="9"/>
        <v>15.204789747443328</v>
      </c>
      <c r="P60" s="131">
        <f>ROUND(SUMIFS(Regions!P:P,Regions!K:K,A60)/COUNTIFS(Regions!K:K,A60),0.1)</f>
        <v>2</v>
      </c>
      <c r="Q60" s="87">
        <f>Govt!P60+(M60*Govt!H60/100)</f>
        <v>8.139242761293751E-2</v>
      </c>
      <c r="R60" s="28">
        <f>SUMIFS(Regions!O:O,Regions!K:K,A60)/COUNTIFS(Regions!K:K,A60)</f>
        <v>10.959999999999999</v>
      </c>
      <c r="S60" s="3">
        <f t="shared" si="10"/>
        <v>0.03</v>
      </c>
      <c r="T60" s="3">
        <f t="shared" si="13"/>
        <v>3.6764705882352945E-3</v>
      </c>
      <c r="U60" s="74">
        <v>0</v>
      </c>
      <c r="V60" s="12">
        <f t="shared" si="11"/>
        <v>1</v>
      </c>
      <c r="W60" s="3">
        <f t="shared" si="14"/>
        <v>0</v>
      </c>
      <c r="X60" s="3">
        <f t="shared" si="15"/>
        <v>0</v>
      </c>
      <c r="Y60" s="3">
        <f t="shared" si="16"/>
        <v>0</v>
      </c>
      <c r="Z60" s="3">
        <f t="shared" si="17"/>
        <v>0</v>
      </c>
      <c r="AA60" s="3">
        <f t="shared" si="18"/>
        <v>0</v>
      </c>
      <c r="AB60" s="3">
        <f t="shared" si="19"/>
        <v>0</v>
      </c>
      <c r="AJ60" s="3"/>
      <c r="AK60"/>
    </row>
    <row r="61" spans="1:37" x14ac:dyDescent="0.25">
      <c r="C61"/>
      <c r="D61" s="45"/>
      <c r="R61" s="28"/>
      <c r="Y61" s="12"/>
      <c r="AA61" s="29"/>
      <c r="AJ61" s="3"/>
      <c r="AK61"/>
    </row>
    <row r="62" spans="1:37" x14ac:dyDescent="0.25">
      <c r="C62"/>
      <c r="D62" s="45"/>
      <c r="R62" s="28"/>
      <c r="Y62" s="12"/>
      <c r="AA62" s="29"/>
      <c r="AJ62" s="3"/>
      <c r="AK62"/>
    </row>
    <row r="63" spans="1:37" x14ac:dyDescent="0.25">
      <c r="C63"/>
      <c r="D63" s="45"/>
      <c r="R63" s="28"/>
      <c r="Y63" s="12"/>
      <c r="AA63" s="29"/>
      <c r="AJ63" s="3"/>
      <c r="AK63"/>
    </row>
    <row r="64" spans="1:37" x14ac:dyDescent="0.25">
      <c r="C64"/>
      <c r="D64" s="45"/>
      <c r="R64" s="28"/>
      <c r="Y64" s="12"/>
      <c r="AA64" s="29"/>
      <c r="AJ64" s="3"/>
      <c r="AK64"/>
    </row>
    <row r="65" spans="3:37" x14ac:dyDescent="0.25">
      <c r="C65"/>
      <c r="D65" s="45"/>
      <c r="R65" s="28"/>
      <c r="Y65" s="12"/>
      <c r="AA65" s="29"/>
      <c r="AJ65" s="3"/>
      <c r="AK65"/>
    </row>
    <row r="66" spans="3:37" x14ac:dyDescent="0.25">
      <c r="C66"/>
      <c r="D66" s="45"/>
      <c r="R66" s="28"/>
      <c r="Y66" s="12"/>
      <c r="AA66" s="29"/>
      <c r="AJ66" s="3"/>
      <c r="AK66"/>
    </row>
    <row r="67" spans="3:37" x14ac:dyDescent="0.25">
      <c r="C67"/>
      <c r="D67" s="45"/>
      <c r="R67" s="28"/>
      <c r="Y67" s="12"/>
      <c r="AA67" s="29"/>
      <c r="AJ67" s="3"/>
      <c r="AK67"/>
    </row>
    <row r="68" spans="3:37" x14ac:dyDescent="0.25">
      <c r="C68"/>
      <c r="D68" s="45"/>
      <c r="R68" s="28"/>
      <c r="Y68" s="12"/>
      <c r="AA68" s="29"/>
      <c r="AJ68" s="3"/>
      <c r="AK68"/>
    </row>
    <row r="69" spans="3:37" x14ac:dyDescent="0.25">
      <c r="C69"/>
      <c r="D69" s="45"/>
      <c r="R69" s="28"/>
      <c r="Y69" s="12"/>
      <c r="AA69" s="29"/>
      <c r="AJ69" s="3"/>
      <c r="AK69"/>
    </row>
    <row r="70" spans="3:37" x14ac:dyDescent="0.25">
      <c r="C70"/>
      <c r="D70" s="45"/>
      <c r="R70" s="28"/>
      <c r="Y70" s="12"/>
      <c r="AA70" s="29"/>
      <c r="AJ70" s="3"/>
      <c r="AK70"/>
    </row>
    <row r="71" spans="3:37" x14ac:dyDescent="0.25">
      <c r="C71"/>
      <c r="D71" s="45"/>
      <c r="R71" s="28"/>
      <c r="Y71" s="12"/>
      <c r="AA71" s="29"/>
      <c r="AJ71" s="3"/>
      <c r="AK71"/>
    </row>
    <row r="72" spans="3:37" x14ac:dyDescent="0.25">
      <c r="C72"/>
      <c r="D72" s="45"/>
      <c r="R72" s="28"/>
      <c r="Y72" s="12"/>
      <c r="AA72" s="29"/>
      <c r="AJ72" s="3"/>
      <c r="AK72"/>
    </row>
    <row r="73" spans="3:37" x14ac:dyDescent="0.25">
      <c r="C73"/>
      <c r="D73" s="45"/>
      <c r="R73" s="28"/>
      <c r="Y73" s="12"/>
      <c r="AA73" s="29"/>
      <c r="AJ73" s="3"/>
      <c r="AK73"/>
    </row>
    <row r="74" spans="3:37" x14ac:dyDescent="0.25">
      <c r="C74"/>
      <c r="D74" s="45"/>
      <c r="R74" s="28"/>
      <c r="Y74" s="12"/>
      <c r="AA74" s="29"/>
      <c r="AJ74" s="3"/>
      <c r="AK74"/>
    </row>
    <row r="75" spans="3:37" x14ac:dyDescent="0.25">
      <c r="C75"/>
      <c r="D75" s="45"/>
      <c r="R75" s="28"/>
      <c r="Y75" s="12"/>
      <c r="AA75" s="29"/>
      <c r="AJ75" s="3"/>
      <c r="AK75"/>
    </row>
    <row r="76" spans="3:37" x14ac:dyDescent="0.25">
      <c r="C76"/>
      <c r="D76" s="45"/>
      <c r="R76" s="28"/>
      <c r="Y76" s="12"/>
      <c r="AA76" s="29"/>
      <c r="AJ76" s="3"/>
      <c r="AK76"/>
    </row>
    <row r="77" spans="3:37" x14ac:dyDescent="0.25">
      <c r="C77"/>
      <c r="D77" s="45"/>
      <c r="R77" s="28"/>
      <c r="Y77" s="12"/>
      <c r="AA77" s="29"/>
      <c r="AJ77" s="3"/>
      <c r="AK77"/>
    </row>
    <row r="78" spans="3:37" x14ac:dyDescent="0.25">
      <c r="C78"/>
      <c r="D78" s="45"/>
      <c r="R78" s="28"/>
      <c r="Y78" s="12"/>
      <c r="AA78" s="29"/>
      <c r="AJ78" s="3"/>
      <c r="AK78"/>
    </row>
    <row r="79" spans="3:37" x14ac:dyDescent="0.25">
      <c r="C79"/>
      <c r="D79" s="45"/>
      <c r="R79" s="28"/>
      <c r="Y79" s="12"/>
      <c r="AA79" s="29"/>
      <c r="AJ79" s="3"/>
      <c r="AK79"/>
    </row>
    <row r="80" spans="3:37" x14ac:dyDescent="0.25">
      <c r="C80"/>
      <c r="D80" s="45"/>
      <c r="R80" s="28"/>
      <c r="Y80" s="12"/>
      <c r="AA80" s="29"/>
      <c r="AJ80" s="3"/>
      <c r="AK80"/>
    </row>
    <row r="81" spans="3:37" x14ac:dyDescent="0.25">
      <c r="C81"/>
      <c r="D81" s="45"/>
      <c r="R81" s="28"/>
      <c r="Y81" s="12"/>
      <c r="AA81" s="29"/>
      <c r="AJ81" s="3"/>
      <c r="AK81"/>
    </row>
    <row r="82" spans="3:37" x14ac:dyDescent="0.25">
      <c r="C82"/>
      <c r="D82" s="45"/>
      <c r="R82" s="28"/>
      <c r="Y82" s="12"/>
      <c r="AA82" s="29"/>
      <c r="AJ82" s="3"/>
      <c r="AK82"/>
    </row>
  </sheetData>
  <sortState ref="A2:AI78">
    <sortCondition descending="1" ref="E2:E78"/>
  </sortState>
  <mergeCells count="1">
    <mergeCell ref="W1:AC1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0"/>
  <sheetViews>
    <sheetView workbookViewId="0">
      <selection activeCell="P3" sqref="P3"/>
    </sheetView>
  </sheetViews>
  <sheetFormatPr defaultColWidth="8.85546875" defaultRowHeight="15" x14ac:dyDescent="0.25"/>
  <cols>
    <col min="1" max="1" width="4.42578125" bestFit="1" customWidth="1"/>
    <col min="2" max="2" width="38" bestFit="1" customWidth="1"/>
    <col min="3" max="3" width="12" bestFit="1" customWidth="1"/>
    <col min="4" max="4" width="14" bestFit="1" customWidth="1"/>
    <col min="5" max="5" width="10.42578125" bestFit="1" customWidth="1"/>
    <col min="6" max="6" width="12" style="47" bestFit="1" customWidth="1"/>
    <col min="7" max="7" width="12.7109375" style="47" customWidth="1"/>
    <col min="8" max="8" width="3.42578125" style="74" bestFit="1" customWidth="1"/>
    <col min="9" max="9" width="5.140625" style="25" bestFit="1" customWidth="1"/>
    <col min="10" max="10" width="5.140625" style="74" customWidth="1"/>
    <col min="11" max="11" width="4.28515625" style="25" customWidth="1"/>
    <col min="12" max="12" width="4.28515625" bestFit="1" customWidth="1"/>
    <col min="13" max="14" width="3.140625" bestFit="1" customWidth="1"/>
    <col min="15" max="15" width="4.28515625" style="74" bestFit="1" customWidth="1"/>
    <col min="16" max="16" width="5.85546875" bestFit="1" customWidth="1"/>
    <col min="17" max="17" width="7.140625" style="3" bestFit="1" customWidth="1"/>
    <col min="18" max="18" width="7.140625" style="3" customWidth="1"/>
    <col min="19" max="19" width="9.28515625" style="71" customWidth="1"/>
    <col min="20" max="20" width="8.7109375" style="65" customWidth="1"/>
    <col min="21" max="32" width="8" style="12" bestFit="1" customWidth="1"/>
    <col min="33" max="33" width="12.7109375" style="47" bestFit="1" customWidth="1"/>
    <col min="34" max="34" width="9.7109375" style="60" bestFit="1" customWidth="1"/>
    <col min="35" max="35" width="9.140625" style="60" bestFit="1" customWidth="1"/>
    <col min="36" max="36" width="8.7109375" style="60" bestFit="1" customWidth="1"/>
    <col min="37" max="37" width="8.140625" style="60" customWidth="1"/>
    <col min="38" max="38" width="8.28515625" style="60" bestFit="1" customWidth="1"/>
    <col min="39" max="39" width="7.28515625" style="60" bestFit="1" customWidth="1"/>
    <col min="40" max="40" width="6.85546875" style="81" bestFit="1" customWidth="1"/>
    <col min="41" max="41" width="7.28515625" style="82" bestFit="1" customWidth="1"/>
    <col min="42" max="42" width="9.7109375" bestFit="1" customWidth="1"/>
    <col min="48" max="48" width="10.85546875" bestFit="1" customWidth="1"/>
    <col min="49" max="49" width="9.7109375" style="21" bestFit="1" customWidth="1"/>
    <col min="50" max="50" width="10" bestFit="1" customWidth="1"/>
    <col min="54" max="54" width="9.85546875" bestFit="1" customWidth="1"/>
  </cols>
  <sheetData>
    <row r="1" spans="1:55" s="15" customFormat="1" x14ac:dyDescent="0.25">
      <c r="F1" s="56"/>
      <c r="G1" s="56"/>
      <c r="H1" s="72"/>
      <c r="I1" s="69"/>
      <c r="J1" s="72"/>
      <c r="K1" s="69"/>
      <c r="O1" s="72"/>
      <c r="Q1" s="35"/>
      <c r="R1" s="35"/>
      <c r="S1" s="70"/>
      <c r="T1" s="64"/>
      <c r="U1" s="142" t="s">
        <v>233</v>
      </c>
      <c r="V1" s="143"/>
      <c r="W1" s="142" t="s">
        <v>237</v>
      </c>
      <c r="X1" s="143"/>
      <c r="Y1" s="142" t="s">
        <v>250</v>
      </c>
      <c r="Z1" s="143"/>
      <c r="AA1" s="142" t="s">
        <v>236</v>
      </c>
      <c r="AB1" s="143"/>
      <c r="AC1" s="142" t="s">
        <v>235</v>
      </c>
      <c r="AD1" s="143"/>
      <c r="AE1" s="142" t="s">
        <v>234</v>
      </c>
      <c r="AF1" s="143"/>
      <c r="AG1" s="56"/>
      <c r="AH1" s="139" t="s">
        <v>254</v>
      </c>
      <c r="AI1" s="140"/>
      <c r="AJ1" s="140"/>
      <c r="AK1" s="140"/>
      <c r="AL1" s="140"/>
      <c r="AM1" s="140"/>
      <c r="AN1" s="77"/>
      <c r="AO1" s="78"/>
      <c r="AP1" s="141" t="s">
        <v>265</v>
      </c>
      <c r="AQ1" s="137"/>
      <c r="AR1" s="137"/>
      <c r="AS1" s="137"/>
      <c r="AT1" s="137"/>
      <c r="AU1" s="137"/>
      <c r="AW1" s="138" t="s">
        <v>50</v>
      </c>
      <c r="AX1" s="137"/>
      <c r="AY1" s="137"/>
      <c r="AZ1" s="137"/>
      <c r="BA1" s="137"/>
      <c r="BB1" s="137"/>
    </row>
    <row r="2" spans="1:55" s="44" customFormat="1" x14ac:dyDescent="0.25">
      <c r="A2" s="48" t="s">
        <v>0</v>
      </c>
      <c r="B2" s="48" t="s">
        <v>1</v>
      </c>
      <c r="C2" s="48" t="s">
        <v>345</v>
      </c>
      <c r="D2" s="44" t="s">
        <v>257</v>
      </c>
      <c r="E2" s="44" t="s">
        <v>228</v>
      </c>
      <c r="F2" s="57" t="s">
        <v>255</v>
      </c>
      <c r="G2" s="57" t="s">
        <v>344</v>
      </c>
      <c r="H2" s="73" t="s">
        <v>220</v>
      </c>
      <c r="I2" s="75" t="s">
        <v>41</v>
      </c>
      <c r="J2" s="73" t="s">
        <v>40</v>
      </c>
      <c r="K2" s="75" t="s">
        <v>434</v>
      </c>
      <c r="L2" s="48" t="s">
        <v>248</v>
      </c>
      <c r="M2" s="44" t="s">
        <v>247</v>
      </c>
      <c r="N2" s="44" t="s">
        <v>246</v>
      </c>
      <c r="O2" s="73" t="str">
        <f>"BSci"</f>
        <v>BSci</v>
      </c>
      <c r="P2" s="44" t="s">
        <v>263</v>
      </c>
      <c r="Q2" s="52" t="s">
        <v>232</v>
      </c>
      <c r="R2" s="52" t="s">
        <v>256</v>
      </c>
      <c r="S2" s="92" t="s">
        <v>353</v>
      </c>
      <c r="T2" s="91" t="s">
        <v>468</v>
      </c>
      <c r="U2" s="55" t="s">
        <v>251</v>
      </c>
      <c r="V2" s="55" t="s">
        <v>252</v>
      </c>
      <c r="W2" s="55" t="s">
        <v>251</v>
      </c>
      <c r="X2" s="55" t="s">
        <v>252</v>
      </c>
      <c r="Y2" s="55" t="s">
        <v>251</v>
      </c>
      <c r="Z2" s="55" t="s">
        <v>252</v>
      </c>
      <c r="AA2" s="55" t="s">
        <v>251</v>
      </c>
      <c r="AB2" s="55" t="s">
        <v>252</v>
      </c>
      <c r="AC2" s="55" t="s">
        <v>251</v>
      </c>
      <c r="AD2" s="55" t="s">
        <v>252</v>
      </c>
      <c r="AE2" s="55" t="s">
        <v>251</v>
      </c>
      <c r="AF2" s="55" t="s">
        <v>252</v>
      </c>
      <c r="AG2" s="57" t="s">
        <v>253</v>
      </c>
      <c r="AH2" s="59" t="s">
        <v>233</v>
      </c>
      <c r="AI2" s="59" t="s">
        <v>237</v>
      </c>
      <c r="AJ2" s="59" t="s">
        <v>250</v>
      </c>
      <c r="AK2" s="59" t="s">
        <v>236</v>
      </c>
      <c r="AL2" s="59" t="s">
        <v>235</v>
      </c>
      <c r="AM2" s="59" t="s">
        <v>234</v>
      </c>
      <c r="AN2" s="79" t="s">
        <v>52</v>
      </c>
      <c r="AO2" s="80" t="s">
        <v>249</v>
      </c>
      <c r="AP2" s="59" t="s">
        <v>233</v>
      </c>
      <c r="AQ2" s="59" t="s">
        <v>237</v>
      </c>
      <c r="AR2" s="59" t="s">
        <v>250</v>
      </c>
      <c r="AS2" s="59" t="s">
        <v>236</v>
      </c>
      <c r="AT2" s="59" t="s">
        <v>235</v>
      </c>
      <c r="AU2" s="59" t="s">
        <v>234</v>
      </c>
      <c r="AV2" s="84" t="s">
        <v>264</v>
      </c>
      <c r="AW2" s="96" t="s">
        <v>359</v>
      </c>
      <c r="AX2" s="94" t="s">
        <v>360</v>
      </c>
      <c r="AY2" s="94" t="s">
        <v>361</v>
      </c>
      <c r="AZ2" s="94" t="s">
        <v>362</v>
      </c>
      <c r="BA2" s="94" t="s">
        <v>363</v>
      </c>
      <c r="BB2" s="94" t="s">
        <v>364</v>
      </c>
      <c r="BC2" s="44" t="s">
        <v>435</v>
      </c>
    </row>
    <row r="3" spans="1:55" x14ac:dyDescent="0.25">
      <c r="A3" t="str">
        <f>Stats!A3</f>
        <v>ENG</v>
      </c>
      <c r="B3" t="str">
        <f>Stats!B3</f>
        <v>The United Kingdom of Great Britain and Ireland</v>
      </c>
      <c r="C3" t="s">
        <v>347</v>
      </c>
      <c r="D3" t="s">
        <v>223</v>
      </c>
      <c r="E3" t="s">
        <v>231</v>
      </c>
      <c r="F3" s="58" t="s">
        <v>237</v>
      </c>
      <c r="G3" s="58" t="str">
        <f t="shared" ref="G3:G34" si="0">INDEX($AH$2:$AM$2,MATCH(MAX(AH3:AM3),AH3:AM3,0))</f>
        <v>Fascist</v>
      </c>
      <c r="H3" s="74">
        <f>MAX(ROUND(L3+S3,0),1)+AW3</f>
        <v>6</v>
      </c>
      <c r="I3" s="25">
        <f>CEILING(M3-T3,0.5)+AX3</f>
        <v>7.9168168019102145</v>
      </c>
      <c r="J3" s="74">
        <f>FLOOR(N3+S3,1)+AY3</f>
        <v>12</v>
      </c>
      <c r="K3" s="25">
        <f>O3*(1.5-AN3^2)*(1+BC3)</f>
        <v>2.4652499999999997</v>
      </c>
      <c r="L3">
        <f>INDEX(Univ!$E$6:$E$11,MATCH($D3,Univ!$A$6:$A$11,0))+INDEX(Univ!$E$13:$E$15,MATCH($E3,Univ!$A$13:$A$15,0))+INDEX(Univ!$E$24:$E$27,MATCH($C3,Univ!$A$24:$A$27,0))</f>
        <v>4</v>
      </c>
      <c r="M3">
        <f>INDEX(Univ!$B$6:$B$11,MATCH($D3,Univ!$A$6:$A$11,0))+INDEX(Univ!$B$13:$B$15,MATCH($E3,Univ!$A$13:$A$15,0))+INDEX(Univ!$B$24:$B$27,MATCH($C3,Univ!$A$24:$A$27,0))</f>
        <v>7</v>
      </c>
      <c r="N3">
        <f>INDEX(Univ!$D$6:$D$11,MATCH(D3,Univ!$A$6:$A$11,0))+INDEX(Univ!$D$13:$D$15,MATCH(E3,Univ!$A$13:$A$15,0))+INDEX(Univ!$D$24:$D$27,MATCH($C3,Univ!$A$24:$A$27,0))</f>
        <v>11</v>
      </c>
      <c r="O3">
        <f>INDEX(Univ!$H$6:$H$11,MATCH($D3,Univ!$A$6:$A$11,0))+INDEX(Univ!$H$13:$H$15,MATCH($E3,Univ!$A$13:$A$15,0))+INDEX(Univ!$H$24:$H$27,MATCH($C3,Univ!$A$24:$A$27,0))</f>
        <v>1.9</v>
      </c>
      <c r="P3" s="29">
        <f>(INDEX(Univ!$G$6:$G$11,MATCH(D3,Univ!$A$6:$A$11,0))+INDEX(Univ!$G$13:$G$15,MATCH(E3,Univ!$A$13:$A$15,0))+INDEX(Univ!$G$24:$G$27,MATCH($C3,Univ!$A$24:$A$27,0)))*AV3*(1+AZ3)</f>
        <v>7.9007306911794847E-2</v>
      </c>
      <c r="Q3" s="3">
        <f>U3*V3+W3*X3+Y3*Z3+AA3*AB3+AC3*AD3+AE3*AF3</f>
        <v>0.67669999999999997</v>
      </c>
      <c r="R3" s="3">
        <f>AVERAGE(U3*V3,W3*X3,Y3*Z3,AA3*AB3,AC3*AD3,AE3*AF3)</f>
        <v>0.11278333333333333</v>
      </c>
      <c r="S3" s="71">
        <f>FLOOR((Q3-Univ!$F$1)/Univ!$F$2-IF(T3&lt;0,T3,0),0.1)</f>
        <v>1.6</v>
      </c>
      <c r="T3" s="65">
        <f>((INDEX(Univ!$F$6:$F$11,MATCH(D3,Univ!$A$6:$A$11,0))+INDEX(Univ!$F$13:$F$15,MATCH(E3,Univ!$A$13:$A$15,0))+INDEX(Univ!$F$24:$F$27,MATCH($C3,Univ!$A$24:$A$27,0)))*Univ!$D$2+Univ!$D$1-R3)/Univ!$D$2</f>
        <v>-0.57476626356614868</v>
      </c>
      <c r="U3" s="12">
        <v>0.25</v>
      </c>
      <c r="V3" s="12">
        <v>0.75</v>
      </c>
      <c r="W3" s="12">
        <v>0.45</v>
      </c>
      <c r="X3" s="12">
        <v>0.9</v>
      </c>
      <c r="Y3" s="12">
        <v>0.15</v>
      </c>
      <c r="Z3" s="12">
        <v>0.45</v>
      </c>
      <c r="AA3" s="12">
        <v>0.1</v>
      </c>
      <c r="AB3" s="12">
        <v>0.15</v>
      </c>
      <c r="AC3" s="12">
        <v>0.02</v>
      </c>
      <c r="AD3" s="12">
        <v>0.01</v>
      </c>
      <c r="AE3" s="12">
        <v>0.03</v>
      </c>
      <c r="AF3" s="12">
        <v>0.05</v>
      </c>
      <c r="AG3" s="58">
        <f>U3+W3+Y3+AA3+AC3+AE3</f>
        <v>1</v>
      </c>
      <c r="AH3" s="60">
        <f>U3*(1-V3)</f>
        <v>6.25E-2</v>
      </c>
      <c r="AI3" s="60">
        <f>W3*(1-X3)</f>
        <v>4.4999999999999991E-2</v>
      </c>
      <c r="AJ3" s="60">
        <f>Y3*(1-Z3)</f>
        <v>8.2500000000000004E-2</v>
      </c>
      <c r="AK3" s="60">
        <f>AA3*(1-AB3)</f>
        <v>8.5000000000000006E-2</v>
      </c>
      <c r="AL3" s="60">
        <f>AC3*(1-AD3)</f>
        <v>1.9800000000000002E-2</v>
      </c>
      <c r="AM3" s="60">
        <f>AE3*(1-AF3)</f>
        <v>2.8499999999999998E-2</v>
      </c>
      <c r="AN3" s="81">
        <v>0.45</v>
      </c>
      <c r="AO3" s="82">
        <f>0.001+INDEX(Univ!$C$6:$C$11,MATCH(D3,Univ!$A$6:$A$11,0))*0.01+INDEX(Univ!$C$13:$C$15,MATCH(E3,Univ!$A$13:$A$15,0))*0.01+INDEX(Univ!$C$24:$C$27,MATCH($C3,Univ!$A$24:$A$27,0))*0.01+BA3</f>
        <v>2.1000000000000001E-2</v>
      </c>
      <c r="AP3" s="83">
        <f>U3*Univ!$B$17*IF(V3&gt;Univ!$C$17,1,V3/Univ!$C$17)</f>
        <v>0.1875</v>
      </c>
      <c r="AQ3" s="83">
        <f>W3*Univ!$B$18*IF(X3&gt;Univ!$C$18,1,X3/Univ!$C$18)</f>
        <v>0.33750000000000002</v>
      </c>
      <c r="AR3" s="83">
        <f>Y3*Univ!$B$19*IF(Z3&gt;Univ!$C$19,1,Z3/Univ!$C$19)</f>
        <v>0.20249999999999999</v>
      </c>
      <c r="AS3" s="83">
        <f>AA3*Univ!$B$20*IF(AB3&gt;Univ!$C$20,1,AB3/Univ!$C$20)</f>
        <v>3.7499999999999999E-2</v>
      </c>
      <c r="AT3" s="83">
        <f>AC3*Univ!$B$21*IF(AD3&gt;Univ!$C$21,1,AD3/Univ!$C$21)</f>
        <v>1.8181818181818181E-4</v>
      </c>
      <c r="AU3" s="83">
        <f>AE3*Univ!$B$22*IF(AF3&gt;Univ!$C$22,1,AF3/Univ!$C$22)</f>
        <v>5.4545454545454541E-3</v>
      </c>
      <c r="AV3" s="83">
        <f>SQRT(SUM(AP3:AU3))*(1+BB3)</f>
        <v>0.87785896568660937</v>
      </c>
      <c r="AW3" s="21">
        <f t="shared" ref="AW3:AW34" si="1">SUMIFS(ModAP,ModTags,$A3)</f>
        <v>0</v>
      </c>
      <c r="AX3" s="97">
        <f t="shared" ref="AX3:AX34" si="2">SUMIFS(ModSTAB,ModTags,$A3)</f>
        <v>-8.3183198089785235E-2</v>
      </c>
      <c r="AY3" s="22">
        <f t="shared" ref="AY3:AY34" si="3">SUMIFS(ModTXP,ModTags,$A3)</f>
        <v>0</v>
      </c>
      <c r="AZ3" s="98">
        <f t="shared" ref="AZ3:AZ34" si="4">SUMIFS(ModMP,ModTags,$A3)</f>
        <v>0</v>
      </c>
      <c r="BA3" s="98">
        <f t="shared" ref="BA3:BA34" si="5">SUMIFS(ModIT,ModTags,$A3)</f>
        <v>0</v>
      </c>
      <c r="BB3" s="98">
        <f t="shared" ref="BB3:BB34" si="6">SUMIFS(ModMilit,ModTags,$A3)</f>
        <v>0</v>
      </c>
      <c r="BC3" s="98">
        <f t="shared" ref="BC3:BC34" si="7">SUMIFS(ModSci,ModTags,$A3)</f>
        <v>0</v>
      </c>
    </row>
    <row r="4" spans="1:55" x14ac:dyDescent="0.25">
      <c r="A4" t="str">
        <f>Stats!A4</f>
        <v>FRA</v>
      </c>
      <c r="B4" t="str">
        <f>Stats!B4</f>
        <v>The French Social Democratic Republic</v>
      </c>
      <c r="C4" t="s">
        <v>347</v>
      </c>
      <c r="D4" t="s">
        <v>222</v>
      </c>
      <c r="E4" t="s">
        <v>231</v>
      </c>
      <c r="F4" s="47" t="s">
        <v>234</v>
      </c>
      <c r="G4" s="58" t="str">
        <f t="shared" si="0"/>
        <v>Imperialist</v>
      </c>
      <c r="H4" s="74">
        <f t="shared" ref="H4:H60" si="8">MAX(ROUND(L4+S4,0),1)+AW4</f>
        <v>7</v>
      </c>
      <c r="I4" s="25">
        <f t="shared" ref="I4:I60" si="9">CEILING(M4-T4,0.5)+AX4</f>
        <v>8</v>
      </c>
      <c r="J4" s="74">
        <f t="shared" ref="J4:J60" si="10">FLOOR(N4+S4,1)+AY4</f>
        <v>14</v>
      </c>
      <c r="K4" s="25">
        <f t="shared" ref="K4:K60" si="11">O4*(1.5-AN4^2)*(1+BC4)</f>
        <v>2.7312499999999997</v>
      </c>
      <c r="L4">
        <f>INDEX(Univ!$E$6:$E$11,MATCH($D4,Univ!$A$6:$A$11,0))+INDEX(Univ!$E$13:$E$15,MATCH($E4,Univ!$A$13:$A$15,0))+INDEX(Univ!$E$24:$E$27,MATCH($C4,Univ!$A$24:$A$27,0))</f>
        <v>5</v>
      </c>
      <c r="M4">
        <f>INDEX(Univ!$B$6:$B$11,MATCH($D4,Univ!$A$6:$A$11,0))+INDEX(Univ!$B$13:$B$15,MATCH($E4,Univ!$A$13:$A$15,0))+INDEX(Univ!$B$24:$B$27,MATCH($C4,Univ!$A$24:$A$27,0))</f>
        <v>7</v>
      </c>
      <c r="N4">
        <f>INDEX(Univ!$D$6:$D$11,MATCH(D4,Univ!$A$6:$A$11,0))+INDEX(Univ!$D$13:$D$15,MATCH(E4,Univ!$A$13:$A$15,0))+INDEX(Univ!$D$24:$D$27,MATCH($C4,Univ!$A$24:$A$27,0))</f>
        <v>12</v>
      </c>
      <c r="O4">
        <f>INDEX(Univ!$H$6:$H$11,MATCH($D4,Univ!$A$6:$A$11,0))+INDEX(Univ!$H$13:$H$15,MATCH($E4,Univ!$A$13:$A$15,0))+INDEX(Univ!$H$24:$H$27,MATCH($C4,Univ!$A$24:$A$27,0))</f>
        <v>1.9</v>
      </c>
      <c r="P4" s="29">
        <f>(INDEX(Univ!$G$6:$G$11,MATCH(D4,Univ!$A$6:$A$11,0))+INDEX(Univ!$G$13:$G$15,MATCH(E4,Univ!$A$13:$A$15,0))+INDEX(Univ!$G$24:$G$27,MATCH($C4,Univ!$A$24:$A$27,0)))*AV4*(1+AZ4)</f>
        <v>0.11545884745027318</v>
      </c>
      <c r="Q4" s="3">
        <f t="shared" ref="Q4:Q47" si="12">U4*V4+W4*X4+Y4*Z4+AA4*AB4+AC4*AD4+AE4*AF4</f>
        <v>0.73640000000000005</v>
      </c>
      <c r="R4" s="3">
        <f t="shared" ref="R4:R47" si="13">AVERAGE(U4*V4,W4*X4,Y4*Z4,AA4*AB4,AC4*AD4,AE4*AF4)</f>
        <v>0.12273333333333335</v>
      </c>
      <c r="S4" s="71">
        <f>FLOOR((Q4-Univ!$F$1)/Univ!$F$2-IF(T4&lt;0,T4,0),0.1)</f>
        <v>2.1</v>
      </c>
      <c r="T4" s="65">
        <f>((INDEX(Univ!$F$6:$F$11,MATCH(D4,Univ!$A$6:$A$11,0))+INDEX(Univ!$F$13:$F$15,MATCH(E4,Univ!$A$13:$A$15,0))+INDEX(Univ!$F$24:$F$27,MATCH($C4,Univ!$A$24:$A$27,0)))*Univ!$D$2+Univ!$D$1-R4)/Univ!$D$2</f>
        <v>-0.58953017036802369</v>
      </c>
      <c r="U4" s="12">
        <v>0.02</v>
      </c>
      <c r="V4" s="12">
        <v>0.2</v>
      </c>
      <c r="W4" s="12">
        <v>0.14000000000000001</v>
      </c>
      <c r="X4" s="12">
        <v>0.55000000000000004</v>
      </c>
      <c r="Y4" s="12">
        <v>0.3</v>
      </c>
      <c r="Z4" s="12">
        <v>0.8</v>
      </c>
      <c r="AA4" s="12">
        <v>0.04</v>
      </c>
      <c r="AB4" s="12">
        <v>0.01</v>
      </c>
      <c r="AC4" s="12">
        <v>0.05</v>
      </c>
      <c r="AD4" s="12">
        <v>0.2</v>
      </c>
      <c r="AE4" s="12">
        <v>0.45</v>
      </c>
      <c r="AF4" s="12">
        <v>0.9</v>
      </c>
      <c r="AG4" s="58">
        <f t="shared" ref="AG4:AG47" si="14">U4+W4+Y4+AA4+AC4+AE4</f>
        <v>1</v>
      </c>
      <c r="AH4" s="60">
        <f t="shared" ref="AH4:AH16" si="15">U4*(1-V4)</f>
        <v>1.6E-2</v>
      </c>
      <c r="AI4" s="60">
        <f t="shared" ref="AI4:AI16" si="16">W4*(1-X4)</f>
        <v>6.3E-2</v>
      </c>
      <c r="AJ4" s="60">
        <f t="shared" ref="AJ4:AJ16" si="17">Y4*(1-Z4)</f>
        <v>5.9999999999999984E-2</v>
      </c>
      <c r="AK4" s="60">
        <f t="shared" ref="AK4:AK16" si="18">AA4*(1-AB4)</f>
        <v>3.9600000000000003E-2</v>
      </c>
      <c r="AL4" s="60">
        <f t="shared" ref="AL4:AL16" si="19">AC4*(1-AD4)</f>
        <v>4.0000000000000008E-2</v>
      </c>
      <c r="AM4" s="60">
        <f t="shared" ref="AM4:AM16" si="20">AE4*(1-AF4)</f>
        <v>4.4999999999999991E-2</v>
      </c>
      <c r="AN4" s="81">
        <v>0.25</v>
      </c>
      <c r="AO4" s="82">
        <f>0.001+INDEX(Univ!$C$6:$C$11,MATCH(D4,Univ!$A$6:$A$11,0))*0.01+INDEX(Univ!$C$13:$C$15,MATCH(E4,Univ!$A$13:$A$15,0))*0.01+INDEX(Univ!$C$24:$C$27,MATCH($C4,Univ!$A$24:$A$27,0))*0.01+BA4</f>
        <v>3.1E-2</v>
      </c>
      <c r="AP4" s="83">
        <f>U4*Univ!$B$17*IF(V4&gt;Univ!$C$17,1,V4/Univ!$C$17)</f>
        <v>1.2E-2</v>
      </c>
      <c r="AQ4" s="83">
        <f>W4*Univ!$B$18*IF(X4&gt;Univ!$C$18,1,X4/Univ!$C$18)</f>
        <v>0.10500000000000001</v>
      </c>
      <c r="AR4" s="83">
        <f>Y4*Univ!$B$19*IF(Z4&gt;Univ!$C$19,1,Z4/Univ!$C$19)</f>
        <v>0.44999999999999996</v>
      </c>
      <c r="AS4" s="83">
        <f>AA4*Univ!$B$20*IF(AB4&gt;Univ!$C$20,1,AB4/Univ!$C$20)</f>
        <v>1E-3</v>
      </c>
      <c r="AT4" s="83">
        <f>AC4*Univ!$B$21*IF(AD4&gt;Univ!$C$21,1,AD4/Univ!$C$21)</f>
        <v>9.0909090909090922E-3</v>
      </c>
      <c r="AU4" s="83">
        <f>AE4*Univ!$B$22*IF(AF4&gt;Univ!$C$22,1,AF4/Univ!$C$22)</f>
        <v>0.9</v>
      </c>
      <c r="AV4" s="83">
        <f t="shared" ref="AV4:AV60" si="21">SQRT(SUM(AP4:AU4))*(1+BB4)</f>
        <v>1.2153562889502441</v>
      </c>
      <c r="AW4" s="21">
        <f t="shared" si="1"/>
        <v>0</v>
      </c>
      <c r="AX4" s="97">
        <f t="shared" si="2"/>
        <v>0</v>
      </c>
      <c r="AY4" s="22">
        <f t="shared" si="3"/>
        <v>0</v>
      </c>
      <c r="AZ4" s="98">
        <f t="shared" si="4"/>
        <v>0</v>
      </c>
      <c r="BA4" s="98">
        <f t="shared" si="5"/>
        <v>0</v>
      </c>
      <c r="BB4" s="98">
        <f t="shared" si="6"/>
        <v>0</v>
      </c>
      <c r="BC4" s="98">
        <f t="shared" si="7"/>
        <v>0</v>
      </c>
    </row>
    <row r="5" spans="1:55" x14ac:dyDescent="0.25">
      <c r="A5" t="str">
        <f>Stats!A5</f>
        <v>RUS</v>
      </c>
      <c r="B5" t="str">
        <f>Stats!B5</f>
        <v>The Russian Empire</v>
      </c>
      <c r="C5" t="s">
        <v>348</v>
      </c>
      <c r="D5" t="s">
        <v>223</v>
      </c>
      <c r="E5" t="s">
        <v>230</v>
      </c>
      <c r="F5" s="47" t="s">
        <v>237</v>
      </c>
      <c r="G5" s="58" t="str">
        <f t="shared" si="0"/>
        <v>Socialist</v>
      </c>
      <c r="H5" s="74">
        <f t="shared" si="8"/>
        <v>4.5</v>
      </c>
      <c r="I5" s="25">
        <f t="shared" si="9"/>
        <v>5.5</v>
      </c>
      <c r="J5" s="74">
        <f t="shared" si="10"/>
        <v>11.170411471961305</v>
      </c>
      <c r="K5" s="25">
        <f t="shared" si="11"/>
        <v>1.48263958581461</v>
      </c>
      <c r="L5">
        <f>INDEX(Univ!$E$6:$E$11,MATCH($D5,Univ!$A$6:$A$11,0))+INDEX(Univ!$E$13:$E$15,MATCH($E5,Univ!$A$13:$A$15,0))+INDEX(Univ!$E$24:$E$27,MATCH($C5,Univ!$A$24:$A$27,0))</f>
        <v>5</v>
      </c>
      <c r="M5">
        <f>INDEX(Univ!$B$6:$B$11,MATCH($D5,Univ!$A$6:$A$11,0))+INDEX(Univ!$B$13:$B$15,MATCH($E5,Univ!$A$13:$A$15,0))+INDEX(Univ!$B$24:$B$27,MATCH($C5,Univ!$A$24:$A$27,0))</f>
        <v>9</v>
      </c>
      <c r="N5">
        <f>INDEX(Univ!$D$6:$D$11,MATCH(D5,Univ!$A$6:$A$11,0))+INDEX(Univ!$D$13:$D$15,MATCH(E5,Univ!$A$13:$A$15,0))+INDEX(Univ!$D$24:$D$27,MATCH($C5,Univ!$A$24:$A$27,0))</f>
        <v>11</v>
      </c>
      <c r="O5">
        <f>INDEX(Univ!$H$6:$H$11,MATCH($D5,Univ!$A$6:$A$11,0))+INDEX(Univ!$H$13:$H$15,MATCH($E5,Univ!$A$13:$A$15,0))+INDEX(Univ!$H$24:$H$27,MATCH($C5,Univ!$A$24:$A$27,0))</f>
        <v>1.5</v>
      </c>
      <c r="P5" s="29">
        <f>(INDEX(Univ!$G$6:$G$11,MATCH(D5,Univ!$A$6:$A$11,0))+INDEX(Univ!$G$13:$G$15,MATCH(E5,Univ!$A$13:$A$15,0))+INDEX(Univ!$G$24:$G$27,MATCH($C5,Univ!$A$24:$A$27,0)))*AV5*(1+AZ5)</f>
        <v>5.3027608589557129E-2</v>
      </c>
      <c r="Q5" s="3">
        <f t="shared" si="12"/>
        <v>0.47050000000000008</v>
      </c>
      <c r="R5" s="3">
        <f t="shared" si="13"/>
        <v>7.8416666666666676E-2</v>
      </c>
      <c r="S5" s="71">
        <f>FLOOR((Q5-Univ!$F$1)/Univ!$F$2-IF(T5&lt;0,T5,0),0.1)</f>
        <v>-0.8</v>
      </c>
      <c r="T5" s="65">
        <f>((INDEX(Univ!$F$6:$F$11,MATCH(D5,Univ!$A$6:$A$11,0))+INDEX(Univ!$F$13:$F$15,MATCH(E5,Univ!$A$13:$A$15,0))+INDEX(Univ!$F$24:$F$27,MATCH($C5,Univ!$A$24:$A$27,0)))*Univ!$D$2+Univ!$D$1-R5)/Univ!$D$2</f>
        <v>3.7031955049857181</v>
      </c>
      <c r="U5" s="12">
        <v>0.2</v>
      </c>
      <c r="V5" s="12">
        <v>0.9</v>
      </c>
      <c r="W5" s="12">
        <v>0.3</v>
      </c>
      <c r="X5" s="12">
        <v>0.9</v>
      </c>
      <c r="Y5" s="12">
        <v>0.12</v>
      </c>
      <c r="Z5" s="12">
        <v>0.05</v>
      </c>
      <c r="AA5" s="12">
        <v>0.01</v>
      </c>
      <c r="AB5" s="12">
        <v>0.2</v>
      </c>
      <c r="AC5" s="12">
        <v>0.15</v>
      </c>
      <c r="AD5" s="12">
        <v>0.01</v>
      </c>
      <c r="AE5" s="12">
        <v>0.22</v>
      </c>
      <c r="AF5" s="12">
        <v>0.05</v>
      </c>
      <c r="AG5" s="58">
        <f t="shared" si="14"/>
        <v>1</v>
      </c>
      <c r="AH5" s="60">
        <f t="shared" si="15"/>
        <v>1.9999999999999997E-2</v>
      </c>
      <c r="AI5" s="60">
        <f t="shared" si="16"/>
        <v>2.9999999999999992E-2</v>
      </c>
      <c r="AJ5" s="60">
        <f t="shared" si="17"/>
        <v>0.11399999999999999</v>
      </c>
      <c r="AK5" s="60">
        <f t="shared" si="18"/>
        <v>8.0000000000000002E-3</v>
      </c>
      <c r="AL5" s="60">
        <f t="shared" si="19"/>
        <v>0.14849999999999999</v>
      </c>
      <c r="AM5" s="60">
        <f t="shared" si="20"/>
        <v>0.20899999999999999</v>
      </c>
      <c r="AN5" s="81">
        <v>0.7</v>
      </c>
      <c r="AO5" s="82">
        <f>0.001+INDEX(Univ!$C$6:$C$11,MATCH(D5,Univ!$A$6:$A$11,0))*0.01+INDEX(Univ!$C$13:$C$15,MATCH(E5,Univ!$A$13:$A$15,0))*0.01+INDEX(Univ!$C$24:$C$27,MATCH($C5,Univ!$A$24:$A$27,0))*0.01+BA5</f>
        <v>2.9295885280386944E-2</v>
      </c>
      <c r="AP5" s="83">
        <f>U5*Univ!$B$17*IF(V5&gt;Univ!$C$17,1,V5/Univ!$C$17)</f>
        <v>0.15000000000000002</v>
      </c>
      <c r="AQ5" s="83">
        <f>W5*Univ!$B$18*IF(X5&gt;Univ!$C$18,1,X5/Univ!$C$18)</f>
        <v>0.22499999999999998</v>
      </c>
      <c r="AR5" s="83">
        <f>Y5*Univ!$B$19*IF(Z5&gt;Univ!$C$19,1,Z5/Univ!$C$19)</f>
        <v>1.7999999999999999E-2</v>
      </c>
      <c r="AS5" s="83">
        <f>AA5*Univ!$B$20*IF(AB5&gt;Univ!$C$20,1,AB5/Univ!$C$20)</f>
        <v>5.0000000000000001E-3</v>
      </c>
      <c r="AT5" s="83">
        <f>AC5*Univ!$B$21*IF(AD5&gt;Univ!$C$21,1,AD5/Univ!$C$21)</f>
        <v>1.3636363636363635E-3</v>
      </c>
      <c r="AU5" s="83">
        <f>AE5*Univ!$B$22*IF(AF5&gt;Univ!$C$22,1,AF5/Univ!$C$22)</f>
        <v>0.04</v>
      </c>
      <c r="AV5" s="83">
        <f t="shared" si="21"/>
        <v>0.66284510736946411</v>
      </c>
      <c r="AW5" s="21">
        <f t="shared" si="1"/>
        <v>0.5</v>
      </c>
      <c r="AX5" s="97">
        <f t="shared" si="2"/>
        <v>0</v>
      </c>
      <c r="AY5" s="22">
        <f t="shared" si="3"/>
        <v>1.1704114719613057</v>
      </c>
      <c r="AZ5" s="98">
        <f t="shared" si="4"/>
        <v>0</v>
      </c>
      <c r="BA5" s="98">
        <f t="shared" si="5"/>
        <v>-1.1704114719613056E-2</v>
      </c>
      <c r="BB5" s="98">
        <f t="shared" si="6"/>
        <v>0</v>
      </c>
      <c r="BC5" s="98">
        <f t="shared" si="7"/>
        <v>-2.1360009363293828E-2</v>
      </c>
    </row>
    <row r="6" spans="1:55" x14ac:dyDescent="0.25">
      <c r="A6" t="str">
        <f>Stats!A6</f>
        <v>USA</v>
      </c>
      <c r="B6" t="str">
        <f>Stats!B6</f>
        <v>The United States of America</v>
      </c>
      <c r="C6" t="s">
        <v>348</v>
      </c>
      <c r="D6" t="s">
        <v>225</v>
      </c>
      <c r="E6" t="s">
        <v>231</v>
      </c>
      <c r="F6" s="47" t="s">
        <v>237</v>
      </c>
      <c r="G6" s="58" t="str">
        <f t="shared" si="0"/>
        <v>Democrat</v>
      </c>
      <c r="H6" s="74">
        <f t="shared" si="8"/>
        <v>2</v>
      </c>
      <c r="I6" s="25">
        <f t="shared" si="9"/>
        <v>7.6654645214882065</v>
      </c>
      <c r="J6" s="74">
        <f t="shared" si="10"/>
        <v>7</v>
      </c>
      <c r="K6" s="25">
        <f t="shared" si="11"/>
        <v>2.4119999999999999</v>
      </c>
      <c r="L6">
        <f>INDEX(Univ!$E$6:$E$11,MATCH($D6,Univ!$A$6:$A$11,0))+INDEX(Univ!$E$13:$E$15,MATCH($E6,Univ!$A$13:$A$15,0))+INDEX(Univ!$E$24:$E$27,MATCH($C6,Univ!$A$24:$A$27,0))</f>
        <v>2</v>
      </c>
      <c r="M6">
        <f>INDEX(Univ!$B$6:$B$11,MATCH($D6,Univ!$A$6:$A$11,0))+INDEX(Univ!$B$13:$B$15,MATCH($E6,Univ!$A$13:$A$15,0))+INDEX(Univ!$B$24:$B$27,MATCH($C6,Univ!$A$24:$A$27,0))</f>
        <v>7</v>
      </c>
      <c r="N6">
        <f>INDEX(Univ!$D$6:$D$11,MATCH(D6,Univ!$A$6:$A$11,0))+INDEX(Univ!$D$13:$D$15,MATCH(E6,Univ!$A$13:$A$15,0))+INDEX(Univ!$D$24:$D$27,MATCH($C6,Univ!$A$24:$A$27,0))</f>
        <v>7</v>
      </c>
      <c r="O6">
        <f>INDEX(Univ!$H$6:$H$11,MATCH($D6,Univ!$A$6:$A$11,0))+INDEX(Univ!$H$13:$H$15,MATCH($E6,Univ!$A$13:$A$15,0))+INDEX(Univ!$H$24:$H$27,MATCH($C6,Univ!$A$24:$A$27,0))</f>
        <v>1.8</v>
      </c>
      <c r="P6" s="29">
        <f>(INDEX(Univ!$G$6:$G$11,MATCH(D6,Univ!$A$6:$A$11,0))+INDEX(Univ!$G$13:$G$15,MATCH(E6,Univ!$A$13:$A$15,0))+INDEX(Univ!$G$24:$G$27,MATCH($C6,Univ!$A$24:$A$27,0)))*AV6*(1+AZ6)</f>
        <v>5.6974417054622611E-2</v>
      </c>
      <c r="Q6" s="3">
        <f t="shared" si="12"/>
        <v>0.5714999999999999</v>
      </c>
      <c r="R6" s="3">
        <f t="shared" si="13"/>
        <v>9.5249999999999987E-2</v>
      </c>
      <c r="S6" s="71">
        <f>FLOOR((Q6-Univ!$F$1)/Univ!$F$2-IF(T6&lt;0,T6,0),0.1)</f>
        <v>0.30000000000000004</v>
      </c>
      <c r="T6" s="65">
        <f>((INDEX(Univ!$F$6:$F$11,MATCH(D6,Univ!$A$6:$A$11,0))+INDEX(Univ!$F$13:$F$15,MATCH(E6,Univ!$A$13:$A$15,0))+INDEX(Univ!$F$24:$F$27,MATCH($C6,Univ!$A$24:$A$27,0)))*Univ!$D$2+Univ!$D$1-R6)/Univ!$D$2</f>
        <v>-0.16767810618663104</v>
      </c>
      <c r="U6" s="12">
        <v>0</v>
      </c>
      <c r="V6" s="12">
        <v>0</v>
      </c>
      <c r="W6" s="12">
        <v>0.45</v>
      </c>
      <c r="X6" s="12">
        <v>0.9</v>
      </c>
      <c r="Y6" s="12">
        <v>0.35</v>
      </c>
      <c r="Z6" s="12">
        <v>0.45</v>
      </c>
      <c r="AA6" s="12">
        <v>0.05</v>
      </c>
      <c r="AB6" s="12">
        <v>0.15</v>
      </c>
      <c r="AC6" s="12">
        <v>0.1</v>
      </c>
      <c r="AD6" s="12">
        <v>0.01</v>
      </c>
      <c r="AE6" s="12">
        <v>0.05</v>
      </c>
      <c r="AF6" s="12">
        <v>0.01</v>
      </c>
      <c r="AG6" s="58">
        <f t="shared" si="14"/>
        <v>1</v>
      </c>
      <c r="AH6" s="60">
        <f t="shared" si="15"/>
        <v>0</v>
      </c>
      <c r="AI6" s="60">
        <f t="shared" si="16"/>
        <v>4.4999999999999991E-2</v>
      </c>
      <c r="AJ6" s="60">
        <f t="shared" si="17"/>
        <v>0.1925</v>
      </c>
      <c r="AK6" s="60">
        <f t="shared" si="18"/>
        <v>4.2500000000000003E-2</v>
      </c>
      <c r="AL6" s="60">
        <f t="shared" si="19"/>
        <v>9.9000000000000005E-2</v>
      </c>
      <c r="AM6" s="60">
        <f t="shared" si="20"/>
        <v>4.9500000000000002E-2</v>
      </c>
      <c r="AN6" s="81">
        <v>0.4</v>
      </c>
      <c r="AO6" s="82">
        <f>0.001+INDEX(Univ!$C$6:$C$11,MATCH(D6,Univ!$A$6:$A$11,0))*0.01+INDEX(Univ!$C$13:$C$15,MATCH(E6,Univ!$A$13:$A$15,0))*0.01+INDEX(Univ!$C$24:$C$27,MATCH($C6,Univ!$A$24:$A$27,0))*0.01+BA6</f>
        <v>6.0000000000000001E-3</v>
      </c>
      <c r="AP6" s="83">
        <f>U6*Univ!$B$17*IF(V6&gt;Univ!$C$17,1,V6/Univ!$C$17)</f>
        <v>0</v>
      </c>
      <c r="AQ6" s="83">
        <f>W6*Univ!$B$18*IF(X6&gt;Univ!$C$18,1,X6/Univ!$C$18)</f>
        <v>0.33750000000000002</v>
      </c>
      <c r="AR6" s="83">
        <f>Y6*Univ!$B$19*IF(Z6&gt;Univ!$C$19,1,Z6/Univ!$C$19)</f>
        <v>0.47249999999999992</v>
      </c>
      <c r="AS6" s="83">
        <f>AA6*Univ!$B$20*IF(AB6&gt;Univ!$C$20,1,AB6/Univ!$C$20)</f>
        <v>1.8749999999999999E-2</v>
      </c>
      <c r="AT6" s="83">
        <f>AC6*Univ!$B$21*IF(AD6&gt;Univ!$C$21,1,AD6/Univ!$C$21)</f>
        <v>9.0909090909090909E-4</v>
      </c>
      <c r="AU6" s="83">
        <f>AE6*Univ!$B$22*IF(AF6&gt;Univ!$C$22,1,AF6/Univ!$C$22)</f>
        <v>1.8181818181818182E-3</v>
      </c>
      <c r="AV6" s="83">
        <f t="shared" si="21"/>
        <v>0.91185375621712095</v>
      </c>
      <c r="AW6" s="21">
        <f t="shared" si="1"/>
        <v>0</v>
      </c>
      <c r="AX6" s="97">
        <f t="shared" si="2"/>
        <v>0.16546452148820612</v>
      </c>
      <c r="AY6" s="22">
        <f t="shared" si="3"/>
        <v>0</v>
      </c>
      <c r="AZ6" s="98">
        <f t="shared" si="4"/>
        <v>4.1366130372051522E-2</v>
      </c>
      <c r="BA6" s="98">
        <f t="shared" si="5"/>
        <v>0</v>
      </c>
      <c r="BB6" s="98">
        <f t="shared" si="6"/>
        <v>0</v>
      </c>
      <c r="BC6" s="98">
        <f t="shared" si="7"/>
        <v>0</v>
      </c>
    </row>
    <row r="7" spans="1:55" x14ac:dyDescent="0.25">
      <c r="A7" t="str">
        <f>Stats!A7</f>
        <v>ITA</v>
      </c>
      <c r="B7" t="str">
        <f>Stats!B7</f>
        <v>The Kingdom of Italy</v>
      </c>
      <c r="C7" t="s">
        <v>348</v>
      </c>
      <c r="D7" t="s">
        <v>223</v>
      </c>
      <c r="E7" t="s">
        <v>231</v>
      </c>
      <c r="F7" s="47" t="s">
        <v>250</v>
      </c>
      <c r="G7" s="58" t="str">
        <f t="shared" si="0"/>
        <v>Socialist</v>
      </c>
      <c r="H7" s="74">
        <f t="shared" si="8"/>
        <v>4</v>
      </c>
      <c r="I7" s="25">
        <f t="shared" si="9"/>
        <v>7.5</v>
      </c>
      <c r="J7" s="74">
        <f t="shared" si="10"/>
        <v>10</v>
      </c>
      <c r="K7" s="25">
        <f t="shared" si="11"/>
        <v>2.0662500000000001</v>
      </c>
      <c r="L7">
        <f>INDEX(Univ!$E$6:$E$11,MATCH($D7,Univ!$A$6:$A$11,0))+INDEX(Univ!$E$13:$E$15,MATCH($E7,Univ!$A$13:$A$15,0))+INDEX(Univ!$E$24:$E$27,MATCH($C7,Univ!$A$24:$A$27,0))</f>
        <v>3</v>
      </c>
      <c r="M7">
        <f>INDEX(Univ!$B$6:$B$11,MATCH($D7,Univ!$A$6:$A$11,0))+INDEX(Univ!$B$13:$B$15,MATCH($E7,Univ!$A$13:$A$15,0))+INDEX(Univ!$B$24:$B$27,MATCH($C7,Univ!$A$24:$A$27,0))</f>
        <v>8</v>
      </c>
      <c r="N7">
        <f>INDEX(Univ!$D$6:$D$11,MATCH(D7,Univ!$A$6:$A$11,0))+INDEX(Univ!$D$13:$D$15,MATCH(E7,Univ!$A$13:$A$15,0))+INDEX(Univ!$D$24:$D$27,MATCH($C7,Univ!$A$24:$A$27,0))</f>
        <v>9</v>
      </c>
      <c r="O7">
        <f>INDEX(Univ!$H$6:$H$11,MATCH($D7,Univ!$A$6:$A$11,0))+INDEX(Univ!$H$13:$H$15,MATCH($E7,Univ!$A$13:$A$15,0))+INDEX(Univ!$H$24:$H$27,MATCH($C7,Univ!$A$24:$A$27,0))</f>
        <v>1.5</v>
      </c>
      <c r="P7" s="29">
        <f>(INDEX(Univ!$G$6:$G$11,MATCH(D7,Univ!$A$6:$A$11,0))+INDEX(Univ!$G$13:$G$15,MATCH(E7,Univ!$A$13:$A$15,0))+INDEX(Univ!$G$24:$G$27,MATCH($C7,Univ!$A$24:$A$27,0)))*AV7*(1+AZ7)</f>
        <v>6.7653865037745287E-2</v>
      </c>
      <c r="Q7" s="3">
        <f t="shared" si="12"/>
        <v>0.71750000000000003</v>
      </c>
      <c r="R7" s="3">
        <f t="shared" si="13"/>
        <v>0.11958333333333333</v>
      </c>
      <c r="S7" s="71">
        <f>FLOOR((Q7-Univ!$F$1)/Univ!$F$2-IF(T7&lt;0,T7,0),0.1)</f>
        <v>1.4000000000000001</v>
      </c>
      <c r="T7" s="65">
        <f>((INDEX(Univ!$F$6:$F$11,MATCH(D7,Univ!$A$6:$A$11,0))+INDEX(Univ!$F$13:$F$15,MATCH(E7,Univ!$A$13:$A$15,0))+INDEX(Univ!$F$24:$F$27,MATCH($C7,Univ!$A$24:$A$27,0)))*Univ!$D$2+Univ!$D$1-R7)/Univ!$D$2</f>
        <v>0.57343528756422968</v>
      </c>
      <c r="U7" s="12">
        <v>0.25</v>
      </c>
      <c r="V7" s="12">
        <v>0.9</v>
      </c>
      <c r="W7" s="12">
        <v>0.2</v>
      </c>
      <c r="X7" s="12">
        <v>0.85</v>
      </c>
      <c r="Y7" s="12">
        <v>0.35</v>
      </c>
      <c r="Z7" s="12">
        <v>0.85</v>
      </c>
      <c r="AA7" s="12">
        <v>0.05</v>
      </c>
      <c r="AB7" s="12">
        <v>0.1</v>
      </c>
      <c r="AC7" s="12">
        <v>0.05</v>
      </c>
      <c r="AD7" s="12">
        <v>0.1</v>
      </c>
      <c r="AE7" s="12">
        <v>0.1</v>
      </c>
      <c r="AF7" s="12">
        <v>0.15</v>
      </c>
      <c r="AG7" s="58">
        <f t="shared" si="14"/>
        <v>1.0000000000000002</v>
      </c>
      <c r="AH7" s="60">
        <f t="shared" si="15"/>
        <v>2.4999999999999994E-2</v>
      </c>
      <c r="AI7" s="60">
        <f t="shared" si="16"/>
        <v>3.0000000000000006E-2</v>
      </c>
      <c r="AJ7" s="60">
        <f t="shared" si="17"/>
        <v>5.2500000000000005E-2</v>
      </c>
      <c r="AK7" s="60">
        <f t="shared" si="18"/>
        <v>4.5000000000000005E-2</v>
      </c>
      <c r="AL7" s="60">
        <f t="shared" si="19"/>
        <v>4.5000000000000005E-2</v>
      </c>
      <c r="AM7" s="60">
        <f t="shared" si="20"/>
        <v>8.5000000000000006E-2</v>
      </c>
      <c r="AN7" s="81">
        <v>0.35</v>
      </c>
      <c r="AO7" s="82">
        <f>0.001+INDEX(Univ!$C$6:$C$11,MATCH(D7,Univ!$A$6:$A$11,0))*0.01+INDEX(Univ!$C$13:$C$15,MATCH(E7,Univ!$A$13:$A$15,0))*0.01+INDEX(Univ!$C$24:$C$27,MATCH($C7,Univ!$A$24:$A$27,0))*0.01+BA7</f>
        <v>2.6000000000000002E-2</v>
      </c>
      <c r="AP7" s="83">
        <f>U7*Univ!$B$17*IF(V7&gt;Univ!$C$17,1,V7/Univ!$C$17)</f>
        <v>0.1875</v>
      </c>
      <c r="AQ7" s="83">
        <f>W7*Univ!$B$18*IF(X7&gt;Univ!$C$18,1,X7/Univ!$C$18)</f>
        <v>0.15000000000000002</v>
      </c>
      <c r="AR7" s="83">
        <f>Y7*Univ!$B$19*IF(Z7&gt;Univ!$C$19,1,Z7/Univ!$C$19)</f>
        <v>0.52499999999999991</v>
      </c>
      <c r="AS7" s="83">
        <f>AA7*Univ!$B$20*IF(AB7&gt;Univ!$C$20,1,AB7/Univ!$C$20)</f>
        <v>1.2500000000000001E-2</v>
      </c>
      <c r="AT7" s="83">
        <f>AC7*Univ!$B$21*IF(AD7&gt;Univ!$C$21,1,AD7/Univ!$C$21)</f>
        <v>4.5454545454545461E-3</v>
      </c>
      <c r="AU7" s="83">
        <f>AE7*Univ!$B$22*IF(AF7&gt;Univ!$C$22,1,AF7/Univ!$C$22)</f>
        <v>5.4545454545454543E-2</v>
      </c>
      <c r="AV7" s="83">
        <f t="shared" si="21"/>
        <v>0.96648378625350406</v>
      </c>
      <c r="AW7" s="21">
        <f t="shared" si="1"/>
        <v>0</v>
      </c>
      <c r="AX7" s="97">
        <f t="shared" si="2"/>
        <v>0</v>
      </c>
      <c r="AY7" s="22">
        <f t="shared" si="3"/>
        <v>0</v>
      </c>
      <c r="AZ7" s="98">
        <f t="shared" si="4"/>
        <v>0</v>
      </c>
      <c r="BA7" s="98">
        <f t="shared" si="5"/>
        <v>0</v>
      </c>
      <c r="BB7" s="98">
        <f t="shared" si="6"/>
        <v>0</v>
      </c>
      <c r="BC7" s="98">
        <f t="shared" si="7"/>
        <v>0</v>
      </c>
    </row>
    <row r="8" spans="1:55" x14ac:dyDescent="0.25">
      <c r="A8" t="str">
        <f>Stats!A8</f>
        <v>AUS</v>
      </c>
      <c r="B8" t="str">
        <f>Stats!B8</f>
        <v>The United Republics of Austria and Bohemia</v>
      </c>
      <c r="C8" t="s">
        <v>349</v>
      </c>
      <c r="D8" t="s">
        <v>226</v>
      </c>
      <c r="E8" t="s">
        <v>231</v>
      </c>
      <c r="F8" s="47" t="s">
        <v>235</v>
      </c>
      <c r="G8" s="58" t="str">
        <f t="shared" si="0"/>
        <v>Monarchist</v>
      </c>
      <c r="H8" s="74">
        <f t="shared" si="8"/>
        <v>2</v>
      </c>
      <c r="I8" s="25">
        <f t="shared" si="9"/>
        <v>3.5</v>
      </c>
      <c r="J8" s="74">
        <f t="shared" si="10"/>
        <v>7</v>
      </c>
      <c r="K8" s="25">
        <f t="shared" si="11"/>
        <v>3.4168799999999999</v>
      </c>
      <c r="L8">
        <f>INDEX(Univ!$E$6:$E$11,MATCH($D8,Univ!$A$6:$A$11,0))+INDEX(Univ!$E$13:$E$15,MATCH($E8,Univ!$A$13:$A$15,0))+INDEX(Univ!$E$24:$E$27,MATCH($C8,Univ!$A$24:$A$27,0))</f>
        <v>3</v>
      </c>
      <c r="M8">
        <f>INDEX(Univ!$B$6:$B$11,MATCH($D8,Univ!$A$6:$A$11,0))+INDEX(Univ!$B$13:$B$15,MATCH($E8,Univ!$A$13:$A$15,0))+INDEX(Univ!$B$24:$B$27,MATCH($C8,Univ!$A$24:$A$27,0))</f>
        <v>6</v>
      </c>
      <c r="N8">
        <f>INDEX(Univ!$D$6:$D$11,MATCH(D8,Univ!$A$6:$A$11,0))+INDEX(Univ!$D$13:$D$15,MATCH(E8,Univ!$A$13:$A$15,0))+INDEX(Univ!$D$24:$D$27,MATCH($C8,Univ!$A$24:$A$27,0))</f>
        <v>8</v>
      </c>
      <c r="O8">
        <f>INDEX(Univ!$H$6:$H$11,MATCH($D8,Univ!$A$6:$A$11,0))+INDEX(Univ!$H$13:$H$15,MATCH($E8,Univ!$A$13:$A$15,0))+INDEX(Univ!$H$24:$H$27,MATCH($C8,Univ!$A$24:$A$27,0))</f>
        <v>2.2999999999999998</v>
      </c>
      <c r="P8" s="29">
        <f>(INDEX(Univ!$G$6:$G$11,MATCH(D8,Univ!$A$6:$A$11,0))+INDEX(Univ!$G$13:$G$15,MATCH(E8,Univ!$A$13:$A$15,0))+INDEX(Univ!$G$24:$G$27,MATCH($C8,Univ!$A$24:$A$27,0)))*AV8*(1+AZ8)</f>
        <v>3.2021654604913276E-2</v>
      </c>
      <c r="Q8" s="3">
        <f t="shared" si="12"/>
        <v>0.44249999999999995</v>
      </c>
      <c r="R8" s="3">
        <f t="shared" si="13"/>
        <v>7.3749999999999996E-2</v>
      </c>
      <c r="S8" s="71">
        <f>FLOOR((Q8-Univ!$F$1)/Univ!$F$2-IF(T8&lt;0,T8,0),0.1)</f>
        <v>-1</v>
      </c>
      <c r="T8" s="65">
        <f>((INDEX(Univ!$F$6:$F$11,MATCH(D8,Univ!$A$6:$A$11,0))+INDEX(Univ!$F$13:$F$15,MATCH(E8,Univ!$A$13:$A$15,0))+INDEX(Univ!$F$24:$F$27,MATCH($C8,Univ!$A$24:$A$27,0)))*Univ!$D$2+Univ!$D$1-R8)/Univ!$D$2</f>
        <v>2.9446258130334995</v>
      </c>
      <c r="U8" s="12">
        <v>0.2</v>
      </c>
      <c r="V8" s="12">
        <v>0.01</v>
      </c>
      <c r="W8" s="12">
        <v>0.05</v>
      </c>
      <c r="X8" s="12">
        <v>0.01</v>
      </c>
      <c r="Y8" s="12">
        <v>0.1</v>
      </c>
      <c r="Z8" s="12">
        <v>0.55000000000000004</v>
      </c>
      <c r="AA8" s="12">
        <v>0.15</v>
      </c>
      <c r="AB8" s="12">
        <v>0.1</v>
      </c>
      <c r="AC8" s="12">
        <v>0.35</v>
      </c>
      <c r="AD8" s="12">
        <v>0.95</v>
      </c>
      <c r="AE8" s="12">
        <v>0.15</v>
      </c>
      <c r="AF8" s="12">
        <v>0.25</v>
      </c>
      <c r="AG8" s="58">
        <f t="shared" si="14"/>
        <v>1</v>
      </c>
      <c r="AH8" s="60">
        <f t="shared" si="15"/>
        <v>0.19800000000000001</v>
      </c>
      <c r="AI8" s="60">
        <f t="shared" si="16"/>
        <v>4.9500000000000002E-2</v>
      </c>
      <c r="AJ8" s="60">
        <f t="shared" si="17"/>
        <v>4.4999999999999998E-2</v>
      </c>
      <c r="AK8" s="60">
        <f t="shared" si="18"/>
        <v>0.13500000000000001</v>
      </c>
      <c r="AL8" s="60">
        <f t="shared" si="19"/>
        <v>1.7500000000000016E-2</v>
      </c>
      <c r="AM8" s="60">
        <f t="shared" si="20"/>
        <v>0.11249999999999999</v>
      </c>
      <c r="AN8" s="81">
        <v>0.12</v>
      </c>
      <c r="AO8" s="82">
        <f>0.001+INDEX(Univ!$C$6:$C$11,MATCH(D8,Univ!$A$6:$A$11,0))*0.01+INDEX(Univ!$C$13:$C$15,MATCH(E8,Univ!$A$13:$A$15,0))*0.01+INDEX(Univ!$C$24:$C$27,MATCH($C8,Univ!$A$24:$A$27,0))*0.01+BA8</f>
        <v>-2.4E-2</v>
      </c>
      <c r="AP8" s="83">
        <f>U8*Univ!$B$17*IF(V8&gt;Univ!$C$17,1,V8/Univ!$C$17)</f>
        <v>6.000000000000001E-3</v>
      </c>
      <c r="AQ8" s="83">
        <f>W8*Univ!$B$18*IF(X8&gt;Univ!$C$18,1,X8/Univ!$C$18)</f>
        <v>1.5000000000000002E-3</v>
      </c>
      <c r="AR8" s="83">
        <f>Y8*Univ!$B$19*IF(Z8&gt;Univ!$C$19,1,Z8/Univ!$C$19)</f>
        <v>0.15000000000000002</v>
      </c>
      <c r="AS8" s="83">
        <f>AA8*Univ!$B$20*IF(AB8&gt;Univ!$C$20,1,AB8/Univ!$C$20)</f>
        <v>3.7499999999999999E-2</v>
      </c>
      <c r="AT8" s="83">
        <f>AC8*Univ!$B$21*IF(AD8&gt;Univ!$C$21,1,AD8/Univ!$C$21)</f>
        <v>0.17499999999999999</v>
      </c>
      <c r="AU8" s="83">
        <f>AE8*Univ!$B$22*IF(AF8&gt;Univ!$C$22,1,AF8/Univ!$C$22)</f>
        <v>0.13636363636363635</v>
      </c>
      <c r="AV8" s="83">
        <f t="shared" si="21"/>
        <v>0.71159232455362831</v>
      </c>
      <c r="AW8" s="21">
        <f t="shared" si="1"/>
        <v>0</v>
      </c>
      <c r="AX8" s="97">
        <f t="shared" si="2"/>
        <v>0</v>
      </c>
      <c r="AY8" s="22">
        <f t="shared" si="3"/>
        <v>0</v>
      </c>
      <c r="AZ8" s="98">
        <f t="shared" si="4"/>
        <v>0</v>
      </c>
      <c r="BA8" s="98">
        <f t="shared" si="5"/>
        <v>0</v>
      </c>
      <c r="BB8" s="98">
        <f t="shared" si="6"/>
        <v>0</v>
      </c>
      <c r="BC8" s="98">
        <f t="shared" si="7"/>
        <v>0</v>
      </c>
    </row>
    <row r="9" spans="1:55" x14ac:dyDescent="0.25">
      <c r="A9" t="str">
        <f>Stats!A9</f>
        <v>HUN</v>
      </c>
      <c r="B9" t="str">
        <f>Stats!B9</f>
        <v>The Hungarian Empire</v>
      </c>
      <c r="C9" t="s">
        <v>348</v>
      </c>
      <c r="D9" t="s">
        <v>223</v>
      </c>
      <c r="E9" t="s">
        <v>230</v>
      </c>
      <c r="F9" s="47" t="s">
        <v>233</v>
      </c>
      <c r="G9" s="58" t="str">
        <f t="shared" si="0"/>
        <v>Democrat</v>
      </c>
      <c r="H9" s="74">
        <f t="shared" si="8"/>
        <v>4</v>
      </c>
      <c r="I9" s="25">
        <f t="shared" si="9"/>
        <v>5.5</v>
      </c>
      <c r="J9" s="74">
        <f t="shared" si="10"/>
        <v>10</v>
      </c>
      <c r="K9" s="25">
        <f t="shared" si="11"/>
        <v>2.0662500000000001</v>
      </c>
      <c r="L9">
        <f>INDEX(Univ!$E$6:$E$11,MATCH($D9,Univ!$A$6:$A$11,0))+INDEX(Univ!$E$13:$E$15,MATCH($E9,Univ!$A$13:$A$15,0))+INDEX(Univ!$E$24:$E$27,MATCH($C9,Univ!$A$24:$A$27,0))</f>
        <v>5</v>
      </c>
      <c r="M9">
        <f>INDEX(Univ!$B$6:$B$11,MATCH($D9,Univ!$A$6:$A$11,0))+INDEX(Univ!$B$13:$B$15,MATCH($E9,Univ!$A$13:$A$15,0))+INDEX(Univ!$B$24:$B$27,MATCH($C9,Univ!$A$24:$A$27,0))</f>
        <v>9</v>
      </c>
      <c r="N9">
        <f>INDEX(Univ!$D$6:$D$11,MATCH(D9,Univ!$A$6:$A$11,0))+INDEX(Univ!$D$13:$D$15,MATCH(E9,Univ!$A$13:$A$15,0))+INDEX(Univ!$D$24:$D$27,MATCH($C9,Univ!$A$24:$A$27,0))</f>
        <v>11</v>
      </c>
      <c r="O9">
        <f>INDEX(Univ!$H$6:$H$11,MATCH($D9,Univ!$A$6:$A$11,0))+INDEX(Univ!$H$13:$H$15,MATCH($E9,Univ!$A$13:$A$15,0))+INDEX(Univ!$H$24:$H$27,MATCH($C9,Univ!$A$24:$A$27,0))</f>
        <v>1.5</v>
      </c>
      <c r="P9" s="29">
        <f>(INDEX(Univ!$G$6:$G$11,MATCH(D9,Univ!$A$6:$A$11,0))+INDEX(Univ!$G$13:$G$15,MATCH(E9,Univ!$A$13:$A$15,0))+INDEX(Univ!$G$24:$G$27,MATCH($C9,Univ!$A$24:$A$27,0)))*AV9*(1+AZ9)</f>
        <v>5.8800123685707882E-2</v>
      </c>
      <c r="Q9" s="3">
        <f t="shared" si="12"/>
        <v>0.49149999999999999</v>
      </c>
      <c r="R9" s="3">
        <f t="shared" si="13"/>
        <v>8.1916666666666665E-2</v>
      </c>
      <c r="S9" s="71">
        <f>FLOOR((Q9-Univ!$F$1)/Univ!$F$2-IF(T9&lt;0,T9,0),0.1)</f>
        <v>-0.60000000000000009</v>
      </c>
      <c r="T9" s="65">
        <f>((INDEX(Univ!$F$6:$F$11,MATCH(D9,Univ!$A$6:$A$11,0))+INDEX(Univ!$F$13:$F$15,MATCH(E9,Univ!$A$13:$A$15,0))+INDEX(Univ!$F$24:$F$27,MATCH($C9,Univ!$A$24:$A$27,0)))*Univ!$D$2+Univ!$D$1-R9)/Univ!$D$2</f>
        <v>3.5221227739498833</v>
      </c>
      <c r="U9" s="12">
        <v>0.35</v>
      </c>
      <c r="V9" s="12">
        <v>0.85</v>
      </c>
      <c r="W9" s="12">
        <v>0.2</v>
      </c>
      <c r="X9" s="12">
        <v>0.75</v>
      </c>
      <c r="Y9" s="12">
        <v>0.25</v>
      </c>
      <c r="Z9" s="12">
        <v>0.15</v>
      </c>
      <c r="AA9" s="12">
        <v>0.05</v>
      </c>
      <c r="AB9" s="12">
        <v>0.1</v>
      </c>
      <c r="AC9" s="12">
        <v>0.1</v>
      </c>
      <c r="AD9" s="12">
        <v>0.01</v>
      </c>
      <c r="AE9" s="12">
        <v>0.05</v>
      </c>
      <c r="AF9" s="12">
        <v>0.01</v>
      </c>
      <c r="AG9" s="58">
        <f t="shared" si="14"/>
        <v>1</v>
      </c>
      <c r="AH9" s="60">
        <f t="shared" si="15"/>
        <v>5.2500000000000005E-2</v>
      </c>
      <c r="AI9" s="60">
        <f t="shared" si="16"/>
        <v>0.05</v>
      </c>
      <c r="AJ9" s="60">
        <f t="shared" si="17"/>
        <v>0.21249999999999999</v>
      </c>
      <c r="AK9" s="60">
        <f t="shared" si="18"/>
        <v>4.5000000000000005E-2</v>
      </c>
      <c r="AL9" s="60">
        <f t="shared" si="19"/>
        <v>9.9000000000000005E-2</v>
      </c>
      <c r="AM9" s="60">
        <f t="shared" si="20"/>
        <v>4.9500000000000002E-2</v>
      </c>
      <c r="AN9" s="81">
        <v>0.35</v>
      </c>
      <c r="AO9" s="82">
        <f>0.001+INDEX(Univ!$C$6:$C$11,MATCH(D9,Univ!$A$6:$A$11,0))*0.01+INDEX(Univ!$C$13:$C$15,MATCH(E9,Univ!$A$13:$A$15,0))*0.01+INDEX(Univ!$C$24:$C$27,MATCH($C9,Univ!$A$24:$A$27,0))*0.01+BA9</f>
        <v>4.1000000000000002E-2</v>
      </c>
      <c r="AP9" s="83">
        <f>U9*Univ!$B$17*IF(V9&gt;Univ!$C$17,1,V9/Univ!$C$17)</f>
        <v>0.26249999999999996</v>
      </c>
      <c r="AQ9" s="83">
        <f>W9*Univ!$B$18*IF(X9&gt;Univ!$C$18,1,X9/Univ!$C$18)</f>
        <v>0.15000000000000002</v>
      </c>
      <c r="AR9" s="83">
        <f>Y9*Univ!$B$19*IF(Z9&gt;Univ!$C$19,1,Z9/Univ!$C$19)</f>
        <v>0.11249999999999999</v>
      </c>
      <c r="AS9" s="83">
        <f>AA9*Univ!$B$20*IF(AB9&gt;Univ!$C$20,1,AB9/Univ!$C$20)</f>
        <v>1.2500000000000001E-2</v>
      </c>
      <c r="AT9" s="83">
        <f>AC9*Univ!$B$21*IF(AD9&gt;Univ!$C$21,1,AD9/Univ!$C$21)</f>
        <v>9.0909090909090909E-4</v>
      </c>
      <c r="AU9" s="83">
        <f>AE9*Univ!$B$22*IF(AF9&gt;Univ!$C$22,1,AF9/Univ!$C$22)</f>
        <v>1.8181818181818182E-3</v>
      </c>
      <c r="AV9" s="83">
        <f t="shared" si="21"/>
        <v>0.73500154607134849</v>
      </c>
      <c r="AW9" s="21">
        <f t="shared" si="1"/>
        <v>0</v>
      </c>
      <c r="AX9" s="97">
        <f t="shared" si="2"/>
        <v>0</v>
      </c>
      <c r="AY9" s="22">
        <f t="shared" si="3"/>
        <v>0</v>
      </c>
      <c r="AZ9" s="98">
        <f t="shared" si="4"/>
        <v>0</v>
      </c>
      <c r="BA9" s="98">
        <f t="shared" si="5"/>
        <v>0</v>
      </c>
      <c r="BB9" s="98">
        <f t="shared" si="6"/>
        <v>0</v>
      </c>
      <c r="BC9" s="98">
        <f t="shared" si="7"/>
        <v>0</v>
      </c>
    </row>
    <row r="10" spans="1:55" x14ac:dyDescent="0.25">
      <c r="A10" t="str">
        <f>Stats!A10</f>
        <v>NET</v>
      </c>
      <c r="B10" t="str">
        <f>Stats!B10</f>
        <v>The Republic of the Netherlands</v>
      </c>
      <c r="C10" t="s">
        <v>347</v>
      </c>
      <c r="D10" t="s">
        <v>222</v>
      </c>
      <c r="E10" t="s">
        <v>231</v>
      </c>
      <c r="F10" s="47" t="s">
        <v>250</v>
      </c>
      <c r="G10" s="58" t="str">
        <f t="shared" si="0"/>
        <v>Socialist</v>
      </c>
      <c r="H10" s="74">
        <f t="shared" si="8"/>
        <v>7</v>
      </c>
      <c r="I10" s="25">
        <f t="shared" si="9"/>
        <v>7.5</v>
      </c>
      <c r="J10" s="74">
        <f t="shared" si="10"/>
        <v>13</v>
      </c>
      <c r="K10" s="25">
        <f t="shared" si="11"/>
        <v>2.6172499999999999</v>
      </c>
      <c r="L10">
        <f>INDEX(Univ!$E$6:$E$11,MATCH($D10,Univ!$A$6:$A$11,0))+INDEX(Univ!$E$13:$E$15,MATCH($E10,Univ!$A$13:$A$15,0))+INDEX(Univ!$E$24:$E$27,MATCH($C10,Univ!$A$24:$A$27,0))</f>
        <v>5</v>
      </c>
      <c r="M10">
        <f>INDEX(Univ!$B$6:$B$11,MATCH($D10,Univ!$A$6:$A$11,0))+INDEX(Univ!$B$13:$B$15,MATCH($E10,Univ!$A$13:$A$15,0))+INDEX(Univ!$B$24:$B$27,MATCH($C10,Univ!$A$24:$A$27,0))</f>
        <v>7</v>
      </c>
      <c r="N10">
        <f>INDEX(Univ!$D$6:$D$11,MATCH(D10,Univ!$A$6:$A$11,0))+INDEX(Univ!$D$13:$D$15,MATCH(E10,Univ!$A$13:$A$15,0))+INDEX(Univ!$D$24:$D$27,MATCH($C10,Univ!$A$24:$A$27,0))</f>
        <v>12</v>
      </c>
      <c r="O10">
        <f>INDEX(Univ!$H$6:$H$11,MATCH($D10,Univ!$A$6:$A$11,0))+INDEX(Univ!$H$13:$H$15,MATCH($E10,Univ!$A$13:$A$15,0))+INDEX(Univ!$H$24:$H$27,MATCH($C10,Univ!$A$24:$A$27,0))</f>
        <v>1.9</v>
      </c>
      <c r="P10" s="29">
        <f>(INDEX(Univ!$G$6:$G$11,MATCH(D10,Univ!$A$6:$A$11,0))+INDEX(Univ!$G$13:$G$15,MATCH(E10,Univ!$A$13:$A$15,0))+INDEX(Univ!$G$24:$G$27,MATCH($C10,Univ!$A$24:$A$27,0)))*AV10*(1+AZ10)</f>
        <v>9.3223735028839474E-2</v>
      </c>
      <c r="Q10" s="3">
        <f t="shared" si="12"/>
        <v>0.69950000000000001</v>
      </c>
      <c r="R10" s="3">
        <f t="shared" si="13"/>
        <v>0.11658333333333333</v>
      </c>
      <c r="S10" s="71">
        <f>FLOOR((Q10-Univ!$F$1)/Univ!$F$2-IF(T10&lt;0,T10,0),0.1)</f>
        <v>1.5</v>
      </c>
      <c r="T10" s="65">
        <f>((INDEX(Univ!$F$6:$F$11,MATCH(D10,Univ!$A$6:$A$11,0))+INDEX(Univ!$F$13:$F$15,MATCH(E10,Univ!$A$13:$A$15,0))+INDEX(Univ!$F$24:$F$27,MATCH($C10,Univ!$A$24:$A$27,0)))*Univ!$D$2+Univ!$D$1-R10)/Univ!$D$2</f>
        <v>-0.27135951440505546</v>
      </c>
      <c r="U10" s="12">
        <v>0.05</v>
      </c>
      <c r="V10" s="12">
        <v>0.5</v>
      </c>
      <c r="W10" s="12">
        <v>0.35</v>
      </c>
      <c r="X10" s="12">
        <v>0.9</v>
      </c>
      <c r="Y10" s="12">
        <v>0.35</v>
      </c>
      <c r="Z10" s="12">
        <v>0.9</v>
      </c>
      <c r="AA10" s="12">
        <v>0.03</v>
      </c>
      <c r="AB10" s="12">
        <v>0.1</v>
      </c>
      <c r="AC10" s="12">
        <v>0.05</v>
      </c>
      <c r="AD10" s="12">
        <v>0.15</v>
      </c>
      <c r="AE10" s="12">
        <v>0.17</v>
      </c>
      <c r="AF10" s="12">
        <v>0.2</v>
      </c>
      <c r="AG10" s="58">
        <f t="shared" si="14"/>
        <v>1</v>
      </c>
      <c r="AH10" s="60">
        <f t="shared" si="15"/>
        <v>2.5000000000000001E-2</v>
      </c>
      <c r="AI10" s="60">
        <f t="shared" si="16"/>
        <v>3.4999999999999989E-2</v>
      </c>
      <c r="AJ10" s="60">
        <f t="shared" si="17"/>
        <v>3.4999999999999989E-2</v>
      </c>
      <c r="AK10" s="60">
        <f t="shared" si="18"/>
        <v>2.7E-2</v>
      </c>
      <c r="AL10" s="60">
        <f t="shared" si="19"/>
        <v>4.2500000000000003E-2</v>
      </c>
      <c r="AM10" s="60">
        <f t="shared" si="20"/>
        <v>0.13600000000000001</v>
      </c>
      <c r="AN10" s="81">
        <v>0.35</v>
      </c>
      <c r="AO10" s="82">
        <f>0.001+INDEX(Univ!$C$6:$C$11,MATCH(D10,Univ!$A$6:$A$11,0))*0.01+INDEX(Univ!$C$13:$C$15,MATCH(E10,Univ!$A$13:$A$15,0))*0.01+INDEX(Univ!$C$24:$C$27,MATCH($C10,Univ!$A$24:$A$27,0))*0.01+BA10</f>
        <v>3.1E-2</v>
      </c>
      <c r="AP10" s="83">
        <f>U10*Univ!$B$17*IF(V10&gt;Univ!$C$17,1,V10/Univ!$C$17)</f>
        <v>3.7500000000000006E-2</v>
      </c>
      <c r="AQ10" s="83">
        <f>W10*Univ!$B$18*IF(X10&gt;Univ!$C$18,1,X10/Univ!$C$18)</f>
        <v>0.26249999999999996</v>
      </c>
      <c r="AR10" s="83">
        <f>Y10*Univ!$B$19*IF(Z10&gt;Univ!$C$19,1,Z10/Univ!$C$19)</f>
        <v>0.52499999999999991</v>
      </c>
      <c r="AS10" s="83">
        <f>AA10*Univ!$B$20*IF(AB10&gt;Univ!$C$20,1,AB10/Univ!$C$20)</f>
        <v>7.5000000000000006E-3</v>
      </c>
      <c r="AT10" s="83">
        <f>AC10*Univ!$B$21*IF(AD10&gt;Univ!$C$21,1,AD10/Univ!$C$21)</f>
        <v>6.8181818181818179E-3</v>
      </c>
      <c r="AU10" s="83">
        <f>AE10*Univ!$B$22*IF(AF10&gt;Univ!$C$22,1,AF10/Univ!$C$22)</f>
        <v>0.12363636363636366</v>
      </c>
      <c r="AV10" s="83">
        <f t="shared" si="21"/>
        <v>0.98130247398778392</v>
      </c>
      <c r="AW10" s="21">
        <f t="shared" si="1"/>
        <v>0</v>
      </c>
      <c r="AX10" s="97">
        <f t="shared" si="2"/>
        <v>0</v>
      </c>
      <c r="AY10" s="22">
        <f t="shared" si="3"/>
        <v>0</v>
      </c>
      <c r="AZ10" s="98">
        <f t="shared" si="4"/>
        <v>0</v>
      </c>
      <c r="BA10" s="98">
        <f t="shared" si="5"/>
        <v>0</v>
      </c>
      <c r="BB10" s="98">
        <f t="shared" si="6"/>
        <v>0</v>
      </c>
      <c r="BC10" s="98">
        <f t="shared" si="7"/>
        <v>0</v>
      </c>
    </row>
    <row r="11" spans="1:55" x14ac:dyDescent="0.25">
      <c r="A11" t="str">
        <f>Stats!A11</f>
        <v>GER</v>
      </c>
      <c r="B11" t="str">
        <f>Stats!B11</f>
        <v>The Union of German Workers' Council Republics</v>
      </c>
      <c r="C11" t="s">
        <v>347</v>
      </c>
      <c r="D11" t="s">
        <v>226</v>
      </c>
      <c r="E11" t="s">
        <v>231</v>
      </c>
      <c r="F11" s="47" t="s">
        <v>234</v>
      </c>
      <c r="G11" s="58" t="str">
        <f t="shared" si="0"/>
        <v>Imperialist</v>
      </c>
      <c r="H11" s="74">
        <f t="shared" si="8"/>
        <v>2</v>
      </c>
      <c r="I11" s="25">
        <f t="shared" si="9"/>
        <v>7.5</v>
      </c>
      <c r="J11" s="74">
        <f t="shared" si="10"/>
        <v>8</v>
      </c>
      <c r="K11" s="25">
        <f t="shared" si="11"/>
        <v>3.7250000000000001</v>
      </c>
      <c r="L11">
        <f>INDEX(Univ!$E$6:$E$11,MATCH($D11,Univ!$A$6:$A$11,0))+INDEX(Univ!$E$13:$E$15,MATCH($E11,Univ!$A$13:$A$15,0))+INDEX(Univ!$E$24:$E$27,MATCH($C11,Univ!$A$24:$A$27,0))</f>
        <v>2</v>
      </c>
      <c r="M11">
        <f>INDEX(Univ!$B$6:$B$11,MATCH($D11,Univ!$A$6:$A$11,0))+INDEX(Univ!$B$13:$B$15,MATCH($E11,Univ!$A$13:$A$15,0))+INDEX(Univ!$B$24:$B$27,MATCH($C11,Univ!$A$24:$A$27,0))</f>
        <v>8</v>
      </c>
      <c r="N11">
        <f>INDEX(Univ!$D$6:$D$11,MATCH(D11,Univ!$A$6:$A$11,0))+INDEX(Univ!$D$13:$D$15,MATCH(E11,Univ!$A$13:$A$15,0))+INDEX(Univ!$D$24:$D$27,MATCH($C11,Univ!$A$24:$A$27,0))</f>
        <v>8</v>
      </c>
      <c r="O11">
        <f>INDEX(Univ!$H$6:$H$11,MATCH($D11,Univ!$A$6:$A$11,0))+INDEX(Univ!$H$13:$H$15,MATCH($E11,Univ!$A$13:$A$15,0))+INDEX(Univ!$H$24:$H$27,MATCH($C11,Univ!$A$24:$A$27,0))</f>
        <v>2.5</v>
      </c>
      <c r="P11" s="29">
        <f>(INDEX(Univ!$G$6:$G$11,MATCH(D11,Univ!$A$6:$A$11,0))+INDEX(Univ!$G$13:$G$15,MATCH(E11,Univ!$A$13:$A$15,0))+INDEX(Univ!$G$24:$G$27,MATCH($C11,Univ!$A$24:$A$27,0)))*AV11*(1+AZ11)</f>
        <v>8.2724384939607529E-2</v>
      </c>
      <c r="Q11" s="3">
        <f t="shared" si="12"/>
        <v>0.57099999999999995</v>
      </c>
      <c r="R11" s="3">
        <f t="shared" si="13"/>
        <v>9.5166666666666663E-2</v>
      </c>
      <c r="S11" s="71">
        <f>FLOOR((Q11-Univ!$F$1)/Univ!$F$2-IF(T11&lt;0,T11,0),0.1)</f>
        <v>0.1</v>
      </c>
      <c r="T11" s="65">
        <f>((INDEX(Univ!$F$6:$F$11,MATCH(D11,Univ!$A$6:$A$11,0))+INDEX(Univ!$F$13:$F$15,MATCH(E11,Univ!$A$13:$A$15,0))+INDEX(Univ!$F$24:$F$27,MATCH($C11,Univ!$A$24:$A$27,0)))*Univ!$D$2+Univ!$D$1-R11)/Univ!$D$2</f>
        <v>0.83663314931422139</v>
      </c>
      <c r="U11" s="12">
        <v>0.1</v>
      </c>
      <c r="V11" s="12">
        <v>0.33</v>
      </c>
      <c r="W11" s="12">
        <v>0.2</v>
      </c>
      <c r="X11" s="12">
        <v>0.33</v>
      </c>
      <c r="Y11" s="12">
        <v>0.2</v>
      </c>
      <c r="Z11" s="12">
        <v>0.66</v>
      </c>
      <c r="AA11" s="12">
        <v>0.1</v>
      </c>
      <c r="AB11" s="12">
        <v>0.33</v>
      </c>
      <c r="AC11" s="12">
        <v>0.1</v>
      </c>
      <c r="AD11" s="12">
        <v>0.1</v>
      </c>
      <c r="AE11" s="12">
        <v>0.3</v>
      </c>
      <c r="AF11" s="12">
        <v>0.99</v>
      </c>
      <c r="AG11" s="58">
        <f t="shared" si="14"/>
        <v>1</v>
      </c>
      <c r="AH11" s="60">
        <f t="shared" si="15"/>
        <v>6.699999999999999E-2</v>
      </c>
      <c r="AI11" s="60">
        <f t="shared" si="16"/>
        <v>0.13399999999999998</v>
      </c>
      <c r="AJ11" s="60">
        <f t="shared" si="17"/>
        <v>6.7999999999999991E-2</v>
      </c>
      <c r="AK11" s="60">
        <f t="shared" si="18"/>
        <v>6.699999999999999E-2</v>
      </c>
      <c r="AL11" s="60">
        <f t="shared" si="19"/>
        <v>9.0000000000000011E-2</v>
      </c>
      <c r="AM11" s="60">
        <f t="shared" si="20"/>
        <v>3.0000000000000027E-3</v>
      </c>
      <c r="AN11" s="81">
        <v>0.1</v>
      </c>
      <c r="AO11" s="82">
        <f>0.001+INDEX(Univ!$C$6:$C$11,MATCH(D11,Univ!$A$6:$A$11,0))*0.01+INDEX(Univ!$C$13:$C$15,MATCH(E11,Univ!$A$13:$A$15,0))*0.01+INDEX(Univ!$C$24:$C$27,MATCH($C11,Univ!$A$24:$A$27,0))*0.01+BA11</f>
        <v>-9.0000000000000011E-3</v>
      </c>
      <c r="AP11" s="83">
        <f>U11*Univ!$B$17*IF(V11&gt;Univ!$C$17,1,V11/Univ!$C$17)</f>
        <v>7.5000000000000011E-2</v>
      </c>
      <c r="AQ11" s="83">
        <f>W11*Univ!$B$18*IF(X11&gt;Univ!$C$18,1,X11/Univ!$C$18)</f>
        <v>0.15000000000000002</v>
      </c>
      <c r="AR11" s="83">
        <f>Y11*Univ!$B$19*IF(Z11&gt;Univ!$C$19,1,Z11/Univ!$C$19)</f>
        <v>0.30000000000000004</v>
      </c>
      <c r="AS11" s="83">
        <f>AA11*Univ!$B$20*IF(AB11&gt;Univ!$C$20,1,AB11/Univ!$C$20)</f>
        <v>8.2500000000000004E-2</v>
      </c>
      <c r="AT11" s="83">
        <f>AC11*Univ!$B$21*IF(AD11&gt;Univ!$C$21,1,AD11/Univ!$C$21)</f>
        <v>9.0909090909090922E-3</v>
      </c>
      <c r="AU11" s="83">
        <f>AE11*Univ!$B$22*IF(AF11&gt;Univ!$C$22,1,AF11/Univ!$C$22)</f>
        <v>0.6</v>
      </c>
      <c r="AV11" s="83">
        <f t="shared" si="21"/>
        <v>1.1029917991947671</v>
      </c>
      <c r="AW11" s="21">
        <f t="shared" si="1"/>
        <v>0</v>
      </c>
      <c r="AX11" s="97">
        <f t="shared" si="2"/>
        <v>0</v>
      </c>
      <c r="AY11" s="22">
        <f t="shared" si="3"/>
        <v>0</v>
      </c>
      <c r="AZ11" s="98">
        <f t="shared" si="4"/>
        <v>0</v>
      </c>
      <c r="BA11" s="98">
        <f t="shared" si="5"/>
        <v>0</v>
      </c>
      <c r="BB11" s="98">
        <f t="shared" si="6"/>
        <v>0</v>
      </c>
      <c r="BC11" s="98">
        <f t="shared" si="7"/>
        <v>0</v>
      </c>
    </row>
    <row r="12" spans="1:55" x14ac:dyDescent="0.25">
      <c r="A12" t="str">
        <f>Stats!A12</f>
        <v>PRR</v>
      </c>
      <c r="B12" t="str">
        <f>Stats!B12</f>
        <v>The People's Republic of the Ruhr</v>
      </c>
      <c r="C12" t="s">
        <v>346</v>
      </c>
      <c r="D12" t="s">
        <v>222</v>
      </c>
      <c r="E12" t="s">
        <v>229</v>
      </c>
      <c r="F12" s="47" t="s">
        <v>234</v>
      </c>
      <c r="G12" s="58" t="str">
        <f t="shared" si="0"/>
        <v>Democrat</v>
      </c>
      <c r="H12" s="74">
        <f t="shared" si="8"/>
        <v>11</v>
      </c>
      <c r="I12" s="25">
        <f t="shared" si="9"/>
        <v>5.5</v>
      </c>
      <c r="J12" s="74">
        <f t="shared" si="10"/>
        <v>13</v>
      </c>
      <c r="K12" s="25">
        <f t="shared" si="11"/>
        <v>2.7507462824711011</v>
      </c>
      <c r="L12">
        <f>INDEX(Univ!$E$6:$E$11,MATCH($D12,Univ!$A$6:$A$11,0))+INDEX(Univ!$E$13:$E$15,MATCH($E12,Univ!$A$13:$A$15,0))+INDEX(Univ!$E$24:$E$27,MATCH($C12,Univ!$A$24:$A$27,0))</f>
        <v>9</v>
      </c>
      <c r="M12">
        <f>INDEX(Univ!$B$6:$B$11,MATCH($D12,Univ!$A$6:$A$11,0))+INDEX(Univ!$B$13:$B$15,MATCH($E12,Univ!$A$13:$A$15,0))+INDEX(Univ!$B$24:$B$27,MATCH($C12,Univ!$A$24:$A$27,0))</f>
        <v>4</v>
      </c>
      <c r="N12">
        <f>INDEX(Univ!$D$6:$D$11,MATCH(D12,Univ!$A$6:$A$11,0))+INDEX(Univ!$D$13:$D$15,MATCH(E12,Univ!$A$13:$A$15,0))+INDEX(Univ!$D$24:$D$27,MATCH($C12,Univ!$A$24:$A$27,0))</f>
        <v>12</v>
      </c>
      <c r="O12">
        <f>INDEX(Univ!$H$6:$H$11,MATCH($D12,Univ!$A$6:$A$11,0))+INDEX(Univ!$H$13:$H$15,MATCH($E12,Univ!$A$13:$A$15,0))+INDEX(Univ!$H$24:$H$27,MATCH($C12,Univ!$A$24:$A$27,0))</f>
        <v>1.9</v>
      </c>
      <c r="P12" s="29">
        <f>(INDEX(Univ!$G$6:$G$11,MATCH(D12,Univ!$A$6:$A$11,0))+INDEX(Univ!$G$13:$G$15,MATCH(E12,Univ!$A$13:$A$15,0))+INDEX(Univ!$G$24:$G$27,MATCH($C12,Univ!$A$24:$A$27,0)))*AV12*(1+AZ12)</f>
        <v>0.15197078482030077</v>
      </c>
      <c r="Q12" s="3">
        <f t="shared" si="12"/>
        <v>0.61549999999999994</v>
      </c>
      <c r="R12" s="3">
        <f t="shared" si="13"/>
        <v>0.10258333333333332</v>
      </c>
      <c r="S12" s="71">
        <f>FLOOR((Q12-Univ!$F$1)/Univ!$F$2-IF(T12&lt;0,T12,0),0.1)</f>
        <v>1.5</v>
      </c>
      <c r="T12" s="65">
        <f>((INDEX(Univ!$F$6:$F$11,MATCH(D12,Univ!$A$6:$A$11,0))+INDEX(Univ!$F$13:$F$15,MATCH(E12,Univ!$A$13:$A$15,0))+INDEX(Univ!$F$24:$F$27,MATCH($C12,Univ!$A$24:$A$27,0)))*Univ!$D$2+Univ!$D$1-R12)/Univ!$D$2</f>
        <v>-1.0470685902617138</v>
      </c>
      <c r="U12" s="12">
        <v>0.1</v>
      </c>
      <c r="V12" s="12">
        <v>0.2</v>
      </c>
      <c r="W12" s="12">
        <v>0.3</v>
      </c>
      <c r="X12" s="12">
        <v>0.75</v>
      </c>
      <c r="Y12" s="12">
        <v>0.1</v>
      </c>
      <c r="Z12" s="12">
        <v>0.05</v>
      </c>
      <c r="AA12" s="12">
        <v>0.1</v>
      </c>
      <c r="AB12" s="12">
        <v>0.5</v>
      </c>
      <c r="AC12" s="12">
        <v>0.05</v>
      </c>
      <c r="AD12" s="12">
        <v>0.01</v>
      </c>
      <c r="AE12" s="12">
        <v>0.35</v>
      </c>
      <c r="AF12" s="12">
        <v>0.9</v>
      </c>
      <c r="AG12" s="58">
        <f t="shared" si="14"/>
        <v>1</v>
      </c>
      <c r="AH12" s="60">
        <f t="shared" si="15"/>
        <v>8.0000000000000016E-2</v>
      </c>
      <c r="AI12" s="60">
        <f t="shared" si="16"/>
        <v>7.4999999999999997E-2</v>
      </c>
      <c r="AJ12" s="60">
        <f t="shared" si="17"/>
        <v>9.5000000000000001E-2</v>
      </c>
      <c r="AK12" s="60">
        <f t="shared" si="18"/>
        <v>0.05</v>
      </c>
      <c r="AL12" s="60">
        <f t="shared" si="19"/>
        <v>4.9500000000000002E-2</v>
      </c>
      <c r="AM12" s="60">
        <f t="shared" si="20"/>
        <v>3.4999999999999989E-2</v>
      </c>
      <c r="AN12" s="81">
        <v>0.125</v>
      </c>
      <c r="AO12" s="82">
        <f>0.001+INDEX(Univ!$C$6:$C$11,MATCH(D12,Univ!$A$6:$A$11,0))*0.01+INDEX(Univ!$C$13:$C$15,MATCH(E12,Univ!$A$13:$A$15,0))*0.01+INDEX(Univ!$C$24:$C$27,MATCH($C12,Univ!$A$24:$A$27,0))*0.01+BA12</f>
        <v>3.0999999999999996E-2</v>
      </c>
      <c r="AP12" s="83">
        <f>U12*Univ!$B$17*IF(V12&gt;Univ!$C$17,1,V12/Univ!$C$17)</f>
        <v>6.0000000000000012E-2</v>
      </c>
      <c r="AQ12" s="83">
        <f>W12*Univ!$B$18*IF(X12&gt;Univ!$C$18,1,X12/Univ!$C$18)</f>
        <v>0.22499999999999998</v>
      </c>
      <c r="AR12" s="83">
        <f>Y12*Univ!$B$19*IF(Z12&gt;Univ!$C$19,1,Z12/Univ!$C$19)</f>
        <v>1.5000000000000003E-2</v>
      </c>
      <c r="AS12" s="83">
        <f>AA12*Univ!$B$20*IF(AB12&gt;Univ!$C$20,1,AB12/Univ!$C$20)</f>
        <v>0.125</v>
      </c>
      <c r="AT12" s="83">
        <f>AC12*Univ!$B$21*IF(AD12&gt;Univ!$C$21,1,AD12/Univ!$C$21)</f>
        <v>4.5454545454545455E-4</v>
      </c>
      <c r="AU12" s="83">
        <f>AE12*Univ!$B$22*IF(AF12&gt;Univ!$C$22,1,AF12/Univ!$C$22)</f>
        <v>0.7</v>
      </c>
      <c r="AV12" s="83">
        <f t="shared" si="21"/>
        <v>1.1038837692251842</v>
      </c>
      <c r="AW12" s="21">
        <f t="shared" si="1"/>
        <v>0</v>
      </c>
      <c r="AX12" s="97">
        <f t="shared" si="2"/>
        <v>0</v>
      </c>
      <c r="AY12" s="22">
        <f t="shared" si="3"/>
        <v>0</v>
      </c>
      <c r="AZ12" s="98">
        <f t="shared" si="4"/>
        <v>0.10135352331138284</v>
      </c>
      <c r="BA12" s="98">
        <f t="shared" si="5"/>
        <v>0</v>
      </c>
      <c r="BB12" s="98">
        <f t="shared" si="6"/>
        <v>4.0541409324553135E-2</v>
      </c>
      <c r="BC12" s="98">
        <f t="shared" si="7"/>
        <v>-2.4666138071188587E-2</v>
      </c>
    </row>
    <row r="13" spans="1:55" x14ac:dyDescent="0.25">
      <c r="A13" t="str">
        <f>Stats!A13</f>
        <v>GFA</v>
      </c>
      <c r="B13" t="str">
        <f>Stats!B13</f>
        <v>The German Federalist Alliance</v>
      </c>
      <c r="C13" t="s">
        <v>346</v>
      </c>
      <c r="D13" t="s">
        <v>223</v>
      </c>
      <c r="E13" t="s">
        <v>229</v>
      </c>
      <c r="F13" s="47" t="s">
        <v>234</v>
      </c>
      <c r="G13" s="58" t="str">
        <f t="shared" si="0"/>
        <v>Imperialist</v>
      </c>
      <c r="H13" s="74">
        <f t="shared" si="8"/>
        <v>10</v>
      </c>
      <c r="I13" s="25">
        <f t="shared" si="9"/>
        <v>5.5</v>
      </c>
      <c r="J13" s="74">
        <f t="shared" si="10"/>
        <v>12</v>
      </c>
      <c r="K13" s="25">
        <f t="shared" si="11"/>
        <v>2.8203125</v>
      </c>
      <c r="L13">
        <f>INDEX(Univ!$E$6:$E$11,MATCH($D13,Univ!$A$6:$A$11,0))+INDEX(Univ!$E$13:$E$15,MATCH($E13,Univ!$A$13:$A$15,0))+INDEX(Univ!$E$24:$E$27,MATCH($C13,Univ!$A$24:$A$27,0))</f>
        <v>8</v>
      </c>
      <c r="M13">
        <f>INDEX(Univ!$B$6:$B$11,MATCH($D13,Univ!$A$6:$A$11,0))+INDEX(Univ!$B$13:$B$15,MATCH($E13,Univ!$A$13:$A$15,0))+INDEX(Univ!$B$24:$B$27,MATCH($C13,Univ!$A$24:$A$27,0))</f>
        <v>4</v>
      </c>
      <c r="N13">
        <f>INDEX(Univ!$D$6:$D$11,MATCH(D13,Univ!$A$6:$A$11,0))+INDEX(Univ!$D$13:$D$15,MATCH(E13,Univ!$A$13:$A$15,0))+INDEX(Univ!$D$24:$D$27,MATCH($C13,Univ!$A$24:$A$27,0))</f>
        <v>11</v>
      </c>
      <c r="O13">
        <f>INDEX(Univ!$H$6:$H$11,MATCH($D13,Univ!$A$6:$A$11,0))+INDEX(Univ!$H$13:$H$15,MATCH($E13,Univ!$A$13:$A$15,0))+INDEX(Univ!$H$24:$H$27,MATCH($C13,Univ!$A$24:$A$27,0))</f>
        <v>1.9</v>
      </c>
      <c r="P13" s="29">
        <f>(INDEX(Univ!$G$6:$G$11,MATCH(D13,Univ!$A$6:$A$11,0))+INDEX(Univ!$G$13:$G$15,MATCH(E13,Univ!$A$13:$A$15,0))+INDEX(Univ!$G$24:$G$27,MATCH($C13,Univ!$A$24:$A$27,0)))*AV13*(1+AZ13)</f>
        <v>0.13139489404774518</v>
      </c>
      <c r="Q13" s="3">
        <f t="shared" si="12"/>
        <v>0.60919999999999996</v>
      </c>
      <c r="R13" s="3">
        <f t="shared" si="13"/>
        <v>0.10153333333333332</v>
      </c>
      <c r="S13" s="71">
        <f>FLOOR((Q13-Univ!$F$1)/Univ!$F$2-IF(T13&lt;0,T13,0),0.1)</f>
        <v>1.9000000000000001</v>
      </c>
      <c r="T13" s="65">
        <f>((INDEX(Univ!$F$6:$F$11,MATCH(D13,Univ!$A$6:$A$11,0))+INDEX(Univ!$F$13:$F$15,MATCH(E13,Univ!$A$13:$A$15,0))+INDEX(Univ!$F$24:$F$27,MATCH($C13,Univ!$A$24:$A$27,0)))*Univ!$D$2+Univ!$D$1-R13)/Univ!$D$2</f>
        <v>-1.4927467709509634</v>
      </c>
      <c r="U13" s="12">
        <v>0.1</v>
      </c>
      <c r="V13" s="12">
        <v>0.65</v>
      </c>
      <c r="W13" s="12">
        <v>0.35</v>
      </c>
      <c r="X13" s="12">
        <v>0.5</v>
      </c>
      <c r="Y13" s="12">
        <v>0.15</v>
      </c>
      <c r="Z13" s="12">
        <v>0.35</v>
      </c>
      <c r="AA13" s="12">
        <v>0.03</v>
      </c>
      <c r="AB13" s="12">
        <v>0.05</v>
      </c>
      <c r="AC13" s="12">
        <v>0.02</v>
      </c>
      <c r="AD13" s="12">
        <v>0.01</v>
      </c>
      <c r="AE13" s="12">
        <v>0.35</v>
      </c>
      <c r="AF13" s="12">
        <v>0.9</v>
      </c>
      <c r="AG13" s="58">
        <f t="shared" si="14"/>
        <v>1</v>
      </c>
      <c r="AH13" s="60">
        <f t="shared" si="15"/>
        <v>3.4999999999999996E-2</v>
      </c>
      <c r="AI13" s="60">
        <f t="shared" si="16"/>
        <v>0.17499999999999999</v>
      </c>
      <c r="AJ13" s="60">
        <f t="shared" si="17"/>
        <v>9.7500000000000003E-2</v>
      </c>
      <c r="AK13" s="60">
        <f t="shared" si="18"/>
        <v>2.8499999999999998E-2</v>
      </c>
      <c r="AL13" s="60">
        <f t="shared" si="19"/>
        <v>1.9800000000000002E-2</v>
      </c>
      <c r="AM13" s="60">
        <f t="shared" si="20"/>
        <v>3.4999999999999989E-2</v>
      </c>
      <c r="AN13" s="81">
        <v>0.125</v>
      </c>
      <c r="AO13" s="82">
        <f>0.001+INDEX(Univ!$C$6:$C$11,MATCH(D13,Univ!$A$6:$A$11,0))*0.01+INDEX(Univ!$C$13:$C$15,MATCH(E13,Univ!$A$13:$A$15,0))*0.01+INDEX(Univ!$C$24:$C$27,MATCH($C13,Univ!$A$24:$A$27,0))*0.01+BA13</f>
        <v>2.1000000000000001E-2</v>
      </c>
      <c r="AP13" s="83">
        <f>U13*Univ!$B$17*IF(V13&gt;Univ!$C$17,1,V13/Univ!$C$17)</f>
        <v>7.5000000000000011E-2</v>
      </c>
      <c r="AQ13" s="83">
        <f>W13*Univ!$B$18*IF(X13&gt;Univ!$C$18,1,X13/Univ!$C$18)</f>
        <v>0.26249999999999996</v>
      </c>
      <c r="AR13" s="83">
        <f>Y13*Univ!$B$19*IF(Z13&gt;Univ!$C$19,1,Z13/Univ!$C$19)</f>
        <v>0.15749999999999997</v>
      </c>
      <c r="AS13" s="83">
        <f>AA13*Univ!$B$20*IF(AB13&gt;Univ!$C$20,1,AB13/Univ!$C$20)</f>
        <v>3.7500000000000003E-3</v>
      </c>
      <c r="AT13" s="83">
        <f>AC13*Univ!$B$21*IF(AD13&gt;Univ!$C$21,1,AD13/Univ!$C$21)</f>
        <v>1.8181818181818181E-4</v>
      </c>
      <c r="AU13" s="83">
        <f>AE13*Univ!$B$22*IF(AF13&gt;Univ!$C$22,1,AF13/Univ!$C$22)</f>
        <v>0.7</v>
      </c>
      <c r="AV13" s="83">
        <f t="shared" si="21"/>
        <v>1.0949574503978765</v>
      </c>
      <c r="AW13" s="21">
        <f t="shared" si="1"/>
        <v>0</v>
      </c>
      <c r="AX13" s="97">
        <f t="shared" si="2"/>
        <v>0</v>
      </c>
      <c r="AY13" s="22">
        <f t="shared" si="3"/>
        <v>0</v>
      </c>
      <c r="AZ13" s="98">
        <f t="shared" si="4"/>
        <v>0</v>
      </c>
      <c r="BA13" s="98">
        <f t="shared" si="5"/>
        <v>0</v>
      </c>
      <c r="BB13" s="98">
        <f t="shared" si="6"/>
        <v>0</v>
      </c>
      <c r="BC13" s="98">
        <f t="shared" si="7"/>
        <v>0</v>
      </c>
    </row>
    <row r="14" spans="1:55" x14ac:dyDescent="0.25">
      <c r="A14" t="str">
        <f>Stats!A14</f>
        <v>BWR</v>
      </c>
      <c r="B14" t="str">
        <f>Stats!B14</f>
        <v>The Bavarian Workers' Council Republic</v>
      </c>
      <c r="C14" t="s">
        <v>347</v>
      </c>
      <c r="D14" t="s">
        <v>225</v>
      </c>
      <c r="E14" t="s">
        <v>231</v>
      </c>
      <c r="F14" s="47" t="s">
        <v>234</v>
      </c>
      <c r="G14" s="58" t="str">
        <f t="shared" si="0"/>
        <v>Monarchist</v>
      </c>
      <c r="H14" s="74">
        <f t="shared" si="8"/>
        <v>7</v>
      </c>
      <c r="I14" s="25">
        <f t="shared" si="9"/>
        <v>9</v>
      </c>
      <c r="J14" s="74">
        <f t="shared" si="10"/>
        <v>12</v>
      </c>
      <c r="K14" s="25">
        <f t="shared" si="11"/>
        <v>3.2876250000000002</v>
      </c>
      <c r="L14">
        <f>INDEX(Univ!$E$6:$E$11,MATCH($D14,Univ!$A$6:$A$11,0))+INDEX(Univ!$E$13:$E$15,MATCH($E14,Univ!$A$13:$A$15,0))+INDEX(Univ!$E$24:$E$27,MATCH($C14,Univ!$A$24:$A$27,0))</f>
        <v>3</v>
      </c>
      <c r="M14">
        <f>INDEX(Univ!$B$6:$B$11,MATCH($D14,Univ!$A$6:$A$11,0))+INDEX(Univ!$B$13:$B$15,MATCH($E14,Univ!$A$13:$A$15,0))+INDEX(Univ!$B$24:$B$27,MATCH($C14,Univ!$A$24:$A$27,0))</f>
        <v>6</v>
      </c>
      <c r="N14">
        <f>INDEX(Univ!$D$6:$D$11,MATCH(D14,Univ!$A$6:$A$11,0))+INDEX(Univ!$D$13:$D$15,MATCH(E14,Univ!$A$13:$A$15,0))+INDEX(Univ!$D$24:$D$27,MATCH($C14,Univ!$A$24:$A$27,0))</f>
        <v>9</v>
      </c>
      <c r="O14">
        <f>INDEX(Univ!$H$6:$H$11,MATCH($D14,Univ!$A$6:$A$11,0))+INDEX(Univ!$H$13:$H$15,MATCH($E14,Univ!$A$13:$A$15,0))+INDEX(Univ!$H$24:$H$27,MATCH($C14,Univ!$A$24:$A$27,0))</f>
        <v>2.2000000000000002</v>
      </c>
      <c r="P14" s="29">
        <f>(INDEX(Univ!$G$6:$G$11,MATCH(D14,Univ!$A$6:$A$11,0))+INDEX(Univ!$G$13:$G$15,MATCH(E14,Univ!$A$13:$A$15,0))+INDEX(Univ!$G$24:$G$27,MATCH($C14,Univ!$A$24:$A$27,0)))*AV14*(1+AZ14)</f>
        <v>9.0375378787084987E-2</v>
      </c>
      <c r="Q14" s="3">
        <f t="shared" si="12"/>
        <v>0.68199999999999994</v>
      </c>
      <c r="R14" s="3">
        <f t="shared" si="13"/>
        <v>0.11366666666666665</v>
      </c>
      <c r="S14" s="71">
        <f>FLOOR((Q14-Univ!$F$1)/Univ!$F$2-IF(T14&lt;0,T14,0),0.1)</f>
        <v>3.7</v>
      </c>
      <c r="T14" s="65">
        <f>((INDEX(Univ!$F$6:$F$11,MATCH(D14,Univ!$A$6:$A$11,0))+INDEX(Univ!$F$13:$F$15,MATCH(E14,Univ!$A$13:$A$15,0))+INDEX(Univ!$F$24:$F$27,MATCH($C14,Univ!$A$24:$A$27,0)))*Univ!$D$2+Univ!$D$1-R14)/Univ!$D$2</f>
        <v>-2.6204655718751919</v>
      </c>
      <c r="U14" s="12">
        <v>0.1</v>
      </c>
      <c r="V14" s="12">
        <v>0.01</v>
      </c>
      <c r="W14" s="12">
        <v>0.05</v>
      </c>
      <c r="X14" s="12">
        <v>0.01</v>
      </c>
      <c r="Y14" s="12">
        <v>0.35</v>
      </c>
      <c r="Z14" s="12">
        <v>0.9</v>
      </c>
      <c r="AA14" s="12">
        <v>0.05</v>
      </c>
      <c r="AB14" s="12">
        <v>0.01</v>
      </c>
      <c r="AC14" s="12">
        <v>0.1</v>
      </c>
      <c r="AD14" s="12">
        <v>0.5</v>
      </c>
      <c r="AE14" s="12">
        <v>0.35</v>
      </c>
      <c r="AF14" s="12">
        <v>0.9</v>
      </c>
      <c r="AG14" s="58">
        <f t="shared" si="14"/>
        <v>1</v>
      </c>
      <c r="AH14" s="60">
        <f t="shared" si="15"/>
        <v>9.9000000000000005E-2</v>
      </c>
      <c r="AI14" s="60">
        <f t="shared" si="16"/>
        <v>4.9500000000000002E-2</v>
      </c>
      <c r="AJ14" s="60">
        <f t="shared" si="17"/>
        <v>3.4999999999999989E-2</v>
      </c>
      <c r="AK14" s="60">
        <f t="shared" si="18"/>
        <v>4.9500000000000002E-2</v>
      </c>
      <c r="AL14" s="60">
        <f t="shared" si="19"/>
        <v>0.05</v>
      </c>
      <c r="AM14" s="60">
        <f t="shared" si="20"/>
        <v>3.4999999999999989E-2</v>
      </c>
      <c r="AN14" s="81">
        <v>7.4999999999999997E-2</v>
      </c>
      <c r="AO14" s="82">
        <f>0.001+INDEX(Univ!$C$6:$C$11,MATCH(D14,Univ!$A$6:$A$11,0))*0.01+INDEX(Univ!$C$13:$C$15,MATCH(E14,Univ!$A$13:$A$15,0))*0.01+INDEX(Univ!$C$24:$C$27,MATCH($C14,Univ!$A$24:$A$27,0))*0.01+BA14</f>
        <v>1E-3</v>
      </c>
      <c r="AP14" s="83">
        <f>U14*Univ!$B$17*IF(V14&gt;Univ!$C$17,1,V14/Univ!$C$17)</f>
        <v>3.0000000000000005E-3</v>
      </c>
      <c r="AQ14" s="83">
        <f>W14*Univ!$B$18*IF(X14&gt;Univ!$C$18,1,X14/Univ!$C$18)</f>
        <v>1.5000000000000002E-3</v>
      </c>
      <c r="AR14" s="83">
        <f>Y14*Univ!$B$19*IF(Z14&gt;Univ!$C$19,1,Z14/Univ!$C$19)</f>
        <v>0.52499999999999991</v>
      </c>
      <c r="AS14" s="83">
        <f>AA14*Univ!$B$20*IF(AB14&gt;Univ!$C$20,1,AB14/Univ!$C$20)</f>
        <v>1.25E-3</v>
      </c>
      <c r="AT14" s="83">
        <f>AC14*Univ!$B$21*IF(AD14&gt;Univ!$C$21,1,AD14/Univ!$C$21)</f>
        <v>4.5454545454545456E-2</v>
      </c>
      <c r="AU14" s="83">
        <f>AE14*Univ!$B$22*IF(AF14&gt;Univ!$C$22,1,AF14/Univ!$C$22)</f>
        <v>0.7</v>
      </c>
      <c r="AV14" s="83">
        <f t="shared" si="21"/>
        <v>1.1296922348385623</v>
      </c>
      <c r="AW14" s="21">
        <f t="shared" si="1"/>
        <v>0</v>
      </c>
      <c r="AX14" s="97">
        <f t="shared" si="2"/>
        <v>0</v>
      </c>
      <c r="AY14" s="22">
        <f t="shared" si="3"/>
        <v>0</v>
      </c>
      <c r="AZ14" s="98">
        <f t="shared" si="4"/>
        <v>0</v>
      </c>
      <c r="BA14" s="98">
        <f t="shared" si="5"/>
        <v>0</v>
      </c>
      <c r="BB14" s="98">
        <f t="shared" si="6"/>
        <v>0</v>
      </c>
      <c r="BC14" s="98">
        <f t="shared" si="7"/>
        <v>0</v>
      </c>
    </row>
    <row r="15" spans="1:55" x14ac:dyDescent="0.25">
      <c r="A15" t="str">
        <f>Stats!A15</f>
        <v>ALS</v>
      </c>
      <c r="B15" t="str">
        <f>Stats!B15</f>
        <v>The Free Republic of Alsace-Lorraine</v>
      </c>
      <c r="C15" t="s">
        <v>347</v>
      </c>
      <c r="D15" t="s">
        <v>222</v>
      </c>
      <c r="E15" t="s">
        <v>231</v>
      </c>
      <c r="F15" s="47" t="s">
        <v>250</v>
      </c>
      <c r="G15" s="58" t="str">
        <f t="shared" si="0"/>
        <v>Democrat</v>
      </c>
      <c r="H15" s="74">
        <f t="shared" si="8"/>
        <v>6</v>
      </c>
      <c r="I15" s="25">
        <f t="shared" si="9"/>
        <v>7.5</v>
      </c>
      <c r="J15" s="74">
        <f t="shared" si="10"/>
        <v>13</v>
      </c>
      <c r="K15" s="25">
        <f t="shared" si="11"/>
        <v>2.8072499999999998</v>
      </c>
      <c r="L15">
        <f>INDEX(Univ!$E$6:$E$11,MATCH($D15,Univ!$A$6:$A$11,0))+INDEX(Univ!$E$13:$E$15,MATCH($E15,Univ!$A$13:$A$15,0))+INDEX(Univ!$E$24:$E$27,MATCH($C15,Univ!$A$24:$A$27,0))</f>
        <v>5</v>
      </c>
      <c r="M15">
        <f>INDEX(Univ!$B$6:$B$11,MATCH($D15,Univ!$A$6:$A$11,0))+INDEX(Univ!$B$13:$B$15,MATCH($E15,Univ!$A$13:$A$15,0))+INDEX(Univ!$B$24:$B$27,MATCH($C15,Univ!$A$24:$A$27,0))</f>
        <v>7</v>
      </c>
      <c r="N15">
        <f>INDEX(Univ!$D$6:$D$11,MATCH(D15,Univ!$A$6:$A$11,0))+INDEX(Univ!$D$13:$D$15,MATCH(E15,Univ!$A$13:$A$15,0))+INDEX(Univ!$D$24:$D$27,MATCH($C15,Univ!$A$24:$A$27,0))</f>
        <v>12</v>
      </c>
      <c r="O15">
        <f>INDEX(Univ!$H$6:$H$11,MATCH($D15,Univ!$A$6:$A$11,0))+INDEX(Univ!$H$13:$H$15,MATCH($E15,Univ!$A$13:$A$15,0))+INDEX(Univ!$H$24:$H$27,MATCH($C15,Univ!$A$24:$A$27,0))</f>
        <v>1.9</v>
      </c>
      <c r="P15" s="29">
        <f>(INDEX(Univ!$G$6:$G$11,MATCH(D15,Univ!$A$6:$A$11,0))+INDEX(Univ!$G$13:$G$15,MATCH(E15,Univ!$A$13:$A$15,0))+INDEX(Univ!$G$24:$G$27,MATCH($C15,Univ!$A$24:$A$27,0)))*AV15*(1+AZ15)</f>
        <v>0.11266706534580709</v>
      </c>
      <c r="Q15" s="3">
        <f t="shared" si="12"/>
        <v>0.68400000000000005</v>
      </c>
      <c r="R15" s="3">
        <f t="shared" si="13"/>
        <v>0.114</v>
      </c>
      <c r="S15" s="71">
        <f>FLOOR((Q15-Univ!$F$1)/Univ!$F$2-IF(T15&lt;0,T15,0),0.1)</f>
        <v>1.2000000000000002</v>
      </c>
      <c r="T15" s="65">
        <f>((INDEX(Univ!$F$6:$F$11,MATCH(D15,Univ!$A$6:$A$11,0))+INDEX(Univ!$F$13:$F$15,MATCH(E15,Univ!$A$13:$A$15,0))+INDEX(Univ!$F$24:$F$27,MATCH($C15,Univ!$A$24:$A$27,0)))*Univ!$D$2+Univ!$D$1-R15)/Univ!$D$2</f>
        <v>-0.1377105938786061</v>
      </c>
      <c r="U15" s="12">
        <v>0.05</v>
      </c>
      <c r="V15" s="12">
        <v>0.01</v>
      </c>
      <c r="W15" s="12">
        <v>0.05</v>
      </c>
      <c r="X15" s="12">
        <v>0.01</v>
      </c>
      <c r="Y15" s="12">
        <v>0.4</v>
      </c>
      <c r="Z15" s="12">
        <v>0.85</v>
      </c>
      <c r="AA15" s="12">
        <v>0.05</v>
      </c>
      <c r="AB15" s="12">
        <v>0.01</v>
      </c>
      <c r="AC15" s="12">
        <v>0.05</v>
      </c>
      <c r="AD15" s="12">
        <v>0.05</v>
      </c>
      <c r="AE15" s="12">
        <v>0.4</v>
      </c>
      <c r="AF15" s="12">
        <v>0.85</v>
      </c>
      <c r="AG15" s="58">
        <f t="shared" si="14"/>
        <v>1</v>
      </c>
      <c r="AH15" s="60">
        <f t="shared" si="15"/>
        <v>4.9500000000000002E-2</v>
      </c>
      <c r="AI15" s="60">
        <f t="shared" si="16"/>
        <v>4.9500000000000002E-2</v>
      </c>
      <c r="AJ15" s="60">
        <f t="shared" si="17"/>
        <v>6.0000000000000012E-2</v>
      </c>
      <c r="AK15" s="60">
        <f t="shared" si="18"/>
        <v>4.9500000000000002E-2</v>
      </c>
      <c r="AL15" s="60">
        <f t="shared" si="19"/>
        <v>4.7500000000000001E-2</v>
      </c>
      <c r="AM15" s="60">
        <f t="shared" si="20"/>
        <v>6.0000000000000012E-2</v>
      </c>
      <c r="AN15" s="81">
        <v>0.15</v>
      </c>
      <c r="AO15" s="82">
        <f>0.001+INDEX(Univ!$C$6:$C$11,MATCH(D15,Univ!$A$6:$A$11,0))*0.01+INDEX(Univ!$C$13:$C$15,MATCH(E15,Univ!$A$13:$A$15,0))*0.01+INDEX(Univ!$C$24:$C$27,MATCH($C15,Univ!$A$24:$A$27,0))*0.01+BA15</f>
        <v>3.1E-2</v>
      </c>
      <c r="AP15" s="83">
        <f>U15*Univ!$B$17*IF(V15&gt;Univ!$C$17,1,V15/Univ!$C$17)</f>
        <v>1.5000000000000002E-3</v>
      </c>
      <c r="AQ15" s="83">
        <f>W15*Univ!$B$18*IF(X15&gt;Univ!$C$18,1,X15/Univ!$C$18)</f>
        <v>1.5000000000000002E-3</v>
      </c>
      <c r="AR15" s="83">
        <f>Y15*Univ!$B$19*IF(Z15&gt;Univ!$C$19,1,Z15/Univ!$C$19)</f>
        <v>0.60000000000000009</v>
      </c>
      <c r="AS15" s="83">
        <f>AA15*Univ!$B$20*IF(AB15&gt;Univ!$C$20,1,AB15/Univ!$C$20)</f>
        <v>1.25E-3</v>
      </c>
      <c r="AT15" s="83">
        <f>AC15*Univ!$B$21*IF(AD15&gt;Univ!$C$21,1,AD15/Univ!$C$21)</f>
        <v>2.2727272727272731E-3</v>
      </c>
      <c r="AU15" s="83">
        <f>AE15*Univ!$B$22*IF(AF15&gt;Univ!$C$22,1,AF15/Univ!$C$22)</f>
        <v>0.8</v>
      </c>
      <c r="AV15" s="83">
        <f t="shared" si="21"/>
        <v>1.1859691089032325</v>
      </c>
      <c r="AW15" s="21">
        <f t="shared" si="1"/>
        <v>0</v>
      </c>
      <c r="AX15" s="97">
        <f t="shared" si="2"/>
        <v>0</v>
      </c>
      <c r="AY15" s="22">
        <f t="shared" si="3"/>
        <v>0</v>
      </c>
      <c r="AZ15" s="98">
        <f t="shared" si="4"/>
        <v>0</v>
      </c>
      <c r="BA15" s="98">
        <f t="shared" si="5"/>
        <v>0</v>
      </c>
      <c r="BB15" s="98">
        <f t="shared" si="6"/>
        <v>0</v>
      </c>
      <c r="BC15" s="98">
        <f t="shared" si="7"/>
        <v>0</v>
      </c>
    </row>
    <row r="16" spans="1:55" x14ac:dyDescent="0.25">
      <c r="A16" t="str">
        <f>Stats!A16</f>
        <v>TUR</v>
      </c>
      <c r="B16" t="str">
        <f>Stats!B16</f>
        <v>The Sublime State of Turkey</v>
      </c>
      <c r="C16" t="s">
        <v>346</v>
      </c>
      <c r="D16" t="s">
        <v>222</v>
      </c>
      <c r="E16" t="s">
        <v>229</v>
      </c>
      <c r="F16" s="47" t="s">
        <v>236</v>
      </c>
      <c r="G16" s="58" t="str">
        <f t="shared" si="0"/>
        <v>Socialist</v>
      </c>
      <c r="H16" s="74">
        <f t="shared" si="8"/>
        <v>11</v>
      </c>
      <c r="I16" s="25">
        <f t="shared" si="9"/>
        <v>5.5</v>
      </c>
      <c r="J16" s="74">
        <f t="shared" si="10"/>
        <v>14</v>
      </c>
      <c r="K16" s="25">
        <f t="shared" si="11"/>
        <v>2.774</v>
      </c>
      <c r="L16">
        <f>INDEX(Univ!$E$6:$E$11,MATCH($D16,Univ!$A$6:$A$11,0))+INDEX(Univ!$E$13:$E$15,MATCH($E16,Univ!$A$13:$A$15,0))+INDEX(Univ!$E$24:$E$27,MATCH($C16,Univ!$A$24:$A$27,0))</f>
        <v>9</v>
      </c>
      <c r="M16">
        <f>INDEX(Univ!$B$6:$B$11,MATCH($D16,Univ!$A$6:$A$11,0))+INDEX(Univ!$B$13:$B$15,MATCH($E16,Univ!$A$13:$A$15,0))+INDEX(Univ!$B$24:$B$27,MATCH($C16,Univ!$A$24:$A$27,0))</f>
        <v>4</v>
      </c>
      <c r="N16">
        <f>INDEX(Univ!$D$6:$D$11,MATCH(D16,Univ!$A$6:$A$11,0))+INDEX(Univ!$D$13:$D$15,MATCH(E16,Univ!$A$13:$A$15,0))+INDEX(Univ!$D$24:$D$27,MATCH($C16,Univ!$A$24:$A$27,0))</f>
        <v>12</v>
      </c>
      <c r="O16">
        <f>INDEX(Univ!$H$6:$H$11,MATCH($D16,Univ!$A$6:$A$11,0))+INDEX(Univ!$H$13:$H$15,MATCH($E16,Univ!$A$13:$A$15,0))+INDEX(Univ!$H$24:$H$27,MATCH($C16,Univ!$A$24:$A$27,0))</f>
        <v>1.9</v>
      </c>
      <c r="P16" s="29">
        <f>(INDEX(Univ!$G$6:$G$11,MATCH(D16,Univ!$A$6:$A$11,0))+INDEX(Univ!$G$13:$G$15,MATCH(E16,Univ!$A$13:$A$15,0))+INDEX(Univ!$G$24:$G$27,MATCH($C16,Univ!$A$24:$A$27,0)))*AV16*(1+AZ16)</f>
        <v>0.13843945591682111</v>
      </c>
      <c r="Q16" s="3">
        <f t="shared" si="12"/>
        <v>0.65600000000000003</v>
      </c>
      <c r="R16" s="3">
        <f t="shared" si="13"/>
        <v>0.10933333333333334</v>
      </c>
      <c r="S16" s="71">
        <f>FLOOR((Q16-Univ!$F$1)/Univ!$F$2-IF(T16&lt;0,T16,0),0.1)</f>
        <v>2.2000000000000002</v>
      </c>
      <c r="T16" s="65">
        <f>((INDEX(Univ!$F$6:$F$11,MATCH(D16,Univ!$A$6:$A$11,0))+INDEX(Univ!$F$13:$F$15,MATCH(E16,Univ!$A$13:$A$15,0))+INDEX(Univ!$F$24:$F$27,MATCH($C16,Univ!$A$24:$A$27,0)))*Univ!$D$2+Univ!$D$1-R16)/Univ!$D$2</f>
        <v>-1.3962802858308254</v>
      </c>
      <c r="U16" s="12">
        <v>0.1</v>
      </c>
      <c r="V16" s="12">
        <v>0.55000000000000004</v>
      </c>
      <c r="W16" s="12">
        <v>0.25</v>
      </c>
      <c r="X16" s="12">
        <v>0.75</v>
      </c>
      <c r="Y16" s="12">
        <v>0.1</v>
      </c>
      <c r="Z16" s="12">
        <v>0.2</v>
      </c>
      <c r="AA16" s="12">
        <v>0.4</v>
      </c>
      <c r="AB16" s="12">
        <v>0.98</v>
      </c>
      <c r="AC16" s="12">
        <v>0.05</v>
      </c>
      <c r="AD16" s="12">
        <v>0.01</v>
      </c>
      <c r="AE16" s="12">
        <v>0.1</v>
      </c>
      <c r="AF16" s="12">
        <v>0.01</v>
      </c>
      <c r="AG16" s="58">
        <f t="shared" si="14"/>
        <v>1</v>
      </c>
      <c r="AH16" s="60">
        <f t="shared" si="15"/>
        <v>4.4999999999999998E-2</v>
      </c>
      <c r="AI16" s="60">
        <f t="shared" si="16"/>
        <v>6.25E-2</v>
      </c>
      <c r="AJ16" s="60">
        <f t="shared" si="17"/>
        <v>8.0000000000000016E-2</v>
      </c>
      <c r="AK16" s="60">
        <f t="shared" si="18"/>
        <v>8.0000000000000071E-3</v>
      </c>
      <c r="AL16" s="60">
        <f t="shared" si="19"/>
        <v>4.9500000000000002E-2</v>
      </c>
      <c r="AM16" s="60">
        <f t="shared" si="20"/>
        <v>9.9000000000000005E-2</v>
      </c>
      <c r="AN16" s="81">
        <v>0.2</v>
      </c>
      <c r="AO16" s="82">
        <f>0.001+INDEX(Univ!$C$6:$C$11,MATCH(D16,Univ!$A$6:$A$11,0))*0.01+INDEX(Univ!$C$13:$C$15,MATCH(E16,Univ!$A$13:$A$15,0))*0.01+INDEX(Univ!$C$24:$C$27,MATCH($C16,Univ!$A$24:$A$27,0))*0.01+BA16</f>
        <v>3.0999999999999996E-2</v>
      </c>
      <c r="AP16" s="83">
        <f>U16*Univ!$B$17*IF(V16&gt;Univ!$C$17,1,V16/Univ!$C$17)</f>
        <v>7.5000000000000011E-2</v>
      </c>
      <c r="AQ16" s="83">
        <f>W16*Univ!$B$18*IF(X16&gt;Univ!$C$18,1,X16/Univ!$C$18)</f>
        <v>0.1875</v>
      </c>
      <c r="AR16" s="83">
        <f>Y16*Univ!$B$19*IF(Z16&gt;Univ!$C$19,1,Z16/Univ!$C$19)</f>
        <v>6.0000000000000012E-2</v>
      </c>
      <c r="AS16" s="83">
        <f>AA16*Univ!$B$20*IF(AB16&gt;Univ!$C$20,1,AB16/Univ!$C$20)</f>
        <v>0.9</v>
      </c>
      <c r="AT16" s="83">
        <f>AC16*Univ!$B$21*IF(AD16&gt;Univ!$C$21,1,AD16/Univ!$C$21)</f>
        <v>4.5454545454545455E-4</v>
      </c>
      <c r="AU16" s="83">
        <f>AE16*Univ!$B$22*IF(AF16&gt;Univ!$C$22,1,AF16/Univ!$C$22)</f>
        <v>3.6363636363636364E-3</v>
      </c>
      <c r="AV16" s="83">
        <f t="shared" si="21"/>
        <v>1.1075156473345689</v>
      </c>
      <c r="AW16" s="21">
        <f t="shared" si="1"/>
        <v>0</v>
      </c>
      <c r="AX16" s="97">
        <f t="shared" si="2"/>
        <v>0</v>
      </c>
      <c r="AY16" s="22">
        <f t="shared" si="3"/>
        <v>0</v>
      </c>
      <c r="AZ16" s="98">
        <f t="shared" si="4"/>
        <v>0</v>
      </c>
      <c r="BA16" s="98">
        <f t="shared" si="5"/>
        <v>0</v>
      </c>
      <c r="BB16" s="98">
        <f t="shared" si="6"/>
        <v>0</v>
      </c>
      <c r="BC16" s="98">
        <f t="shared" si="7"/>
        <v>0</v>
      </c>
    </row>
    <row r="17" spans="1:55" x14ac:dyDescent="0.25">
      <c r="A17" t="str">
        <f>Stats!A17</f>
        <v>IND</v>
      </c>
      <c r="B17" t="str">
        <f>Stats!B17</f>
        <v>The Imperial Domain of India</v>
      </c>
      <c r="C17" t="s">
        <v>346</v>
      </c>
      <c r="D17" t="s">
        <v>223</v>
      </c>
      <c r="E17" t="s">
        <v>229</v>
      </c>
      <c r="F17" s="47" t="s">
        <v>237</v>
      </c>
      <c r="G17" s="58" t="str">
        <f t="shared" si="0"/>
        <v>Anarchist</v>
      </c>
      <c r="H17" s="74">
        <f t="shared" si="8"/>
        <v>8</v>
      </c>
      <c r="I17" s="25">
        <f t="shared" si="9"/>
        <v>4.5</v>
      </c>
      <c r="J17" s="74">
        <f t="shared" si="10"/>
        <v>10</v>
      </c>
      <c r="K17" s="25">
        <f t="shared" si="11"/>
        <v>2.1659999999999999</v>
      </c>
      <c r="L17">
        <f>INDEX(Univ!$E$6:$E$11,MATCH($D17,Univ!$A$6:$A$11,0))+INDEX(Univ!$E$13:$E$15,MATCH($E17,Univ!$A$13:$A$15,0))+INDEX(Univ!$E$24:$E$27,MATCH($C17,Univ!$A$24:$A$27,0))</f>
        <v>8</v>
      </c>
      <c r="M17">
        <f>INDEX(Univ!$B$6:$B$11,MATCH($D17,Univ!$A$6:$A$11,0))+INDEX(Univ!$B$13:$B$15,MATCH($E17,Univ!$A$13:$A$15,0))+INDEX(Univ!$B$24:$B$27,MATCH($C17,Univ!$A$24:$A$27,0))</f>
        <v>4</v>
      </c>
      <c r="N17">
        <f>INDEX(Univ!$D$6:$D$11,MATCH(D17,Univ!$A$6:$A$11,0))+INDEX(Univ!$D$13:$D$15,MATCH(E17,Univ!$A$13:$A$15,0))+INDEX(Univ!$D$24:$D$27,MATCH($C17,Univ!$A$24:$A$27,0))</f>
        <v>11</v>
      </c>
      <c r="O17">
        <f>INDEX(Univ!$H$6:$H$11,MATCH($D17,Univ!$A$6:$A$11,0))+INDEX(Univ!$H$13:$H$15,MATCH($E17,Univ!$A$13:$A$15,0))+INDEX(Univ!$H$24:$H$27,MATCH($C17,Univ!$A$24:$A$27,0))</f>
        <v>1.9</v>
      </c>
      <c r="P17" s="29">
        <f>(INDEX(Univ!$G$6:$G$11,MATCH(D17,Univ!$A$6:$A$11,0))+INDEX(Univ!$G$13:$G$15,MATCH(E17,Univ!$A$13:$A$15,0))+INDEX(Univ!$G$24:$G$27,MATCH($C17,Univ!$A$24:$A$27,0)))*AV17*(1+AZ17)</f>
        <v>9.6069860944097238E-2</v>
      </c>
      <c r="Q17" s="3">
        <f t="shared" si="12"/>
        <v>0.48660000000000003</v>
      </c>
      <c r="R17" s="3">
        <f t="shared" si="13"/>
        <v>8.1100000000000005E-2</v>
      </c>
      <c r="S17" s="71">
        <f>FLOOR((Q17-Univ!$F$1)/Univ!$F$2-IF(T17&lt;0,T17,0),0.1)</f>
        <v>-0.2</v>
      </c>
      <c r="T17" s="65">
        <f>((INDEX(Univ!$F$6:$F$11,MATCH(D17,Univ!$A$6:$A$11,0))+INDEX(Univ!$F$13:$F$15,MATCH(E17,Univ!$A$13:$A$15,0))+INDEX(Univ!$F$24:$F$27,MATCH($C17,Univ!$A$24:$A$27,0)))*Univ!$D$2+Univ!$D$1-R17)/Univ!$D$2</f>
        <v>-0.43562692214175536</v>
      </c>
      <c r="U17" s="12">
        <v>0.2</v>
      </c>
      <c r="V17" s="12">
        <v>0.75</v>
      </c>
      <c r="W17" s="12">
        <v>0.25</v>
      </c>
      <c r="X17" s="12">
        <v>0.9</v>
      </c>
      <c r="Y17" s="12">
        <v>0.15</v>
      </c>
      <c r="Z17" s="12">
        <v>0.55000000000000004</v>
      </c>
      <c r="AA17" s="12">
        <v>0.01</v>
      </c>
      <c r="AB17" s="12">
        <v>0.01</v>
      </c>
      <c r="AC17" s="12">
        <v>0.2</v>
      </c>
      <c r="AD17" s="12">
        <v>0.05</v>
      </c>
      <c r="AE17" s="12">
        <v>0.19</v>
      </c>
      <c r="AF17" s="12">
        <v>0.1</v>
      </c>
      <c r="AG17" s="58">
        <f t="shared" si="14"/>
        <v>1</v>
      </c>
      <c r="AH17" s="60">
        <f t="shared" ref="AH17:AH47" si="22">U17*(1-V17)</f>
        <v>0.05</v>
      </c>
      <c r="AI17" s="60">
        <f t="shared" ref="AI17:AI47" si="23">W17*(1-X17)</f>
        <v>2.4999999999999994E-2</v>
      </c>
      <c r="AJ17" s="60">
        <f t="shared" ref="AJ17:AJ47" si="24">Y17*(1-Z17)</f>
        <v>6.7499999999999991E-2</v>
      </c>
      <c r="AK17" s="60">
        <f t="shared" ref="AK17:AK47" si="25">AA17*(1-AB17)</f>
        <v>9.9000000000000008E-3</v>
      </c>
      <c r="AL17" s="60">
        <f t="shared" ref="AL17:AL47" si="26">AC17*(1-AD17)</f>
        <v>0.19</v>
      </c>
      <c r="AM17" s="60">
        <f t="shared" ref="AM17:AM47" si="27">AE17*(1-AF17)</f>
        <v>0.17100000000000001</v>
      </c>
      <c r="AN17" s="81">
        <v>0.6</v>
      </c>
      <c r="AO17" s="82">
        <f>0.001+INDEX(Univ!$C$6:$C$11,MATCH(D17,Univ!$A$6:$A$11,0))*0.01+INDEX(Univ!$C$13:$C$15,MATCH(E17,Univ!$A$13:$A$15,0))*0.01+INDEX(Univ!$C$24:$C$27,MATCH($C17,Univ!$A$24:$A$27,0))*0.01+BA17</f>
        <v>2.1000000000000001E-2</v>
      </c>
      <c r="AP17" s="83">
        <f>U17*Univ!$B$17*IF(V17&gt;Univ!$C$17,1,V17/Univ!$C$17)</f>
        <v>0.15000000000000002</v>
      </c>
      <c r="AQ17" s="83">
        <f>W17*Univ!$B$18*IF(X17&gt;Univ!$C$18,1,X17/Univ!$C$18)</f>
        <v>0.1875</v>
      </c>
      <c r="AR17" s="83">
        <f>Y17*Univ!$B$19*IF(Z17&gt;Univ!$C$19,1,Z17/Univ!$C$19)</f>
        <v>0.22499999999999998</v>
      </c>
      <c r="AS17" s="83">
        <f>AA17*Univ!$B$20*IF(AB17&gt;Univ!$C$20,1,AB17/Univ!$C$20)</f>
        <v>2.5000000000000001E-4</v>
      </c>
      <c r="AT17" s="83">
        <f>AC17*Univ!$B$21*IF(AD17&gt;Univ!$C$21,1,AD17/Univ!$C$21)</f>
        <v>9.0909090909090922E-3</v>
      </c>
      <c r="AU17" s="83">
        <f>AE17*Univ!$B$22*IF(AF17&gt;Univ!$C$22,1,AF17/Univ!$C$22)</f>
        <v>6.9090909090909092E-2</v>
      </c>
      <c r="AV17" s="83">
        <f t="shared" si="21"/>
        <v>0.80058217453414371</v>
      </c>
      <c r="AW17" s="21">
        <f t="shared" si="1"/>
        <v>0</v>
      </c>
      <c r="AX17" s="97">
        <f t="shared" si="2"/>
        <v>0</v>
      </c>
      <c r="AY17" s="22">
        <f t="shared" si="3"/>
        <v>0</v>
      </c>
      <c r="AZ17" s="98">
        <f t="shared" si="4"/>
        <v>0</v>
      </c>
      <c r="BA17" s="98">
        <f t="shared" si="5"/>
        <v>0</v>
      </c>
      <c r="BB17" s="98">
        <f t="shared" si="6"/>
        <v>0</v>
      </c>
      <c r="BC17" s="98">
        <f t="shared" si="7"/>
        <v>0</v>
      </c>
    </row>
    <row r="18" spans="1:55" x14ac:dyDescent="0.25">
      <c r="A18" t="str">
        <f>Stats!A18</f>
        <v>OCE</v>
      </c>
      <c r="B18" t="str">
        <f>Stats!B18</f>
        <v>The Imperial Domain of Australasia</v>
      </c>
      <c r="C18" t="s">
        <v>346</v>
      </c>
      <c r="D18" t="s">
        <v>223</v>
      </c>
      <c r="E18" t="s">
        <v>229</v>
      </c>
      <c r="F18" s="47" t="s">
        <v>237</v>
      </c>
      <c r="G18" s="58" t="str">
        <f t="shared" si="0"/>
        <v>Anarchist</v>
      </c>
      <c r="H18" s="74">
        <f t="shared" si="8"/>
        <v>10</v>
      </c>
      <c r="I18" s="25">
        <f t="shared" si="9"/>
        <v>5.5</v>
      </c>
      <c r="J18" s="74">
        <f t="shared" si="10"/>
        <v>12</v>
      </c>
      <c r="K18" s="25">
        <f t="shared" si="11"/>
        <v>2.375</v>
      </c>
      <c r="L18">
        <f>INDEX(Univ!$E$6:$E$11,MATCH($D18,Univ!$A$6:$A$11,0))+INDEX(Univ!$E$13:$E$15,MATCH($E18,Univ!$A$13:$A$15,0))+INDEX(Univ!$E$24:$E$27,MATCH($C18,Univ!$A$24:$A$27,0))</f>
        <v>8</v>
      </c>
      <c r="M18">
        <f>INDEX(Univ!$B$6:$B$11,MATCH($D18,Univ!$A$6:$A$11,0))+INDEX(Univ!$B$13:$B$15,MATCH($E18,Univ!$A$13:$A$15,0))+INDEX(Univ!$B$24:$B$27,MATCH($C18,Univ!$A$24:$A$27,0))</f>
        <v>4</v>
      </c>
      <c r="N18">
        <f>INDEX(Univ!$D$6:$D$11,MATCH(D18,Univ!$A$6:$A$11,0))+INDEX(Univ!$D$13:$D$15,MATCH(E18,Univ!$A$13:$A$15,0))+INDEX(Univ!$D$24:$D$27,MATCH($C18,Univ!$A$24:$A$27,0))</f>
        <v>11</v>
      </c>
      <c r="O18">
        <f>INDEX(Univ!$H$6:$H$11,MATCH($D18,Univ!$A$6:$A$11,0))+INDEX(Univ!$H$13:$H$15,MATCH($E18,Univ!$A$13:$A$15,0))+INDEX(Univ!$H$24:$H$27,MATCH($C18,Univ!$A$24:$A$27,0))</f>
        <v>1.9</v>
      </c>
      <c r="P18" s="29">
        <f>(INDEX(Univ!$G$6:$G$11,MATCH(D18,Univ!$A$6:$A$11,0))+INDEX(Univ!$G$13:$G$15,MATCH(E18,Univ!$A$13:$A$15,0))+INDEX(Univ!$G$24:$G$27,MATCH($C18,Univ!$A$24:$A$27,0)))*AV18*(1+AZ18)</f>
        <v>0.10257591423827614</v>
      </c>
      <c r="Q18" s="3">
        <f t="shared" si="12"/>
        <v>0.58750000000000002</v>
      </c>
      <c r="R18" s="3">
        <f t="shared" si="13"/>
        <v>9.7916666666666666E-2</v>
      </c>
      <c r="S18" s="71">
        <f>FLOOR((Q18-Univ!$F$1)/Univ!$F$2-IF(T18&lt;0,T18,0),0.1)</f>
        <v>1.6</v>
      </c>
      <c r="T18" s="65">
        <f>((INDEX(Univ!$F$6:$F$11,MATCH(D18,Univ!$A$6:$A$11,0))+INDEX(Univ!$F$13:$F$15,MATCH(E18,Univ!$A$13:$A$15,0))+INDEX(Univ!$F$24:$F$27,MATCH($C18,Univ!$A$24:$A$27,0)))*Univ!$D$2+Univ!$D$1-R18)/Univ!$D$2</f>
        <v>-1.3056382822139343</v>
      </c>
      <c r="U18" s="12">
        <v>0.2</v>
      </c>
      <c r="V18" s="12">
        <v>0.8</v>
      </c>
      <c r="W18" s="12">
        <v>0.3</v>
      </c>
      <c r="X18" s="12">
        <v>0.85</v>
      </c>
      <c r="Y18" s="12">
        <v>0.2</v>
      </c>
      <c r="Z18" s="12">
        <v>0.75</v>
      </c>
      <c r="AA18" s="12">
        <v>0.05</v>
      </c>
      <c r="AB18" s="12">
        <v>0.1</v>
      </c>
      <c r="AC18" s="12">
        <v>0.15</v>
      </c>
      <c r="AD18" s="12">
        <v>0.05</v>
      </c>
      <c r="AE18" s="12">
        <v>0.1</v>
      </c>
      <c r="AF18" s="12">
        <v>0.1</v>
      </c>
      <c r="AG18" s="58">
        <f t="shared" si="14"/>
        <v>1</v>
      </c>
      <c r="AH18" s="60">
        <f t="shared" si="22"/>
        <v>3.9999999999999994E-2</v>
      </c>
      <c r="AI18" s="60">
        <f t="shared" si="23"/>
        <v>4.5000000000000005E-2</v>
      </c>
      <c r="AJ18" s="60">
        <f t="shared" si="24"/>
        <v>0.05</v>
      </c>
      <c r="AK18" s="60">
        <f t="shared" si="25"/>
        <v>4.5000000000000005E-2</v>
      </c>
      <c r="AL18" s="60">
        <f t="shared" si="26"/>
        <v>0.14249999999999999</v>
      </c>
      <c r="AM18" s="60">
        <f t="shared" si="27"/>
        <v>9.0000000000000011E-2</v>
      </c>
      <c r="AN18" s="81">
        <v>0.5</v>
      </c>
      <c r="AO18" s="82">
        <f>0.001+INDEX(Univ!$C$6:$C$11,MATCH(D18,Univ!$A$6:$A$11,0))*0.01+INDEX(Univ!$C$13:$C$15,MATCH(E18,Univ!$A$13:$A$15,0))*0.01+INDEX(Univ!$C$24:$C$27,MATCH($C18,Univ!$A$24:$A$27,0))*0.01+BA18</f>
        <v>2.1000000000000001E-2</v>
      </c>
      <c r="AP18" s="83">
        <f>U18*Univ!$B$17*IF(V18&gt;Univ!$C$17,1,V18/Univ!$C$17)</f>
        <v>0.15000000000000002</v>
      </c>
      <c r="AQ18" s="83">
        <f>W18*Univ!$B$18*IF(X18&gt;Univ!$C$18,1,X18/Univ!$C$18)</f>
        <v>0.22499999999999998</v>
      </c>
      <c r="AR18" s="83">
        <f>Y18*Univ!$B$19*IF(Z18&gt;Univ!$C$19,1,Z18/Univ!$C$19)</f>
        <v>0.30000000000000004</v>
      </c>
      <c r="AS18" s="83">
        <f>AA18*Univ!$B$20*IF(AB18&gt;Univ!$C$20,1,AB18/Univ!$C$20)</f>
        <v>1.2500000000000001E-2</v>
      </c>
      <c r="AT18" s="83">
        <f>AC18*Univ!$B$21*IF(AD18&gt;Univ!$C$21,1,AD18/Univ!$C$21)</f>
        <v>6.8181818181818179E-3</v>
      </c>
      <c r="AU18" s="83">
        <f>AE18*Univ!$B$22*IF(AF18&gt;Univ!$C$22,1,AF18/Univ!$C$22)</f>
        <v>3.6363636363636369E-2</v>
      </c>
      <c r="AV18" s="83">
        <f t="shared" si="21"/>
        <v>0.85479928531896787</v>
      </c>
      <c r="AW18" s="21">
        <f t="shared" si="1"/>
        <v>0</v>
      </c>
      <c r="AX18" s="97">
        <f t="shared" si="2"/>
        <v>0</v>
      </c>
      <c r="AY18" s="22">
        <f t="shared" si="3"/>
        <v>0</v>
      </c>
      <c r="AZ18" s="98">
        <f t="shared" si="4"/>
        <v>0</v>
      </c>
      <c r="BA18" s="98">
        <f t="shared" si="5"/>
        <v>0</v>
      </c>
      <c r="BB18" s="98">
        <f t="shared" si="6"/>
        <v>0</v>
      </c>
      <c r="BC18" s="98">
        <f t="shared" si="7"/>
        <v>0</v>
      </c>
    </row>
    <row r="19" spans="1:55" x14ac:dyDescent="0.25">
      <c r="A19" t="str">
        <f>Stats!A19</f>
        <v>SAF</v>
      </c>
      <c r="B19" t="str">
        <f>Stats!B19</f>
        <v>The Imperial Domain of South Africa</v>
      </c>
      <c r="C19" t="s">
        <v>346</v>
      </c>
      <c r="D19" t="s">
        <v>223</v>
      </c>
      <c r="E19" t="s">
        <v>229</v>
      </c>
      <c r="F19" s="47" t="s">
        <v>237</v>
      </c>
      <c r="G19" s="58" t="str">
        <f t="shared" si="0"/>
        <v>Anarchist</v>
      </c>
      <c r="H19" s="74">
        <f t="shared" si="8"/>
        <v>9</v>
      </c>
      <c r="I19" s="25">
        <f t="shared" si="9"/>
        <v>5</v>
      </c>
      <c r="J19" s="74">
        <f t="shared" si="10"/>
        <v>11</v>
      </c>
      <c r="K19" s="25">
        <f t="shared" si="11"/>
        <v>2.375</v>
      </c>
      <c r="L19">
        <f>INDEX(Univ!$E$6:$E$11,MATCH($D19,Univ!$A$6:$A$11,0))+INDEX(Univ!$E$13:$E$15,MATCH($E19,Univ!$A$13:$A$15,0))+INDEX(Univ!$E$24:$E$27,MATCH($C19,Univ!$A$24:$A$27,0))</f>
        <v>8</v>
      </c>
      <c r="M19">
        <f>INDEX(Univ!$B$6:$B$11,MATCH($D19,Univ!$A$6:$A$11,0))+INDEX(Univ!$B$13:$B$15,MATCH($E19,Univ!$A$13:$A$15,0))+INDEX(Univ!$B$24:$B$27,MATCH($C19,Univ!$A$24:$A$27,0))</f>
        <v>4</v>
      </c>
      <c r="N19">
        <f>INDEX(Univ!$D$6:$D$11,MATCH(D19,Univ!$A$6:$A$11,0))+INDEX(Univ!$D$13:$D$15,MATCH(E19,Univ!$A$13:$A$15,0))+INDEX(Univ!$D$24:$D$27,MATCH($C19,Univ!$A$24:$A$27,0))</f>
        <v>11</v>
      </c>
      <c r="O19">
        <f>INDEX(Univ!$H$6:$H$11,MATCH($D19,Univ!$A$6:$A$11,0))+INDEX(Univ!$H$13:$H$15,MATCH($E19,Univ!$A$13:$A$15,0))+INDEX(Univ!$H$24:$H$27,MATCH($C19,Univ!$A$24:$A$27,0))</f>
        <v>1.9</v>
      </c>
      <c r="P19" s="29">
        <f>(INDEX(Univ!$G$6:$G$11,MATCH(D19,Univ!$A$6:$A$11,0))+INDEX(Univ!$G$13:$G$15,MATCH(E19,Univ!$A$13:$A$15,0))+INDEX(Univ!$G$24:$G$27,MATCH($C19,Univ!$A$24:$A$27,0)))*AV19*(1+AZ19)</f>
        <v>9.4876953806687758E-2</v>
      </c>
      <c r="Q19" s="3">
        <f t="shared" si="12"/>
        <v>0.54299999999999993</v>
      </c>
      <c r="R19" s="3">
        <f t="shared" si="13"/>
        <v>9.0499999999999983E-2</v>
      </c>
      <c r="S19" s="71">
        <f>FLOOR((Q19-Univ!$F$1)/Univ!$F$2-IF(T19&lt;0,T19,0),0.1)</f>
        <v>0.8</v>
      </c>
      <c r="T19" s="65">
        <f>((INDEX(Univ!$F$6:$F$11,MATCH(D19,Univ!$A$6:$A$11,0))+INDEX(Univ!$F$13:$F$15,MATCH(E19,Univ!$A$13:$A$15,0))+INDEX(Univ!$F$24:$F$27,MATCH($C19,Univ!$A$24:$A$27,0)))*Univ!$D$2+Univ!$D$1-R19)/Univ!$D$2</f>
        <v>-0.92193654263799707</v>
      </c>
      <c r="U19" s="12">
        <v>0.2</v>
      </c>
      <c r="V19" s="12">
        <v>0.75</v>
      </c>
      <c r="W19" s="12">
        <v>0.35</v>
      </c>
      <c r="X19" s="12">
        <v>0.9</v>
      </c>
      <c r="Y19" s="12">
        <v>0.1</v>
      </c>
      <c r="Z19" s="12">
        <v>0.55000000000000004</v>
      </c>
      <c r="AA19" s="12">
        <v>0.05</v>
      </c>
      <c r="AB19" s="12">
        <v>0.01</v>
      </c>
      <c r="AC19" s="12">
        <v>0.15</v>
      </c>
      <c r="AD19" s="12">
        <v>0.05</v>
      </c>
      <c r="AE19" s="12">
        <v>0.15</v>
      </c>
      <c r="AF19" s="12">
        <v>0.1</v>
      </c>
      <c r="AG19" s="58">
        <f t="shared" si="14"/>
        <v>1</v>
      </c>
      <c r="AH19" s="60">
        <f t="shared" si="22"/>
        <v>0.05</v>
      </c>
      <c r="AI19" s="60">
        <f t="shared" si="23"/>
        <v>3.4999999999999989E-2</v>
      </c>
      <c r="AJ19" s="60">
        <f t="shared" si="24"/>
        <v>4.4999999999999998E-2</v>
      </c>
      <c r="AK19" s="60">
        <f t="shared" si="25"/>
        <v>4.9500000000000002E-2</v>
      </c>
      <c r="AL19" s="60">
        <f t="shared" si="26"/>
        <v>0.14249999999999999</v>
      </c>
      <c r="AM19" s="60">
        <f t="shared" si="27"/>
        <v>0.13500000000000001</v>
      </c>
      <c r="AN19" s="81">
        <v>0.5</v>
      </c>
      <c r="AO19" s="82">
        <f>0.001+INDEX(Univ!$C$6:$C$11,MATCH(D19,Univ!$A$6:$A$11,0))*0.01+INDEX(Univ!$C$13:$C$15,MATCH(E19,Univ!$A$13:$A$15,0))*0.01+INDEX(Univ!$C$24:$C$27,MATCH($C19,Univ!$A$24:$A$27,0))*0.01+BA19</f>
        <v>2.1000000000000001E-2</v>
      </c>
      <c r="AP19" s="83">
        <f>U19*Univ!$B$17*IF(V19&gt;Univ!$C$17,1,V19/Univ!$C$17)</f>
        <v>0.15000000000000002</v>
      </c>
      <c r="AQ19" s="83">
        <f>W19*Univ!$B$18*IF(X19&gt;Univ!$C$18,1,X19/Univ!$C$18)</f>
        <v>0.26249999999999996</v>
      </c>
      <c r="AR19" s="83">
        <f>Y19*Univ!$B$19*IF(Z19&gt;Univ!$C$19,1,Z19/Univ!$C$19)</f>
        <v>0.15000000000000002</v>
      </c>
      <c r="AS19" s="83">
        <f>AA19*Univ!$B$20*IF(AB19&gt;Univ!$C$20,1,AB19/Univ!$C$20)</f>
        <v>1.25E-3</v>
      </c>
      <c r="AT19" s="83">
        <f>AC19*Univ!$B$21*IF(AD19&gt;Univ!$C$21,1,AD19/Univ!$C$21)</f>
        <v>6.8181818181818179E-3</v>
      </c>
      <c r="AU19" s="83">
        <f>AE19*Univ!$B$22*IF(AF19&gt;Univ!$C$22,1,AF19/Univ!$C$22)</f>
        <v>5.4545454545454543E-2</v>
      </c>
      <c r="AV19" s="83">
        <f t="shared" si="21"/>
        <v>0.790641281722398</v>
      </c>
      <c r="AW19" s="21">
        <f t="shared" si="1"/>
        <v>0</v>
      </c>
      <c r="AX19" s="97">
        <f t="shared" si="2"/>
        <v>0</v>
      </c>
      <c r="AY19" s="22">
        <f t="shared" si="3"/>
        <v>0</v>
      </c>
      <c r="AZ19" s="98">
        <f t="shared" si="4"/>
        <v>0</v>
      </c>
      <c r="BA19" s="98">
        <f t="shared" si="5"/>
        <v>0</v>
      </c>
      <c r="BB19" s="98">
        <f t="shared" si="6"/>
        <v>0</v>
      </c>
      <c r="BC19" s="98">
        <f t="shared" si="7"/>
        <v>0</v>
      </c>
    </row>
    <row r="20" spans="1:55" x14ac:dyDescent="0.25">
      <c r="A20" t="str">
        <f>Stats!A20</f>
        <v>SWI</v>
      </c>
      <c r="B20" t="str">
        <f>Stats!B20</f>
        <v>The Federal Republic of Switzerland</v>
      </c>
      <c r="C20" t="s">
        <v>347</v>
      </c>
      <c r="D20" t="s">
        <v>224</v>
      </c>
      <c r="E20" t="s">
        <v>231</v>
      </c>
      <c r="F20" s="47" t="s">
        <v>250</v>
      </c>
      <c r="G20" s="58" t="str">
        <f t="shared" si="0"/>
        <v>Socialist</v>
      </c>
      <c r="H20" s="74">
        <f t="shared" si="8"/>
        <v>8</v>
      </c>
      <c r="I20" s="25">
        <f t="shared" si="9"/>
        <v>8.5</v>
      </c>
      <c r="J20" s="74">
        <f t="shared" si="10"/>
        <v>13</v>
      </c>
      <c r="K20" s="25">
        <f t="shared" si="11"/>
        <v>2.8544999999999998</v>
      </c>
      <c r="L20">
        <f>INDEX(Univ!$E$6:$E$11,MATCH($D20,Univ!$A$6:$A$11,0))+INDEX(Univ!$E$13:$E$15,MATCH($E20,Univ!$A$13:$A$15,0))+INDEX(Univ!$E$24:$E$27,MATCH($C20,Univ!$A$24:$A$27,0))</f>
        <v>4</v>
      </c>
      <c r="M20">
        <f>INDEX(Univ!$B$6:$B$11,MATCH($D20,Univ!$A$6:$A$11,0))+INDEX(Univ!$B$13:$B$15,MATCH($E20,Univ!$A$13:$A$15,0))+INDEX(Univ!$B$24:$B$27,MATCH($C20,Univ!$A$24:$A$27,0))</f>
        <v>6</v>
      </c>
      <c r="N20">
        <f>INDEX(Univ!$D$6:$D$11,MATCH(D20,Univ!$A$6:$A$11,0))+INDEX(Univ!$D$13:$D$15,MATCH(E20,Univ!$A$13:$A$15,0))+INDEX(Univ!$D$24:$D$27,MATCH($C20,Univ!$A$24:$A$27,0))</f>
        <v>10</v>
      </c>
      <c r="O20">
        <f>INDEX(Univ!$H$6:$H$11,MATCH($D20,Univ!$A$6:$A$11,0))+INDEX(Univ!$H$13:$H$15,MATCH($E20,Univ!$A$13:$A$15,0))+INDEX(Univ!$H$24:$H$27,MATCH($C20,Univ!$A$24:$A$27,0))</f>
        <v>2.2000000000000002</v>
      </c>
      <c r="P20" s="29">
        <f>(INDEX(Univ!$G$6:$G$11,MATCH(D20,Univ!$A$6:$A$11,0))+INDEX(Univ!$G$13:$G$15,MATCH(E20,Univ!$A$13:$A$15,0))+INDEX(Univ!$G$24:$G$27,MATCH($C20,Univ!$A$24:$A$27,0)))*AV20*(1+AZ20)</f>
        <v>8.7494090709549707E-2</v>
      </c>
      <c r="Q20" s="3">
        <f t="shared" si="12"/>
        <v>0.71900000000000008</v>
      </c>
      <c r="R20" s="3">
        <f t="shared" si="13"/>
        <v>0.11983333333333335</v>
      </c>
      <c r="S20" s="71">
        <f>FLOOR((Q20-Univ!$F$1)/Univ!$F$2-IF(T20&lt;0,T20,0),0.1)</f>
        <v>3.8000000000000003</v>
      </c>
      <c r="T20" s="65">
        <f>((INDEX(Univ!$F$6:$F$11,MATCH(D20,Univ!$A$6:$A$11,0))+INDEX(Univ!$F$13:$F$15,MATCH(E20,Univ!$A$13:$A$15,0))+INDEX(Univ!$F$24:$F$27,MATCH($C20,Univ!$A$24:$A$27,0)))*Univ!$D$2+Univ!$D$1-R20)/Univ!$D$2</f>
        <v>-2.4394984789383312</v>
      </c>
      <c r="U20" s="12">
        <v>0.1</v>
      </c>
      <c r="V20" s="12">
        <v>0.8</v>
      </c>
      <c r="W20" s="12">
        <v>0.15</v>
      </c>
      <c r="X20" s="12">
        <v>0.85</v>
      </c>
      <c r="Y20" s="12">
        <v>0.55000000000000004</v>
      </c>
      <c r="Z20" s="12">
        <v>0.9</v>
      </c>
      <c r="AA20" s="12">
        <v>0.03</v>
      </c>
      <c r="AB20" s="12">
        <v>0.1</v>
      </c>
      <c r="AC20" s="12">
        <v>7.0000000000000007E-2</v>
      </c>
      <c r="AD20" s="12">
        <v>0.05</v>
      </c>
      <c r="AE20" s="12">
        <v>0.1</v>
      </c>
      <c r="AF20" s="12">
        <v>0.1</v>
      </c>
      <c r="AG20" s="58">
        <f t="shared" si="14"/>
        <v>1.0000000000000002</v>
      </c>
      <c r="AH20" s="60">
        <f t="shared" si="22"/>
        <v>1.9999999999999997E-2</v>
      </c>
      <c r="AI20" s="60">
        <f t="shared" si="23"/>
        <v>2.2500000000000003E-2</v>
      </c>
      <c r="AJ20" s="60">
        <f t="shared" si="24"/>
        <v>5.4999999999999993E-2</v>
      </c>
      <c r="AK20" s="60">
        <f t="shared" si="25"/>
        <v>2.7E-2</v>
      </c>
      <c r="AL20" s="60">
        <f t="shared" si="26"/>
        <v>6.6500000000000004E-2</v>
      </c>
      <c r="AM20" s="60">
        <f t="shared" si="27"/>
        <v>9.0000000000000011E-2</v>
      </c>
      <c r="AN20" s="81">
        <v>0.45</v>
      </c>
      <c r="AO20" s="82">
        <f>0.001+INDEX(Univ!$C$6:$C$11,MATCH(D20,Univ!$A$6:$A$11,0))*0.01+INDEX(Univ!$C$13:$C$15,MATCH(E20,Univ!$A$13:$A$15,0))*0.01+INDEX(Univ!$C$24:$C$27,MATCH($C20,Univ!$A$24:$A$27,0))*0.01+BA20</f>
        <v>1.0999999999999999E-2</v>
      </c>
      <c r="AP20" s="83">
        <f>U20*Univ!$B$17*IF(V20&gt;Univ!$C$17,1,V20/Univ!$C$17)</f>
        <v>7.5000000000000011E-2</v>
      </c>
      <c r="AQ20" s="83">
        <f>W20*Univ!$B$18*IF(X20&gt;Univ!$C$18,1,X20/Univ!$C$18)</f>
        <v>0.11249999999999999</v>
      </c>
      <c r="AR20" s="83">
        <f>Y20*Univ!$B$19*IF(Z20&gt;Univ!$C$19,1,Z20/Univ!$C$19)</f>
        <v>0.82500000000000007</v>
      </c>
      <c r="AS20" s="83">
        <f>AA20*Univ!$B$20*IF(AB20&gt;Univ!$C$20,1,AB20/Univ!$C$20)</f>
        <v>7.5000000000000006E-3</v>
      </c>
      <c r="AT20" s="83">
        <f>AC20*Univ!$B$21*IF(AD20&gt;Univ!$C$21,1,AD20/Univ!$C$21)</f>
        <v>3.1818181818181824E-3</v>
      </c>
      <c r="AU20" s="83">
        <f>AE20*Univ!$B$22*IF(AF20&gt;Univ!$C$22,1,AF20/Univ!$C$22)</f>
        <v>3.6363636363636369E-2</v>
      </c>
      <c r="AV20" s="83">
        <f t="shared" si="21"/>
        <v>1.0293422436417612</v>
      </c>
      <c r="AW20" s="21">
        <f t="shared" si="1"/>
        <v>0</v>
      </c>
      <c r="AX20" s="97">
        <f t="shared" si="2"/>
        <v>0</v>
      </c>
      <c r="AY20" s="22">
        <f t="shared" si="3"/>
        <v>0</v>
      </c>
      <c r="AZ20" s="98">
        <f t="shared" si="4"/>
        <v>0</v>
      </c>
      <c r="BA20" s="98">
        <f t="shared" si="5"/>
        <v>0</v>
      </c>
      <c r="BB20" s="98">
        <f t="shared" si="6"/>
        <v>0</v>
      </c>
      <c r="BC20" s="98">
        <f t="shared" si="7"/>
        <v>0</v>
      </c>
    </row>
    <row r="21" spans="1:55" x14ac:dyDescent="0.25">
      <c r="A21" t="str">
        <f>Stats!A21</f>
        <v>SWE</v>
      </c>
      <c r="B21" t="str">
        <f>Stats!B21</f>
        <v>The People's Republic of Sweden</v>
      </c>
      <c r="C21" t="s">
        <v>346</v>
      </c>
      <c r="D21" t="s">
        <v>222</v>
      </c>
      <c r="E21" t="s">
        <v>229</v>
      </c>
      <c r="F21" s="47" t="s">
        <v>234</v>
      </c>
      <c r="G21" s="58" t="str">
        <f t="shared" si="0"/>
        <v>Monarchist</v>
      </c>
      <c r="H21" s="74">
        <f t="shared" si="8"/>
        <v>8</v>
      </c>
      <c r="I21" s="25">
        <f t="shared" si="9"/>
        <v>4</v>
      </c>
      <c r="J21" s="74">
        <f t="shared" si="10"/>
        <v>11</v>
      </c>
      <c r="K21" s="25">
        <f t="shared" si="11"/>
        <v>2.774</v>
      </c>
      <c r="L21">
        <f>INDEX(Univ!$E$6:$E$11,MATCH($D21,Univ!$A$6:$A$11,0))+INDEX(Univ!$E$13:$E$15,MATCH($E21,Univ!$A$13:$A$15,0))+INDEX(Univ!$E$24:$E$27,MATCH($C21,Univ!$A$24:$A$27,0))</f>
        <v>9</v>
      </c>
      <c r="M21">
        <f>INDEX(Univ!$B$6:$B$11,MATCH($D21,Univ!$A$6:$A$11,0))+INDEX(Univ!$B$13:$B$15,MATCH($E21,Univ!$A$13:$A$15,0))+INDEX(Univ!$B$24:$B$27,MATCH($C21,Univ!$A$24:$A$27,0))</f>
        <v>4</v>
      </c>
      <c r="N21">
        <f>INDEX(Univ!$D$6:$D$11,MATCH(D21,Univ!$A$6:$A$11,0))+INDEX(Univ!$D$13:$D$15,MATCH(E21,Univ!$A$13:$A$15,0))+INDEX(Univ!$D$24:$D$27,MATCH($C21,Univ!$A$24:$A$27,0))</f>
        <v>12</v>
      </c>
      <c r="O21">
        <f>INDEX(Univ!$H$6:$H$11,MATCH($D21,Univ!$A$6:$A$11,0))+INDEX(Univ!$H$13:$H$15,MATCH($E21,Univ!$A$13:$A$15,0))+INDEX(Univ!$H$24:$H$27,MATCH($C21,Univ!$A$24:$A$27,0))</f>
        <v>1.9</v>
      </c>
      <c r="P21" s="29">
        <f>(INDEX(Univ!$G$6:$G$11,MATCH(D21,Univ!$A$6:$A$11,0))+INDEX(Univ!$G$13:$G$15,MATCH(E21,Univ!$A$13:$A$15,0))+INDEX(Univ!$G$24:$G$27,MATCH($C21,Univ!$A$24:$A$27,0)))*AV21*(1+AZ21)</f>
        <v>0.12998579467842561</v>
      </c>
      <c r="Q21" s="3">
        <f t="shared" si="12"/>
        <v>0.44599999999999995</v>
      </c>
      <c r="R21" s="3">
        <f t="shared" si="13"/>
        <v>7.4333333333333321E-2</v>
      </c>
      <c r="S21" s="71">
        <f>FLOOR((Q21-Univ!$F$1)/Univ!$F$2-IF(T21&lt;0,T21,0),0.1)</f>
        <v>-1</v>
      </c>
      <c r="T21" s="65">
        <f>((INDEX(Univ!$F$6:$F$11,MATCH(D21,Univ!$A$6:$A$11,0))+INDEX(Univ!$F$13:$F$15,MATCH(E21,Univ!$A$13:$A$15,0))+INDEX(Univ!$F$24:$F$27,MATCH($C21,Univ!$A$24:$A$27,0)))*Univ!$D$2+Univ!$D$1-R21)/Univ!$D$2</f>
        <v>0.41444702452752663</v>
      </c>
      <c r="U21" s="12">
        <v>0.25</v>
      </c>
      <c r="V21" s="12">
        <v>0.3</v>
      </c>
      <c r="W21" s="12">
        <v>0.1</v>
      </c>
      <c r="X21" s="12">
        <v>0.3</v>
      </c>
      <c r="Y21" s="12">
        <v>0.15</v>
      </c>
      <c r="Z21" s="12">
        <v>0.4</v>
      </c>
      <c r="AA21" s="12">
        <v>0.1</v>
      </c>
      <c r="AB21" s="12">
        <v>0.01</v>
      </c>
      <c r="AC21" s="12">
        <v>0.1</v>
      </c>
      <c r="AD21" s="12">
        <v>0.4</v>
      </c>
      <c r="AE21" s="12">
        <v>0.3</v>
      </c>
      <c r="AF21" s="12">
        <v>0.8</v>
      </c>
      <c r="AG21" s="58">
        <f t="shared" si="14"/>
        <v>1</v>
      </c>
      <c r="AH21" s="60">
        <f t="shared" si="22"/>
        <v>0.17499999999999999</v>
      </c>
      <c r="AI21" s="60">
        <f t="shared" si="23"/>
        <v>6.9999999999999993E-2</v>
      </c>
      <c r="AJ21" s="60">
        <f t="shared" si="24"/>
        <v>0.09</v>
      </c>
      <c r="AK21" s="60">
        <f t="shared" si="25"/>
        <v>9.9000000000000005E-2</v>
      </c>
      <c r="AL21" s="60">
        <f t="shared" si="26"/>
        <v>0.06</v>
      </c>
      <c r="AM21" s="60">
        <f t="shared" si="27"/>
        <v>5.9999999999999984E-2</v>
      </c>
      <c r="AN21" s="81">
        <v>0.2</v>
      </c>
      <c r="AO21" s="82">
        <f>0.001+INDEX(Univ!$C$6:$C$11,MATCH(D21,Univ!$A$6:$A$11,0))*0.01+INDEX(Univ!$C$13:$C$15,MATCH(E21,Univ!$A$13:$A$15,0))*0.01+INDEX(Univ!$C$24:$C$27,MATCH($C21,Univ!$A$24:$A$27,0))*0.01+BA21</f>
        <v>3.0999999999999996E-2</v>
      </c>
      <c r="AP21" s="83">
        <f>U21*Univ!$B$17*IF(V21&gt;Univ!$C$17,1,V21/Univ!$C$17)</f>
        <v>0.1875</v>
      </c>
      <c r="AQ21" s="83">
        <f>W21*Univ!$B$18*IF(X21&gt;Univ!$C$18,1,X21/Univ!$C$18)</f>
        <v>7.5000000000000011E-2</v>
      </c>
      <c r="AR21" s="83">
        <f>Y21*Univ!$B$19*IF(Z21&gt;Univ!$C$19,1,Z21/Univ!$C$19)</f>
        <v>0.18</v>
      </c>
      <c r="AS21" s="83">
        <f>AA21*Univ!$B$20*IF(AB21&gt;Univ!$C$20,1,AB21/Univ!$C$20)</f>
        <v>2.5000000000000001E-3</v>
      </c>
      <c r="AT21" s="83">
        <f>AC21*Univ!$B$21*IF(AD21&gt;Univ!$C$21,1,AD21/Univ!$C$21)</f>
        <v>3.6363636363636369E-2</v>
      </c>
      <c r="AU21" s="83">
        <f>AE21*Univ!$B$22*IF(AF21&gt;Univ!$C$22,1,AF21/Univ!$C$22)</f>
        <v>0.6</v>
      </c>
      <c r="AV21" s="83">
        <f t="shared" si="21"/>
        <v>1.0398863574274049</v>
      </c>
      <c r="AW21" s="21">
        <f t="shared" si="1"/>
        <v>0</v>
      </c>
      <c r="AX21" s="97">
        <f t="shared" si="2"/>
        <v>0</v>
      </c>
      <c r="AY21" s="22">
        <f t="shared" si="3"/>
        <v>0</v>
      </c>
      <c r="AZ21" s="98">
        <f t="shared" si="4"/>
        <v>0</v>
      </c>
      <c r="BA21" s="98">
        <f t="shared" si="5"/>
        <v>0</v>
      </c>
      <c r="BB21" s="98">
        <f t="shared" si="6"/>
        <v>0</v>
      </c>
      <c r="BC21" s="98">
        <f t="shared" si="7"/>
        <v>0</v>
      </c>
    </row>
    <row r="22" spans="1:55" x14ac:dyDescent="0.25">
      <c r="A22" t="str">
        <f>Stats!A22</f>
        <v>NOR</v>
      </c>
      <c r="B22" t="str">
        <f>Stats!B22</f>
        <v>The Kingdom of Norway</v>
      </c>
      <c r="C22" t="s">
        <v>348</v>
      </c>
      <c r="D22" t="s">
        <v>223</v>
      </c>
      <c r="E22" t="s">
        <v>230</v>
      </c>
      <c r="F22" s="47" t="s">
        <v>233</v>
      </c>
      <c r="G22" s="58" t="str">
        <f t="shared" si="0"/>
        <v>Democrat</v>
      </c>
      <c r="H22" s="74">
        <f t="shared" si="8"/>
        <v>5</v>
      </c>
      <c r="I22" s="25">
        <f t="shared" si="9"/>
        <v>6.5</v>
      </c>
      <c r="J22" s="74">
        <f t="shared" si="10"/>
        <v>11</v>
      </c>
      <c r="K22" s="25">
        <f t="shared" si="11"/>
        <v>2.0662500000000001</v>
      </c>
      <c r="L22">
        <f>INDEX(Univ!$E$6:$E$11,MATCH($D22,Univ!$A$6:$A$11,0))+INDEX(Univ!$E$13:$E$15,MATCH($E22,Univ!$A$13:$A$15,0))+INDEX(Univ!$E$24:$E$27,MATCH($C22,Univ!$A$24:$A$27,0))</f>
        <v>5</v>
      </c>
      <c r="M22">
        <f>INDEX(Univ!$B$6:$B$11,MATCH($D22,Univ!$A$6:$A$11,0))+INDEX(Univ!$B$13:$B$15,MATCH($E22,Univ!$A$13:$A$15,0))+INDEX(Univ!$B$24:$B$27,MATCH($C22,Univ!$A$24:$A$27,0))</f>
        <v>9</v>
      </c>
      <c r="N22">
        <f>INDEX(Univ!$D$6:$D$11,MATCH(D22,Univ!$A$6:$A$11,0))+INDEX(Univ!$D$13:$D$15,MATCH(E22,Univ!$A$13:$A$15,0))+INDEX(Univ!$D$24:$D$27,MATCH($C22,Univ!$A$24:$A$27,0))</f>
        <v>11</v>
      </c>
      <c r="O22">
        <f>INDEX(Univ!$H$6:$H$11,MATCH($D22,Univ!$A$6:$A$11,0))+INDEX(Univ!$H$13:$H$15,MATCH($E22,Univ!$A$13:$A$15,0))+INDEX(Univ!$H$24:$H$27,MATCH($C22,Univ!$A$24:$A$27,0))</f>
        <v>1.5</v>
      </c>
      <c r="P22" s="29">
        <f>(INDEX(Univ!$G$6:$G$11,MATCH(D22,Univ!$A$6:$A$11,0))+INDEX(Univ!$G$13:$G$15,MATCH(E22,Univ!$A$13:$A$15,0))+INDEX(Univ!$G$24:$G$27,MATCH($C22,Univ!$A$24:$A$27,0)))*AV22*(1+AZ22)</f>
        <v>7.3859818083127762E-2</v>
      </c>
      <c r="Q22" s="3">
        <f t="shared" si="12"/>
        <v>0.59199999999999997</v>
      </c>
      <c r="R22" s="3">
        <f t="shared" si="13"/>
        <v>9.8666666666666666E-2</v>
      </c>
      <c r="S22" s="71">
        <f>FLOOR((Q22-Univ!$F$1)/Univ!$F$2-IF(T22&lt;0,T22,0),0.1)</f>
        <v>0.30000000000000004</v>
      </c>
      <c r="T22" s="65">
        <f>((INDEX(Univ!$F$6:$F$11,MATCH(D22,Univ!$A$6:$A$11,0))+INDEX(Univ!$F$13:$F$15,MATCH(E22,Univ!$A$13:$A$15,0))+INDEX(Univ!$F$24:$F$27,MATCH($C22,Univ!$A$24:$A$27,0)))*Univ!$D$2+Univ!$D$1-R22)/Univ!$D$2</f>
        <v>2.655560418278387</v>
      </c>
      <c r="U22" s="12">
        <v>0.35</v>
      </c>
      <c r="V22" s="12">
        <v>0.85</v>
      </c>
      <c r="W22" s="12">
        <v>0.1</v>
      </c>
      <c r="X22" s="12">
        <v>0.74</v>
      </c>
      <c r="Y22" s="12">
        <v>0.3</v>
      </c>
      <c r="Z22" s="12">
        <v>0.65</v>
      </c>
      <c r="AA22" s="12">
        <v>0.05</v>
      </c>
      <c r="AB22" s="12">
        <v>0.01</v>
      </c>
      <c r="AC22" s="12">
        <v>0.1</v>
      </c>
      <c r="AD22" s="12">
        <v>0.1</v>
      </c>
      <c r="AE22" s="12">
        <v>0.1</v>
      </c>
      <c r="AF22" s="12">
        <v>0.15</v>
      </c>
      <c r="AG22" s="58">
        <f t="shared" si="14"/>
        <v>1</v>
      </c>
      <c r="AH22" s="60">
        <f t="shared" si="22"/>
        <v>5.2500000000000005E-2</v>
      </c>
      <c r="AI22" s="60">
        <f t="shared" si="23"/>
        <v>2.6000000000000002E-2</v>
      </c>
      <c r="AJ22" s="60">
        <f t="shared" si="24"/>
        <v>0.105</v>
      </c>
      <c r="AK22" s="60">
        <f t="shared" si="25"/>
        <v>4.9500000000000002E-2</v>
      </c>
      <c r="AL22" s="60">
        <f t="shared" si="26"/>
        <v>9.0000000000000011E-2</v>
      </c>
      <c r="AM22" s="60">
        <f t="shared" si="27"/>
        <v>8.5000000000000006E-2</v>
      </c>
      <c r="AN22" s="81">
        <v>0.35</v>
      </c>
      <c r="AO22" s="82">
        <f>0.001+INDEX(Univ!$C$6:$C$11,MATCH(D22,Univ!$A$6:$A$11,0))*0.01+INDEX(Univ!$C$13:$C$15,MATCH(E22,Univ!$A$13:$A$15,0))*0.01+INDEX(Univ!$C$24:$C$27,MATCH($C22,Univ!$A$24:$A$27,0))*0.01+BA22</f>
        <v>4.1000000000000002E-2</v>
      </c>
      <c r="AP22" s="83">
        <f>U22*Univ!$B$17*IF(V22&gt;Univ!$C$17,1,V22/Univ!$C$17)</f>
        <v>0.26249999999999996</v>
      </c>
      <c r="AQ22" s="83">
        <f>W22*Univ!$B$18*IF(X22&gt;Univ!$C$18,1,X22/Univ!$C$18)</f>
        <v>7.5000000000000011E-2</v>
      </c>
      <c r="AR22" s="83">
        <f>Y22*Univ!$B$19*IF(Z22&gt;Univ!$C$19,1,Z22/Univ!$C$19)</f>
        <v>0.44999999999999996</v>
      </c>
      <c r="AS22" s="83">
        <f>AA22*Univ!$B$20*IF(AB22&gt;Univ!$C$20,1,AB22/Univ!$C$20)</f>
        <v>1.25E-3</v>
      </c>
      <c r="AT22" s="83">
        <f>AC22*Univ!$B$21*IF(AD22&gt;Univ!$C$21,1,AD22/Univ!$C$21)</f>
        <v>9.0909090909090922E-3</v>
      </c>
      <c r="AU22" s="83">
        <f>AE22*Univ!$B$22*IF(AF22&gt;Univ!$C$22,1,AF22/Univ!$C$22)</f>
        <v>5.4545454545454543E-2</v>
      </c>
      <c r="AV22" s="83">
        <f t="shared" si="21"/>
        <v>0.92324772603909699</v>
      </c>
      <c r="AW22" s="21">
        <f t="shared" si="1"/>
        <v>0</v>
      </c>
      <c r="AX22" s="97">
        <f t="shared" si="2"/>
        <v>0</v>
      </c>
      <c r="AY22" s="22">
        <f t="shared" si="3"/>
        <v>0</v>
      </c>
      <c r="AZ22" s="98">
        <f t="shared" si="4"/>
        <v>0</v>
      </c>
      <c r="BA22" s="98">
        <f t="shared" si="5"/>
        <v>0</v>
      </c>
      <c r="BB22" s="98">
        <f t="shared" si="6"/>
        <v>0</v>
      </c>
      <c r="BC22" s="98">
        <f t="shared" si="7"/>
        <v>0</v>
      </c>
    </row>
    <row r="23" spans="1:55" x14ac:dyDescent="0.25">
      <c r="A23" t="str">
        <f>Stats!A23</f>
        <v>DMK</v>
      </c>
      <c r="B23" t="str">
        <f>Stats!B23</f>
        <v>The Kingdom of Denmark and Iceland</v>
      </c>
      <c r="C23" t="s">
        <v>348</v>
      </c>
      <c r="D23" t="s">
        <v>223</v>
      </c>
      <c r="E23" t="s">
        <v>230</v>
      </c>
      <c r="F23" s="47" t="s">
        <v>233</v>
      </c>
      <c r="G23" s="58" t="str">
        <f t="shared" si="0"/>
        <v>Fascist</v>
      </c>
      <c r="H23" s="74">
        <f t="shared" si="8"/>
        <v>5</v>
      </c>
      <c r="I23" s="25">
        <f t="shared" si="9"/>
        <v>6.5</v>
      </c>
      <c r="J23" s="74">
        <f t="shared" si="10"/>
        <v>11</v>
      </c>
      <c r="K23" s="25">
        <f t="shared" si="11"/>
        <v>2.0662500000000001</v>
      </c>
      <c r="L23">
        <f>INDEX(Univ!$E$6:$E$11,MATCH($D23,Univ!$A$6:$A$11,0))+INDEX(Univ!$E$13:$E$15,MATCH($E23,Univ!$A$13:$A$15,0))+INDEX(Univ!$E$24:$E$27,MATCH($C23,Univ!$A$24:$A$27,0))</f>
        <v>5</v>
      </c>
      <c r="M23">
        <f>INDEX(Univ!$B$6:$B$11,MATCH($D23,Univ!$A$6:$A$11,0))+INDEX(Univ!$B$13:$B$15,MATCH($E23,Univ!$A$13:$A$15,0))+INDEX(Univ!$B$24:$B$27,MATCH($C23,Univ!$A$24:$A$27,0))</f>
        <v>9</v>
      </c>
      <c r="N23">
        <f>INDEX(Univ!$D$6:$D$11,MATCH(D23,Univ!$A$6:$A$11,0))+INDEX(Univ!$D$13:$D$15,MATCH(E23,Univ!$A$13:$A$15,0))+INDEX(Univ!$D$24:$D$27,MATCH($C23,Univ!$A$24:$A$27,0))</f>
        <v>11</v>
      </c>
      <c r="O23">
        <f>INDEX(Univ!$H$6:$H$11,MATCH($D23,Univ!$A$6:$A$11,0))+INDEX(Univ!$H$13:$H$15,MATCH($E23,Univ!$A$13:$A$15,0))+INDEX(Univ!$H$24:$H$27,MATCH($C23,Univ!$A$24:$A$27,0))</f>
        <v>1.5</v>
      </c>
      <c r="P23" s="29">
        <f>(INDEX(Univ!$G$6:$G$11,MATCH(D23,Univ!$A$6:$A$11,0))+INDEX(Univ!$G$13:$G$15,MATCH(E23,Univ!$A$13:$A$15,0))+INDEX(Univ!$G$24:$G$27,MATCH($C23,Univ!$A$24:$A$27,0)))*AV23*(1+AZ23)</f>
        <v>6.7775028922565164E-2</v>
      </c>
      <c r="Q23" s="3">
        <f t="shared" si="12"/>
        <v>0.59249999999999992</v>
      </c>
      <c r="R23" s="3">
        <f t="shared" si="13"/>
        <v>9.8749999999999991E-2</v>
      </c>
      <c r="S23" s="71">
        <f>FLOOR((Q23-Univ!$F$1)/Univ!$F$2-IF(T23&lt;0,T23,0),0.1)</f>
        <v>0.30000000000000004</v>
      </c>
      <c r="T23" s="65">
        <f>((INDEX(Univ!$F$6:$F$11,MATCH(D23,Univ!$A$6:$A$11,0))+INDEX(Univ!$F$13:$F$15,MATCH(E23,Univ!$A$13:$A$15,0))+INDEX(Univ!$F$24:$F$27,MATCH($C23,Univ!$A$24:$A$27,0)))*Univ!$D$2+Univ!$D$1-R23)/Univ!$D$2</f>
        <v>2.6512491627775341</v>
      </c>
      <c r="U23" s="12">
        <v>0.3</v>
      </c>
      <c r="V23" s="12">
        <v>0.85</v>
      </c>
      <c r="W23" s="12">
        <v>0.25</v>
      </c>
      <c r="X23" s="12">
        <v>0.9</v>
      </c>
      <c r="Y23" s="12">
        <v>0.2</v>
      </c>
      <c r="Z23" s="12">
        <v>0.55000000000000004</v>
      </c>
      <c r="AA23" s="12">
        <v>0.1</v>
      </c>
      <c r="AB23" s="12">
        <v>0.01</v>
      </c>
      <c r="AC23" s="12">
        <v>0.1</v>
      </c>
      <c r="AD23" s="12">
        <v>0.01</v>
      </c>
      <c r="AE23" s="12">
        <v>0.05</v>
      </c>
      <c r="AF23" s="12">
        <v>0.01</v>
      </c>
      <c r="AG23" s="58">
        <f t="shared" si="14"/>
        <v>1</v>
      </c>
      <c r="AH23" s="60">
        <f t="shared" si="22"/>
        <v>4.5000000000000005E-2</v>
      </c>
      <c r="AI23" s="60">
        <f t="shared" si="23"/>
        <v>2.4999999999999994E-2</v>
      </c>
      <c r="AJ23" s="60">
        <f t="shared" si="24"/>
        <v>0.09</v>
      </c>
      <c r="AK23" s="60">
        <f t="shared" si="25"/>
        <v>9.9000000000000005E-2</v>
      </c>
      <c r="AL23" s="60">
        <f t="shared" si="26"/>
        <v>9.9000000000000005E-2</v>
      </c>
      <c r="AM23" s="60">
        <f t="shared" si="27"/>
        <v>4.9500000000000002E-2</v>
      </c>
      <c r="AN23" s="81">
        <v>0.35</v>
      </c>
      <c r="AO23" s="82">
        <f>0.001+INDEX(Univ!$C$6:$C$11,MATCH(D23,Univ!$A$6:$A$11,0))*0.01+INDEX(Univ!$C$13:$C$15,MATCH(E23,Univ!$A$13:$A$15,0))*0.01+INDEX(Univ!$C$24:$C$27,MATCH($C23,Univ!$A$24:$A$27,0))*0.01+BA23</f>
        <v>4.1000000000000002E-2</v>
      </c>
      <c r="AP23" s="83">
        <f>U23*Univ!$B$17*IF(V23&gt;Univ!$C$17,1,V23/Univ!$C$17)</f>
        <v>0.22499999999999998</v>
      </c>
      <c r="AQ23" s="83">
        <f>W23*Univ!$B$18*IF(X23&gt;Univ!$C$18,1,X23/Univ!$C$18)</f>
        <v>0.1875</v>
      </c>
      <c r="AR23" s="83">
        <f>Y23*Univ!$B$19*IF(Z23&gt;Univ!$C$19,1,Z23/Univ!$C$19)</f>
        <v>0.30000000000000004</v>
      </c>
      <c r="AS23" s="83">
        <f>AA23*Univ!$B$20*IF(AB23&gt;Univ!$C$20,1,AB23/Univ!$C$20)</f>
        <v>2.5000000000000001E-3</v>
      </c>
      <c r="AT23" s="83">
        <f>AC23*Univ!$B$21*IF(AD23&gt;Univ!$C$21,1,AD23/Univ!$C$21)</f>
        <v>9.0909090909090909E-4</v>
      </c>
      <c r="AU23" s="83">
        <f>AE23*Univ!$B$22*IF(AF23&gt;Univ!$C$22,1,AF23/Univ!$C$22)</f>
        <v>1.8181818181818182E-3</v>
      </c>
      <c r="AV23" s="83">
        <f t="shared" si="21"/>
        <v>0.8471878615320646</v>
      </c>
      <c r="AW23" s="21">
        <f t="shared" si="1"/>
        <v>0</v>
      </c>
      <c r="AX23" s="97">
        <f t="shared" si="2"/>
        <v>0</v>
      </c>
      <c r="AY23" s="22">
        <f t="shared" si="3"/>
        <v>0</v>
      </c>
      <c r="AZ23" s="98">
        <f t="shared" si="4"/>
        <v>0</v>
      </c>
      <c r="BA23" s="98">
        <f t="shared" si="5"/>
        <v>0</v>
      </c>
      <c r="BB23" s="98">
        <f t="shared" si="6"/>
        <v>0</v>
      </c>
      <c r="BC23" s="98">
        <f t="shared" si="7"/>
        <v>0</v>
      </c>
    </row>
    <row r="24" spans="1:55" x14ac:dyDescent="0.25">
      <c r="A24" t="str">
        <f>Stats!A24</f>
        <v>SPA</v>
      </c>
      <c r="B24" t="str">
        <f>Stats!B24</f>
        <v>The Spanish Republic</v>
      </c>
      <c r="C24" t="s">
        <v>347</v>
      </c>
      <c r="D24" t="s">
        <v>222</v>
      </c>
      <c r="E24" t="s">
        <v>231</v>
      </c>
      <c r="F24" s="47" t="s">
        <v>250</v>
      </c>
      <c r="G24" s="58" t="str">
        <f t="shared" si="0"/>
        <v>Monarchist</v>
      </c>
      <c r="H24" s="74">
        <f t="shared" si="8"/>
        <v>4</v>
      </c>
      <c r="I24" s="25">
        <f t="shared" si="9"/>
        <v>5</v>
      </c>
      <c r="J24" s="74">
        <f t="shared" si="10"/>
        <v>10</v>
      </c>
      <c r="K24" s="25">
        <f t="shared" si="11"/>
        <v>2.774</v>
      </c>
      <c r="L24">
        <f>INDEX(Univ!$E$6:$E$11,MATCH($D24,Univ!$A$6:$A$11,0))+INDEX(Univ!$E$13:$E$15,MATCH($E24,Univ!$A$13:$A$15,0))+INDEX(Univ!$E$24:$E$27,MATCH($C24,Univ!$A$24:$A$27,0))</f>
        <v>5</v>
      </c>
      <c r="M24">
        <f>INDEX(Univ!$B$6:$B$11,MATCH($D24,Univ!$A$6:$A$11,0))+INDEX(Univ!$B$13:$B$15,MATCH($E24,Univ!$A$13:$A$15,0))+INDEX(Univ!$B$24:$B$27,MATCH($C24,Univ!$A$24:$A$27,0))</f>
        <v>7</v>
      </c>
      <c r="N24">
        <f>INDEX(Univ!$D$6:$D$11,MATCH(D24,Univ!$A$6:$A$11,0))+INDEX(Univ!$D$13:$D$15,MATCH(E24,Univ!$A$13:$A$15,0))+INDEX(Univ!$D$24:$D$27,MATCH($C24,Univ!$A$24:$A$27,0))</f>
        <v>12</v>
      </c>
      <c r="O24">
        <f>INDEX(Univ!$H$6:$H$11,MATCH($D24,Univ!$A$6:$A$11,0))+INDEX(Univ!$H$13:$H$15,MATCH($E24,Univ!$A$13:$A$15,0))+INDEX(Univ!$H$24:$H$27,MATCH($C24,Univ!$A$24:$A$27,0))</f>
        <v>1.9</v>
      </c>
      <c r="P24" s="29">
        <f>(INDEX(Univ!$G$6:$G$11,MATCH(D24,Univ!$A$6:$A$11,0))+INDEX(Univ!$G$13:$G$15,MATCH(E24,Univ!$A$13:$A$15,0))+INDEX(Univ!$G$24:$G$27,MATCH($C24,Univ!$A$24:$A$27,0)))*AV24*(1+AZ24)</f>
        <v>8.6915678834561985E-2</v>
      </c>
      <c r="Q24" s="3">
        <f t="shared" si="12"/>
        <v>0.38600000000000001</v>
      </c>
      <c r="R24" s="3">
        <f t="shared" si="13"/>
        <v>6.433333333333334E-2</v>
      </c>
      <c r="S24" s="71">
        <f>FLOOR((Q24-Univ!$F$1)/Univ!$F$2-IF(T24&lt;0,T24,0),0.1)</f>
        <v>-1.5</v>
      </c>
      <c r="T24" s="65">
        <f>((INDEX(Univ!$F$6:$F$11,MATCH(D24,Univ!$A$6:$A$11,0))+INDEX(Univ!$F$13:$F$15,MATCH(E24,Univ!$A$13:$A$15,0))+INDEX(Univ!$F$24:$F$27,MATCH($C24,Univ!$A$24:$A$27,0)))*Univ!$D$2+Univ!$D$1-R24)/Univ!$D$2</f>
        <v>2.431797684629911</v>
      </c>
      <c r="U24" s="12">
        <v>0.2</v>
      </c>
      <c r="V24" s="12">
        <v>0.3</v>
      </c>
      <c r="W24" s="12">
        <v>0.05</v>
      </c>
      <c r="X24" s="12">
        <v>0.2</v>
      </c>
      <c r="Y24" s="12">
        <v>0.35</v>
      </c>
      <c r="Z24" s="12">
        <v>0.75</v>
      </c>
      <c r="AA24" s="12">
        <v>0.1</v>
      </c>
      <c r="AB24" s="12">
        <v>0.01</v>
      </c>
      <c r="AC24" s="12">
        <v>0.15</v>
      </c>
      <c r="AD24" s="12">
        <v>0.15</v>
      </c>
      <c r="AE24" s="12">
        <v>0.15</v>
      </c>
      <c r="AF24" s="12">
        <v>0.2</v>
      </c>
      <c r="AG24" s="58">
        <f t="shared" si="14"/>
        <v>1</v>
      </c>
      <c r="AH24" s="60">
        <f t="shared" si="22"/>
        <v>0.13999999999999999</v>
      </c>
      <c r="AI24" s="60">
        <f t="shared" si="23"/>
        <v>4.0000000000000008E-2</v>
      </c>
      <c r="AJ24" s="60">
        <f t="shared" si="24"/>
        <v>8.7499999999999994E-2</v>
      </c>
      <c r="AK24" s="60">
        <f t="shared" si="25"/>
        <v>9.9000000000000005E-2</v>
      </c>
      <c r="AL24" s="60">
        <f t="shared" si="26"/>
        <v>0.1275</v>
      </c>
      <c r="AM24" s="60">
        <f t="shared" si="27"/>
        <v>0.12</v>
      </c>
      <c r="AN24" s="81">
        <v>0.2</v>
      </c>
      <c r="AO24" s="82">
        <f>0.001+INDEX(Univ!$C$6:$C$11,MATCH(D24,Univ!$A$6:$A$11,0))*0.01+INDEX(Univ!$C$13:$C$15,MATCH(E24,Univ!$A$13:$A$15,0))*0.01+INDEX(Univ!$C$24:$C$27,MATCH($C24,Univ!$A$24:$A$27,0))*0.01+BA24</f>
        <v>3.1E-2</v>
      </c>
      <c r="AP24" s="83">
        <f>U24*Univ!$B$17*IF(V24&gt;Univ!$C$17,1,V24/Univ!$C$17)</f>
        <v>0.15000000000000002</v>
      </c>
      <c r="AQ24" s="83">
        <f>W24*Univ!$B$18*IF(X24&gt;Univ!$C$18,1,X24/Univ!$C$18)</f>
        <v>3.0000000000000006E-2</v>
      </c>
      <c r="AR24" s="83">
        <f>Y24*Univ!$B$19*IF(Z24&gt;Univ!$C$19,1,Z24/Univ!$C$19)</f>
        <v>0.52499999999999991</v>
      </c>
      <c r="AS24" s="83">
        <f>AA24*Univ!$B$20*IF(AB24&gt;Univ!$C$20,1,AB24/Univ!$C$20)</f>
        <v>2.5000000000000001E-3</v>
      </c>
      <c r="AT24" s="83">
        <f>AC24*Univ!$B$21*IF(AD24&gt;Univ!$C$21,1,AD24/Univ!$C$21)</f>
        <v>2.0454545454545451E-2</v>
      </c>
      <c r="AU24" s="83">
        <f>AE24*Univ!$B$22*IF(AF24&gt;Univ!$C$22,1,AF24/Univ!$C$22)</f>
        <v>0.10909090909090909</v>
      </c>
      <c r="AV24" s="83">
        <f t="shared" si="21"/>
        <v>0.91490188246907356</v>
      </c>
      <c r="AW24" s="21">
        <f t="shared" si="1"/>
        <v>0</v>
      </c>
      <c r="AX24" s="97">
        <f t="shared" si="2"/>
        <v>0</v>
      </c>
      <c r="AY24" s="22">
        <f t="shared" si="3"/>
        <v>0</v>
      </c>
      <c r="AZ24" s="98">
        <f t="shared" si="4"/>
        <v>0</v>
      </c>
      <c r="BA24" s="98">
        <f t="shared" si="5"/>
        <v>0</v>
      </c>
      <c r="BB24" s="98">
        <f t="shared" si="6"/>
        <v>0</v>
      </c>
      <c r="BC24" s="98">
        <f t="shared" si="7"/>
        <v>0</v>
      </c>
    </row>
    <row r="25" spans="1:55" x14ac:dyDescent="0.25">
      <c r="A25" t="str">
        <f>Stats!A25</f>
        <v>POR</v>
      </c>
      <c r="B25" t="str">
        <f>Stats!B25</f>
        <v>The Kingdom of Portugal</v>
      </c>
      <c r="C25" t="s">
        <v>347</v>
      </c>
      <c r="D25" t="s">
        <v>223</v>
      </c>
      <c r="E25" t="s">
        <v>230</v>
      </c>
      <c r="F25" s="47" t="s">
        <v>233</v>
      </c>
      <c r="G25" s="58" t="str">
        <f t="shared" si="0"/>
        <v>Anarchist</v>
      </c>
      <c r="H25" s="74">
        <f t="shared" si="8"/>
        <v>7</v>
      </c>
      <c r="I25" s="25">
        <f t="shared" si="9"/>
        <v>7.5</v>
      </c>
      <c r="J25" s="74">
        <f t="shared" si="10"/>
        <v>13</v>
      </c>
      <c r="K25" s="25">
        <f t="shared" si="11"/>
        <v>2.6172499999999999</v>
      </c>
      <c r="L25">
        <f>INDEX(Univ!$E$6:$E$11,MATCH($D25,Univ!$A$6:$A$11,0))+INDEX(Univ!$E$13:$E$15,MATCH($E25,Univ!$A$13:$A$15,0))+INDEX(Univ!$E$24:$E$27,MATCH($C25,Univ!$A$24:$A$27,0))</f>
        <v>6</v>
      </c>
      <c r="M25">
        <f>INDEX(Univ!$B$6:$B$11,MATCH($D25,Univ!$A$6:$A$11,0))+INDEX(Univ!$B$13:$B$15,MATCH($E25,Univ!$A$13:$A$15,0))+INDEX(Univ!$B$24:$B$27,MATCH($C25,Univ!$A$24:$A$27,0))</f>
        <v>8</v>
      </c>
      <c r="N25">
        <f>INDEX(Univ!$D$6:$D$11,MATCH(D25,Univ!$A$6:$A$11,0))+INDEX(Univ!$D$13:$D$15,MATCH(E25,Univ!$A$13:$A$15,0))+INDEX(Univ!$D$24:$D$27,MATCH($C25,Univ!$A$24:$A$27,0))</f>
        <v>13</v>
      </c>
      <c r="O25">
        <f>INDEX(Univ!$H$6:$H$11,MATCH($D25,Univ!$A$6:$A$11,0))+INDEX(Univ!$H$13:$H$15,MATCH($E25,Univ!$A$13:$A$15,0))+INDEX(Univ!$H$24:$H$27,MATCH($C25,Univ!$A$24:$A$27,0))</f>
        <v>1.9</v>
      </c>
      <c r="P25" s="29">
        <f>(INDEX(Univ!$G$6:$G$11,MATCH(D25,Univ!$A$6:$A$11,0))+INDEX(Univ!$G$13:$G$15,MATCH(E25,Univ!$A$13:$A$15,0))+INDEX(Univ!$G$24:$G$27,MATCH($C25,Univ!$A$24:$A$27,0)))*AV25*(1+AZ25)</f>
        <v>8.9283766212514284E-2</v>
      </c>
      <c r="Q25" s="3">
        <f t="shared" si="12"/>
        <v>0.63</v>
      </c>
      <c r="R25" s="3">
        <f t="shared" si="13"/>
        <v>0.105</v>
      </c>
      <c r="S25" s="71">
        <f>FLOOR((Q25-Univ!$F$1)/Univ!$F$2-IF(T25&lt;0,T25,0),0.1)</f>
        <v>0.60000000000000009</v>
      </c>
      <c r="T25" s="65">
        <f>((INDEX(Univ!$F$6:$F$11,MATCH(D25,Univ!$A$6:$A$11,0))+INDEX(Univ!$F$13:$F$15,MATCH(E25,Univ!$A$13:$A$15,0))+INDEX(Univ!$F$24:$F$27,MATCH($C25,Univ!$A$24:$A$27,0)))*Univ!$D$2+Univ!$D$1-R25)/Univ!$D$2</f>
        <v>0.8279050002135423</v>
      </c>
      <c r="U25" s="12">
        <v>0.3</v>
      </c>
      <c r="V25" s="12">
        <v>0.85</v>
      </c>
      <c r="W25" s="12">
        <v>0.2</v>
      </c>
      <c r="X25" s="12">
        <v>0.85</v>
      </c>
      <c r="Y25" s="12">
        <v>0.25</v>
      </c>
      <c r="Z25" s="12">
        <v>0.75</v>
      </c>
      <c r="AA25" s="12">
        <v>0.05</v>
      </c>
      <c r="AB25" s="12">
        <v>0.05</v>
      </c>
      <c r="AC25" s="12">
        <v>0.1</v>
      </c>
      <c r="AD25" s="12">
        <v>0.05</v>
      </c>
      <c r="AE25" s="12">
        <v>0.1</v>
      </c>
      <c r="AF25" s="12">
        <v>0.1</v>
      </c>
      <c r="AG25" s="58">
        <f t="shared" si="14"/>
        <v>1</v>
      </c>
      <c r="AH25" s="60">
        <f t="shared" si="22"/>
        <v>4.5000000000000005E-2</v>
      </c>
      <c r="AI25" s="60">
        <f t="shared" si="23"/>
        <v>3.0000000000000006E-2</v>
      </c>
      <c r="AJ25" s="60">
        <f t="shared" si="24"/>
        <v>6.25E-2</v>
      </c>
      <c r="AK25" s="60">
        <f t="shared" si="25"/>
        <v>4.7500000000000001E-2</v>
      </c>
      <c r="AL25" s="60">
        <f t="shared" si="26"/>
        <v>9.5000000000000001E-2</v>
      </c>
      <c r="AM25" s="60">
        <f t="shared" si="27"/>
        <v>9.0000000000000011E-2</v>
      </c>
      <c r="AN25" s="81">
        <v>0.35</v>
      </c>
      <c r="AO25" s="82">
        <f>0.001+INDEX(Univ!$C$6:$C$11,MATCH(D25,Univ!$A$6:$A$11,0))*0.01+INDEX(Univ!$C$13:$C$15,MATCH(E25,Univ!$A$13:$A$15,0))*0.01+INDEX(Univ!$C$24:$C$27,MATCH($C25,Univ!$A$24:$A$27,0))*0.01+BA25</f>
        <v>3.5999999999999997E-2</v>
      </c>
      <c r="AP25" s="83">
        <f>U25*Univ!$B$17*IF(V25&gt;Univ!$C$17,1,V25/Univ!$C$17)</f>
        <v>0.22499999999999998</v>
      </c>
      <c r="AQ25" s="83">
        <f>W25*Univ!$B$18*IF(X25&gt;Univ!$C$18,1,X25/Univ!$C$18)</f>
        <v>0.15000000000000002</v>
      </c>
      <c r="AR25" s="83">
        <f>Y25*Univ!$B$19*IF(Z25&gt;Univ!$C$19,1,Z25/Univ!$C$19)</f>
        <v>0.375</v>
      </c>
      <c r="AS25" s="83">
        <f>AA25*Univ!$B$20*IF(AB25&gt;Univ!$C$20,1,AB25/Univ!$C$20)</f>
        <v>6.2500000000000003E-3</v>
      </c>
      <c r="AT25" s="83">
        <f>AC25*Univ!$B$21*IF(AD25&gt;Univ!$C$21,1,AD25/Univ!$C$21)</f>
        <v>4.5454545454545461E-3</v>
      </c>
      <c r="AU25" s="83">
        <f>AE25*Univ!$B$22*IF(AF25&gt;Univ!$C$22,1,AF25/Univ!$C$22)</f>
        <v>3.6363636363636369E-2</v>
      </c>
      <c r="AV25" s="83">
        <f t="shared" si="21"/>
        <v>0.89283766212514293</v>
      </c>
      <c r="AW25" s="21">
        <f t="shared" si="1"/>
        <v>0</v>
      </c>
      <c r="AX25" s="97">
        <f t="shared" si="2"/>
        <v>0</v>
      </c>
      <c r="AY25" s="22">
        <f t="shared" si="3"/>
        <v>0</v>
      </c>
      <c r="AZ25" s="98">
        <f t="shared" si="4"/>
        <v>0</v>
      </c>
      <c r="BA25" s="98">
        <f t="shared" si="5"/>
        <v>0</v>
      </c>
      <c r="BB25" s="98">
        <f t="shared" si="6"/>
        <v>0</v>
      </c>
      <c r="BC25" s="98">
        <f t="shared" si="7"/>
        <v>0</v>
      </c>
    </row>
    <row r="26" spans="1:55" x14ac:dyDescent="0.25">
      <c r="A26" t="str">
        <f>Stats!A26</f>
        <v>BEL</v>
      </c>
      <c r="B26" t="str">
        <f>Stats!B26</f>
        <v>The Republic of Belgium</v>
      </c>
      <c r="C26" t="s">
        <v>347</v>
      </c>
      <c r="D26" t="s">
        <v>222</v>
      </c>
      <c r="E26" t="s">
        <v>231</v>
      </c>
      <c r="F26" s="47" t="s">
        <v>250</v>
      </c>
      <c r="G26" s="58" t="str">
        <f t="shared" si="0"/>
        <v>Socialist</v>
      </c>
      <c r="H26" s="74">
        <f t="shared" si="8"/>
        <v>7</v>
      </c>
      <c r="I26" s="25">
        <f t="shared" si="9"/>
        <v>8</v>
      </c>
      <c r="J26" s="74">
        <f t="shared" si="10"/>
        <v>14</v>
      </c>
      <c r="K26" s="25">
        <f t="shared" si="11"/>
        <v>2.7312499999999997</v>
      </c>
      <c r="L26">
        <f>INDEX(Univ!$E$6:$E$11,MATCH($D26,Univ!$A$6:$A$11,0))+INDEX(Univ!$E$13:$E$15,MATCH($E26,Univ!$A$13:$A$15,0))+INDEX(Univ!$E$24:$E$27,MATCH($C26,Univ!$A$24:$A$27,0))</f>
        <v>5</v>
      </c>
      <c r="M26">
        <f>INDEX(Univ!$B$6:$B$11,MATCH($D26,Univ!$A$6:$A$11,0))+INDEX(Univ!$B$13:$B$15,MATCH($E26,Univ!$A$13:$A$15,0))+INDEX(Univ!$B$24:$B$27,MATCH($C26,Univ!$A$24:$A$27,0))</f>
        <v>7</v>
      </c>
      <c r="N26">
        <f>INDEX(Univ!$D$6:$D$11,MATCH(D26,Univ!$A$6:$A$11,0))+INDEX(Univ!$D$13:$D$15,MATCH(E26,Univ!$A$13:$A$15,0))+INDEX(Univ!$D$24:$D$27,MATCH($C26,Univ!$A$24:$A$27,0))</f>
        <v>12</v>
      </c>
      <c r="O26">
        <f>INDEX(Univ!$H$6:$H$11,MATCH($D26,Univ!$A$6:$A$11,0))+INDEX(Univ!$H$13:$H$15,MATCH($E26,Univ!$A$13:$A$15,0))+INDEX(Univ!$H$24:$H$27,MATCH($C26,Univ!$A$24:$A$27,0))</f>
        <v>1.9</v>
      </c>
      <c r="P26" s="29">
        <f>(INDEX(Univ!$G$6:$G$11,MATCH(D26,Univ!$A$6:$A$11,0))+INDEX(Univ!$G$13:$G$15,MATCH(E26,Univ!$A$13:$A$15,0))+INDEX(Univ!$G$24:$G$27,MATCH($C26,Univ!$A$24:$A$27,0)))*AV26*(1+AZ26)</f>
        <v>9.4159635363664104E-2</v>
      </c>
      <c r="Q26" s="3">
        <f t="shared" si="12"/>
        <v>0.73499999999999988</v>
      </c>
      <c r="R26" s="3">
        <f t="shared" si="13"/>
        <v>0.12249999999999998</v>
      </c>
      <c r="S26" s="71">
        <f>FLOOR((Q26-Univ!$F$1)/Univ!$F$2-IF(T26&lt;0,T26,0),0.1)</f>
        <v>2.1</v>
      </c>
      <c r="T26" s="65">
        <f>((INDEX(Univ!$F$6:$F$11,MATCH(D26,Univ!$A$6:$A$11,0))+INDEX(Univ!$F$13:$F$15,MATCH(E26,Univ!$A$13:$A$15,0))+INDEX(Univ!$F$24:$F$27,MATCH($C26,Univ!$A$24:$A$27,0)))*Univ!$D$2+Univ!$D$1-R26)/Univ!$D$2</f>
        <v>-0.5774586549656332</v>
      </c>
      <c r="U26" s="12">
        <v>0.05</v>
      </c>
      <c r="V26" s="12">
        <v>0.45</v>
      </c>
      <c r="W26" s="12">
        <v>0.3</v>
      </c>
      <c r="X26" s="12">
        <v>0.9</v>
      </c>
      <c r="Y26" s="12">
        <v>0.45</v>
      </c>
      <c r="Z26" s="12">
        <v>0.95</v>
      </c>
      <c r="AA26" s="12">
        <v>0.05</v>
      </c>
      <c r="AB26" s="12">
        <v>0.05</v>
      </c>
      <c r="AC26" s="12">
        <v>0.05</v>
      </c>
      <c r="AD26" s="12">
        <v>0.05</v>
      </c>
      <c r="AE26" s="12">
        <v>0.1</v>
      </c>
      <c r="AF26" s="12">
        <v>0.1</v>
      </c>
      <c r="AG26" s="58">
        <f t="shared" si="14"/>
        <v>1.0000000000000002</v>
      </c>
      <c r="AH26" s="60">
        <f t="shared" si="22"/>
        <v>2.7500000000000004E-2</v>
      </c>
      <c r="AI26" s="60">
        <f t="shared" si="23"/>
        <v>2.9999999999999992E-2</v>
      </c>
      <c r="AJ26" s="60">
        <f t="shared" si="24"/>
        <v>2.250000000000002E-2</v>
      </c>
      <c r="AK26" s="60">
        <f t="shared" si="25"/>
        <v>4.7500000000000001E-2</v>
      </c>
      <c r="AL26" s="60">
        <f t="shared" si="26"/>
        <v>4.7500000000000001E-2</v>
      </c>
      <c r="AM26" s="60">
        <f t="shared" si="27"/>
        <v>9.0000000000000011E-2</v>
      </c>
      <c r="AN26" s="81">
        <v>0.25</v>
      </c>
      <c r="AO26" s="82">
        <f>0.001+INDEX(Univ!$C$6:$C$11,MATCH(D26,Univ!$A$6:$A$11,0))*0.01+INDEX(Univ!$C$13:$C$15,MATCH(E26,Univ!$A$13:$A$15,0))*0.01+INDEX(Univ!$C$24:$C$27,MATCH($C26,Univ!$A$24:$A$27,0))*0.01+BA26</f>
        <v>3.1E-2</v>
      </c>
      <c r="AP26" s="83">
        <f>U26*Univ!$B$17*IF(V26&gt;Univ!$C$17,1,V26/Univ!$C$17)</f>
        <v>3.7500000000000006E-2</v>
      </c>
      <c r="AQ26" s="83">
        <f>W26*Univ!$B$18*IF(X26&gt;Univ!$C$18,1,X26/Univ!$C$18)</f>
        <v>0.22499999999999998</v>
      </c>
      <c r="AR26" s="83">
        <f>Y26*Univ!$B$19*IF(Z26&gt;Univ!$C$19,1,Z26/Univ!$C$19)</f>
        <v>0.67500000000000004</v>
      </c>
      <c r="AS26" s="83">
        <f>AA26*Univ!$B$20*IF(AB26&gt;Univ!$C$20,1,AB26/Univ!$C$20)</f>
        <v>6.2500000000000003E-3</v>
      </c>
      <c r="AT26" s="83">
        <f>AC26*Univ!$B$21*IF(AD26&gt;Univ!$C$21,1,AD26/Univ!$C$21)</f>
        <v>2.2727272727272731E-3</v>
      </c>
      <c r="AU26" s="83">
        <f>AE26*Univ!$B$22*IF(AF26&gt;Univ!$C$22,1,AF26/Univ!$C$22)</f>
        <v>3.6363636363636369E-2</v>
      </c>
      <c r="AV26" s="83">
        <f t="shared" si="21"/>
        <v>0.99115405645962207</v>
      </c>
      <c r="AW26" s="21">
        <f t="shared" si="1"/>
        <v>0</v>
      </c>
      <c r="AX26" s="97">
        <f t="shared" si="2"/>
        <v>0</v>
      </c>
      <c r="AY26" s="22">
        <f t="shared" si="3"/>
        <v>0</v>
      </c>
      <c r="AZ26" s="98">
        <f t="shared" si="4"/>
        <v>0</v>
      </c>
      <c r="BA26" s="98">
        <f t="shared" si="5"/>
        <v>0</v>
      </c>
      <c r="BB26" s="98">
        <f t="shared" si="6"/>
        <v>0</v>
      </c>
      <c r="BC26" s="98">
        <f t="shared" si="7"/>
        <v>0</v>
      </c>
    </row>
    <row r="27" spans="1:55" x14ac:dyDescent="0.25">
      <c r="A27" t="str">
        <f>Stats!A27</f>
        <v>ROM</v>
      </c>
      <c r="B27" t="str">
        <f>Stats!B27</f>
        <v>The Kingdom of Romania</v>
      </c>
      <c r="C27" t="s">
        <v>348</v>
      </c>
      <c r="D27" t="s">
        <v>223</v>
      </c>
      <c r="E27" t="s">
        <v>230</v>
      </c>
      <c r="F27" s="47" t="s">
        <v>233</v>
      </c>
      <c r="G27" s="58" t="str">
        <f t="shared" si="0"/>
        <v>Democrat</v>
      </c>
      <c r="H27" s="74">
        <f t="shared" si="8"/>
        <v>3</v>
      </c>
      <c r="I27" s="25">
        <f t="shared" si="9"/>
        <v>4.5</v>
      </c>
      <c r="J27" s="74">
        <f t="shared" si="10"/>
        <v>9</v>
      </c>
      <c r="K27" s="25">
        <f t="shared" si="11"/>
        <v>1.9462499999999998</v>
      </c>
      <c r="L27">
        <f>INDEX(Univ!$E$6:$E$11,MATCH($D27,Univ!$A$6:$A$11,0))+INDEX(Univ!$E$13:$E$15,MATCH($E27,Univ!$A$13:$A$15,0))+INDEX(Univ!$E$24:$E$27,MATCH($C27,Univ!$A$24:$A$27,0))</f>
        <v>5</v>
      </c>
      <c r="M27">
        <f>INDEX(Univ!$B$6:$B$11,MATCH($D27,Univ!$A$6:$A$11,0))+INDEX(Univ!$B$13:$B$15,MATCH($E27,Univ!$A$13:$A$15,0))+INDEX(Univ!$B$24:$B$27,MATCH($C27,Univ!$A$24:$A$27,0))</f>
        <v>9</v>
      </c>
      <c r="N27">
        <f>INDEX(Univ!$D$6:$D$11,MATCH(D27,Univ!$A$6:$A$11,0))+INDEX(Univ!$D$13:$D$15,MATCH(E27,Univ!$A$13:$A$15,0))+INDEX(Univ!$D$24:$D$27,MATCH($C27,Univ!$A$24:$A$27,0))</f>
        <v>11</v>
      </c>
      <c r="O27">
        <f>INDEX(Univ!$H$6:$H$11,MATCH($D27,Univ!$A$6:$A$11,0))+INDEX(Univ!$H$13:$H$15,MATCH($E27,Univ!$A$13:$A$15,0))+INDEX(Univ!$H$24:$H$27,MATCH($C27,Univ!$A$24:$A$27,0))</f>
        <v>1.5</v>
      </c>
      <c r="P27" s="29">
        <f>(INDEX(Univ!$G$6:$G$11,MATCH(D27,Univ!$A$6:$A$11,0))+INDEX(Univ!$G$13:$G$15,MATCH(E27,Univ!$A$13:$A$15,0))+INDEX(Univ!$G$24:$G$27,MATCH($C27,Univ!$A$24:$A$27,0)))*AV27*(1+AZ27)</f>
        <v>5.645915659692733E-2</v>
      </c>
      <c r="Q27" s="3">
        <f t="shared" si="12"/>
        <v>0.34700000000000003</v>
      </c>
      <c r="R27" s="3">
        <f t="shared" si="13"/>
        <v>5.7833333333333341E-2</v>
      </c>
      <c r="S27" s="71">
        <f>FLOOR((Q27-Univ!$F$1)/Univ!$F$2-IF(T27&lt;0,T27,0),0.1)</f>
        <v>-1.8</v>
      </c>
      <c r="T27" s="65">
        <f>((INDEX(Univ!$F$6:$F$11,MATCH(D27,Univ!$A$6:$A$11,0))+INDEX(Univ!$F$13:$F$15,MATCH(E27,Univ!$A$13:$A$15,0))+INDEX(Univ!$F$24:$F$27,MATCH($C27,Univ!$A$24:$A$27,0)))*Univ!$D$2+Univ!$D$1-R27)/Univ!$D$2</f>
        <v>4.7680756136964622</v>
      </c>
      <c r="U27" s="12">
        <v>0.3</v>
      </c>
      <c r="V27" s="12">
        <v>0.85</v>
      </c>
      <c r="W27" s="12">
        <v>0</v>
      </c>
      <c r="X27" s="12">
        <v>0.1</v>
      </c>
      <c r="Y27" s="12">
        <v>0.25</v>
      </c>
      <c r="Z27" s="12">
        <v>0.35</v>
      </c>
      <c r="AA27" s="12">
        <v>0.15</v>
      </c>
      <c r="AB27" s="12">
        <v>0.01</v>
      </c>
      <c r="AC27" s="12">
        <v>0.15</v>
      </c>
      <c r="AD27" s="12">
        <v>0.01</v>
      </c>
      <c r="AE27" s="12">
        <v>0.15</v>
      </c>
      <c r="AF27" s="12">
        <v>0.01</v>
      </c>
      <c r="AG27" s="58">
        <f t="shared" si="14"/>
        <v>1</v>
      </c>
      <c r="AH27" s="60">
        <f t="shared" si="22"/>
        <v>4.5000000000000005E-2</v>
      </c>
      <c r="AI27" s="60">
        <f t="shared" si="23"/>
        <v>0</v>
      </c>
      <c r="AJ27" s="60">
        <f t="shared" si="24"/>
        <v>0.16250000000000001</v>
      </c>
      <c r="AK27" s="60">
        <f t="shared" si="25"/>
        <v>0.14849999999999999</v>
      </c>
      <c r="AL27" s="60">
        <f t="shared" si="26"/>
        <v>0.14849999999999999</v>
      </c>
      <c r="AM27" s="60">
        <f t="shared" si="27"/>
        <v>0.14849999999999999</v>
      </c>
      <c r="AN27" s="81">
        <v>0.45</v>
      </c>
      <c r="AO27" s="82">
        <f>0.001+INDEX(Univ!$C$6:$C$11,MATCH(D27,Univ!$A$6:$A$11,0))*0.01+INDEX(Univ!$C$13:$C$15,MATCH(E27,Univ!$A$13:$A$15,0))*0.01+INDEX(Univ!$C$24:$C$27,MATCH($C27,Univ!$A$24:$A$27,0))*0.01+BA27</f>
        <v>4.1000000000000002E-2</v>
      </c>
      <c r="AP27" s="83">
        <f>U27*Univ!$B$17*IF(V27&gt;Univ!$C$17,1,V27/Univ!$C$17)</f>
        <v>0.22499999999999998</v>
      </c>
      <c r="AQ27" s="83">
        <f>W27*Univ!$B$18*IF(X27&gt;Univ!$C$18,1,X27/Univ!$C$18)</f>
        <v>0</v>
      </c>
      <c r="AR27" s="83">
        <f>Y27*Univ!$B$19*IF(Z27&gt;Univ!$C$19,1,Z27/Univ!$C$19)</f>
        <v>0.26249999999999996</v>
      </c>
      <c r="AS27" s="83">
        <f>AA27*Univ!$B$20*IF(AB27&gt;Univ!$C$20,1,AB27/Univ!$C$20)</f>
        <v>3.7499999999999999E-3</v>
      </c>
      <c r="AT27" s="83">
        <f>AC27*Univ!$B$21*IF(AD27&gt;Univ!$C$21,1,AD27/Univ!$C$21)</f>
        <v>1.3636363636363635E-3</v>
      </c>
      <c r="AU27" s="83">
        <f>AE27*Univ!$B$22*IF(AF27&gt;Univ!$C$22,1,AF27/Univ!$C$22)</f>
        <v>5.4545454545454541E-3</v>
      </c>
      <c r="AV27" s="83">
        <f t="shared" si="21"/>
        <v>0.70573945746159161</v>
      </c>
      <c r="AW27" s="21">
        <f t="shared" si="1"/>
        <v>0</v>
      </c>
      <c r="AX27" s="97">
        <f t="shared" si="2"/>
        <v>0</v>
      </c>
      <c r="AY27" s="22">
        <f t="shared" si="3"/>
        <v>0</v>
      </c>
      <c r="AZ27" s="98">
        <f t="shared" si="4"/>
        <v>0</v>
      </c>
      <c r="BA27" s="98">
        <f t="shared" si="5"/>
        <v>0</v>
      </c>
      <c r="BB27" s="98">
        <f t="shared" si="6"/>
        <v>0</v>
      </c>
      <c r="BC27" s="98">
        <f t="shared" si="7"/>
        <v>0</v>
      </c>
    </row>
    <row r="28" spans="1:55" x14ac:dyDescent="0.25">
      <c r="A28" t="str">
        <f>Stats!A28</f>
        <v>SER</v>
      </c>
      <c r="B28" t="str">
        <f>Stats!B28</f>
        <v>The Kingdom of Serbia</v>
      </c>
      <c r="C28" t="s">
        <v>348</v>
      </c>
      <c r="D28" t="s">
        <v>223</v>
      </c>
      <c r="E28" t="s">
        <v>230</v>
      </c>
      <c r="F28" s="47" t="s">
        <v>233</v>
      </c>
      <c r="G28" s="58" t="str">
        <f t="shared" si="0"/>
        <v>Democrat</v>
      </c>
      <c r="H28" s="74">
        <f t="shared" si="8"/>
        <v>3</v>
      </c>
      <c r="I28" s="25">
        <f t="shared" si="9"/>
        <v>4.5</v>
      </c>
      <c r="J28" s="74">
        <f t="shared" si="10"/>
        <v>9</v>
      </c>
      <c r="K28" s="25">
        <f t="shared" si="11"/>
        <v>1.9462499999999998</v>
      </c>
      <c r="L28">
        <f>INDEX(Univ!$E$6:$E$11,MATCH($D28,Univ!$A$6:$A$11,0))+INDEX(Univ!$E$13:$E$15,MATCH($E28,Univ!$A$13:$A$15,0))+INDEX(Univ!$E$24:$E$27,MATCH($C28,Univ!$A$24:$A$27,0))</f>
        <v>5</v>
      </c>
      <c r="M28">
        <f>INDEX(Univ!$B$6:$B$11,MATCH($D28,Univ!$A$6:$A$11,0))+INDEX(Univ!$B$13:$B$15,MATCH($E28,Univ!$A$13:$A$15,0))+INDEX(Univ!$B$24:$B$27,MATCH($C28,Univ!$A$24:$A$27,0))</f>
        <v>9</v>
      </c>
      <c r="N28">
        <f>INDEX(Univ!$D$6:$D$11,MATCH(D28,Univ!$A$6:$A$11,0))+INDEX(Univ!$D$13:$D$15,MATCH(E28,Univ!$A$13:$A$15,0))+INDEX(Univ!$D$24:$D$27,MATCH($C28,Univ!$A$24:$A$27,0))</f>
        <v>11</v>
      </c>
      <c r="O28">
        <f>INDEX(Univ!$H$6:$H$11,MATCH($D28,Univ!$A$6:$A$11,0))+INDEX(Univ!$H$13:$H$15,MATCH($E28,Univ!$A$13:$A$15,0))+INDEX(Univ!$H$24:$H$27,MATCH($C28,Univ!$A$24:$A$27,0))</f>
        <v>1.5</v>
      </c>
      <c r="P28" s="29">
        <f>(INDEX(Univ!$G$6:$G$11,MATCH(D28,Univ!$A$6:$A$11,0))+INDEX(Univ!$G$13:$G$15,MATCH(E28,Univ!$A$13:$A$15,0))+INDEX(Univ!$G$24:$G$27,MATCH($C28,Univ!$A$24:$A$27,0)))*AV28*(1+AZ28)</f>
        <v>5.645915659692733E-2</v>
      </c>
      <c r="Q28" s="3">
        <f t="shared" si="12"/>
        <v>0.34700000000000003</v>
      </c>
      <c r="R28" s="3">
        <f t="shared" si="13"/>
        <v>5.7833333333333341E-2</v>
      </c>
      <c r="S28" s="71">
        <f>FLOOR((Q28-Univ!$F$1)/Univ!$F$2-IF(T28&lt;0,T28,0),0.1)</f>
        <v>-1.8</v>
      </c>
      <c r="T28" s="65">
        <f>((INDEX(Univ!$F$6:$F$11,MATCH(D28,Univ!$A$6:$A$11,0))+INDEX(Univ!$F$13:$F$15,MATCH(E28,Univ!$A$13:$A$15,0))+INDEX(Univ!$F$24:$F$27,MATCH($C28,Univ!$A$24:$A$27,0)))*Univ!$D$2+Univ!$D$1-R28)/Univ!$D$2</f>
        <v>4.7680756136964622</v>
      </c>
      <c r="U28" s="12">
        <v>0.3</v>
      </c>
      <c r="V28" s="12">
        <v>0.85</v>
      </c>
      <c r="W28" s="12">
        <v>0</v>
      </c>
      <c r="X28" s="12">
        <v>0.1</v>
      </c>
      <c r="Y28" s="12">
        <v>0.25</v>
      </c>
      <c r="Z28" s="12">
        <v>0.35</v>
      </c>
      <c r="AA28" s="12">
        <v>0.15</v>
      </c>
      <c r="AB28" s="12">
        <v>0.01</v>
      </c>
      <c r="AC28" s="12">
        <v>0.15</v>
      </c>
      <c r="AD28" s="12">
        <v>0.01</v>
      </c>
      <c r="AE28" s="12">
        <v>0.15</v>
      </c>
      <c r="AF28" s="12">
        <v>0.01</v>
      </c>
      <c r="AG28" s="58">
        <f t="shared" si="14"/>
        <v>1</v>
      </c>
      <c r="AH28" s="60">
        <f t="shared" si="22"/>
        <v>4.5000000000000005E-2</v>
      </c>
      <c r="AI28" s="60">
        <f t="shared" si="23"/>
        <v>0</v>
      </c>
      <c r="AJ28" s="60">
        <f t="shared" si="24"/>
        <v>0.16250000000000001</v>
      </c>
      <c r="AK28" s="60">
        <f t="shared" si="25"/>
        <v>0.14849999999999999</v>
      </c>
      <c r="AL28" s="60">
        <f t="shared" si="26"/>
        <v>0.14849999999999999</v>
      </c>
      <c r="AM28" s="60">
        <f t="shared" si="27"/>
        <v>0.14849999999999999</v>
      </c>
      <c r="AN28" s="81">
        <v>0.45</v>
      </c>
      <c r="AO28" s="82">
        <f>0.001+INDEX(Univ!$C$6:$C$11,MATCH(D28,Univ!$A$6:$A$11,0))*0.01+INDEX(Univ!$C$13:$C$15,MATCH(E28,Univ!$A$13:$A$15,0))*0.01+INDEX(Univ!$C$24:$C$27,MATCH($C28,Univ!$A$24:$A$27,0))*0.01+BA28</f>
        <v>4.1000000000000002E-2</v>
      </c>
      <c r="AP28" s="83">
        <f>U28*Univ!$B$17*IF(V28&gt;Univ!$C$17,1,V28/Univ!$C$17)</f>
        <v>0.22499999999999998</v>
      </c>
      <c r="AQ28" s="83">
        <f>W28*Univ!$B$18*IF(X28&gt;Univ!$C$18,1,X28/Univ!$C$18)</f>
        <v>0</v>
      </c>
      <c r="AR28" s="83">
        <f>Y28*Univ!$B$19*IF(Z28&gt;Univ!$C$19,1,Z28/Univ!$C$19)</f>
        <v>0.26249999999999996</v>
      </c>
      <c r="AS28" s="83">
        <f>AA28*Univ!$B$20*IF(AB28&gt;Univ!$C$20,1,AB28/Univ!$C$20)</f>
        <v>3.7499999999999999E-3</v>
      </c>
      <c r="AT28" s="83">
        <f>AC28*Univ!$B$21*IF(AD28&gt;Univ!$C$21,1,AD28/Univ!$C$21)</f>
        <v>1.3636363636363635E-3</v>
      </c>
      <c r="AU28" s="83">
        <f>AE28*Univ!$B$22*IF(AF28&gt;Univ!$C$22,1,AF28/Univ!$C$22)</f>
        <v>5.4545454545454541E-3</v>
      </c>
      <c r="AV28" s="83">
        <f t="shared" si="21"/>
        <v>0.70573945746159161</v>
      </c>
      <c r="AW28" s="21">
        <f t="shared" si="1"/>
        <v>0</v>
      </c>
      <c r="AX28" s="97">
        <f t="shared" si="2"/>
        <v>0</v>
      </c>
      <c r="AY28" s="22">
        <f t="shared" si="3"/>
        <v>0</v>
      </c>
      <c r="AZ28" s="98">
        <f t="shared" si="4"/>
        <v>0</v>
      </c>
      <c r="BA28" s="98">
        <f t="shared" si="5"/>
        <v>0</v>
      </c>
      <c r="BB28" s="98">
        <f t="shared" si="6"/>
        <v>0</v>
      </c>
      <c r="BC28" s="98">
        <f t="shared" si="7"/>
        <v>0</v>
      </c>
    </row>
    <row r="29" spans="1:55" x14ac:dyDescent="0.25">
      <c r="A29" t="str">
        <f>Stats!A29</f>
        <v>BUL</v>
      </c>
      <c r="B29" t="str">
        <f>Stats!B29</f>
        <v>The Kingdom of Bulgaria</v>
      </c>
      <c r="C29" t="s">
        <v>348</v>
      </c>
      <c r="D29" t="s">
        <v>223</v>
      </c>
      <c r="E29" t="s">
        <v>230</v>
      </c>
      <c r="F29" s="47" t="s">
        <v>233</v>
      </c>
      <c r="G29" s="58" t="str">
        <f t="shared" si="0"/>
        <v>Democrat</v>
      </c>
      <c r="H29" s="74">
        <f t="shared" si="8"/>
        <v>3</v>
      </c>
      <c r="I29" s="25">
        <f t="shared" si="9"/>
        <v>4.5</v>
      </c>
      <c r="J29" s="74">
        <f t="shared" si="10"/>
        <v>9</v>
      </c>
      <c r="K29" s="25">
        <f t="shared" si="11"/>
        <v>1.9462499999999998</v>
      </c>
      <c r="L29">
        <f>INDEX(Univ!$E$6:$E$11,MATCH($D29,Univ!$A$6:$A$11,0))+INDEX(Univ!$E$13:$E$15,MATCH($E29,Univ!$A$13:$A$15,0))+INDEX(Univ!$E$24:$E$27,MATCH($C29,Univ!$A$24:$A$27,0))</f>
        <v>5</v>
      </c>
      <c r="M29">
        <f>INDEX(Univ!$B$6:$B$11,MATCH($D29,Univ!$A$6:$A$11,0))+INDEX(Univ!$B$13:$B$15,MATCH($E29,Univ!$A$13:$A$15,0))+INDEX(Univ!$B$24:$B$27,MATCH($C29,Univ!$A$24:$A$27,0))</f>
        <v>9</v>
      </c>
      <c r="N29">
        <f>INDEX(Univ!$D$6:$D$11,MATCH(D29,Univ!$A$6:$A$11,0))+INDEX(Univ!$D$13:$D$15,MATCH(E29,Univ!$A$13:$A$15,0))+INDEX(Univ!$D$24:$D$27,MATCH($C29,Univ!$A$24:$A$27,0))</f>
        <v>11</v>
      </c>
      <c r="O29">
        <f>INDEX(Univ!$H$6:$H$11,MATCH($D29,Univ!$A$6:$A$11,0))+INDEX(Univ!$H$13:$H$15,MATCH($E29,Univ!$A$13:$A$15,0))+INDEX(Univ!$H$24:$H$27,MATCH($C29,Univ!$A$24:$A$27,0))</f>
        <v>1.5</v>
      </c>
      <c r="P29" s="29">
        <f>(INDEX(Univ!$G$6:$G$11,MATCH(D29,Univ!$A$6:$A$11,0))+INDEX(Univ!$G$13:$G$15,MATCH(E29,Univ!$A$13:$A$15,0))+INDEX(Univ!$G$24:$G$27,MATCH($C29,Univ!$A$24:$A$27,0)))*AV29*(1+AZ29)</f>
        <v>5.645915659692733E-2</v>
      </c>
      <c r="Q29" s="3">
        <f t="shared" ref="Q29" si="28">U29*V29+W29*X29+Y29*Z29+AA29*AB29+AC29*AD29+AE29*AF29</f>
        <v>0.34700000000000003</v>
      </c>
      <c r="R29" s="3">
        <f t="shared" ref="R29" si="29">AVERAGE(U29*V29,W29*X29,Y29*Z29,AA29*AB29,AC29*AD29,AE29*AF29)</f>
        <v>5.7833333333333341E-2</v>
      </c>
      <c r="S29" s="71">
        <f>FLOOR((Q29-Univ!$F$1)/Univ!$F$2-IF(T29&lt;0,T29,0),0.1)</f>
        <v>-1.8</v>
      </c>
      <c r="T29" s="65">
        <f>((INDEX(Univ!$F$6:$F$11,MATCH(D29,Univ!$A$6:$A$11,0))+INDEX(Univ!$F$13:$F$15,MATCH(E29,Univ!$A$13:$A$15,0))+INDEX(Univ!$F$24:$F$27,MATCH($C29,Univ!$A$24:$A$27,0)))*Univ!$D$2+Univ!$D$1-R29)/Univ!$D$2</f>
        <v>4.7680756136964622</v>
      </c>
      <c r="U29" s="12">
        <v>0.3</v>
      </c>
      <c r="V29" s="12">
        <v>0.85</v>
      </c>
      <c r="W29" s="12">
        <v>0</v>
      </c>
      <c r="X29" s="12">
        <v>0.1</v>
      </c>
      <c r="Y29" s="12">
        <v>0.25</v>
      </c>
      <c r="Z29" s="12">
        <v>0.35</v>
      </c>
      <c r="AA29" s="12">
        <v>0.15</v>
      </c>
      <c r="AB29" s="12">
        <v>0.01</v>
      </c>
      <c r="AC29" s="12">
        <v>0.15</v>
      </c>
      <c r="AD29" s="12">
        <v>0.01</v>
      </c>
      <c r="AE29" s="12">
        <v>0.15</v>
      </c>
      <c r="AF29" s="12">
        <v>0.01</v>
      </c>
      <c r="AG29" s="58">
        <f t="shared" ref="AG29" si="30">U29+W29+Y29+AA29+AC29+AE29</f>
        <v>1</v>
      </c>
      <c r="AH29" s="60">
        <f t="shared" ref="AH29" si="31">U29*(1-V29)</f>
        <v>4.5000000000000005E-2</v>
      </c>
      <c r="AI29" s="60">
        <f t="shared" ref="AI29" si="32">W29*(1-X29)</f>
        <v>0</v>
      </c>
      <c r="AJ29" s="60">
        <f t="shared" ref="AJ29" si="33">Y29*(1-Z29)</f>
        <v>0.16250000000000001</v>
      </c>
      <c r="AK29" s="60">
        <f t="shared" ref="AK29" si="34">AA29*(1-AB29)</f>
        <v>0.14849999999999999</v>
      </c>
      <c r="AL29" s="60">
        <f t="shared" ref="AL29" si="35">AC29*(1-AD29)</f>
        <v>0.14849999999999999</v>
      </c>
      <c r="AM29" s="60">
        <f t="shared" ref="AM29" si="36">AE29*(1-AF29)</f>
        <v>0.14849999999999999</v>
      </c>
      <c r="AN29" s="81">
        <v>0.45</v>
      </c>
      <c r="AO29" s="82">
        <f>0.001+INDEX(Univ!$C$6:$C$11,MATCH(D29,Univ!$A$6:$A$11,0))*0.01+INDEX(Univ!$C$13:$C$15,MATCH(E29,Univ!$A$13:$A$15,0))*0.01+INDEX(Univ!$C$24:$C$27,MATCH($C29,Univ!$A$24:$A$27,0))*0.01+BA29</f>
        <v>4.1000000000000002E-2</v>
      </c>
      <c r="AP29" s="83">
        <f>U29*Univ!$B$17*IF(V29&gt;Univ!$C$17,1,V29/Univ!$C$17)</f>
        <v>0.22499999999999998</v>
      </c>
      <c r="AQ29" s="83">
        <f>W29*Univ!$B$18*IF(X29&gt;Univ!$C$18,1,X29/Univ!$C$18)</f>
        <v>0</v>
      </c>
      <c r="AR29" s="83">
        <f>Y29*Univ!$B$19*IF(Z29&gt;Univ!$C$19,1,Z29/Univ!$C$19)</f>
        <v>0.26249999999999996</v>
      </c>
      <c r="AS29" s="83">
        <f>AA29*Univ!$B$20*IF(AB29&gt;Univ!$C$20,1,AB29/Univ!$C$20)</f>
        <v>3.7499999999999999E-3</v>
      </c>
      <c r="AT29" s="83">
        <f>AC29*Univ!$B$21*IF(AD29&gt;Univ!$C$21,1,AD29/Univ!$C$21)</f>
        <v>1.3636363636363635E-3</v>
      </c>
      <c r="AU29" s="83">
        <f>AE29*Univ!$B$22*IF(AF29&gt;Univ!$C$22,1,AF29/Univ!$C$22)</f>
        <v>5.4545454545454541E-3</v>
      </c>
      <c r="AV29" s="83">
        <f t="shared" si="21"/>
        <v>0.70573945746159161</v>
      </c>
      <c r="AW29" s="21">
        <f t="shared" si="1"/>
        <v>0</v>
      </c>
      <c r="AX29" s="97">
        <f t="shared" si="2"/>
        <v>0</v>
      </c>
      <c r="AY29" s="22">
        <f t="shared" si="3"/>
        <v>0</v>
      </c>
      <c r="AZ29" s="98">
        <f t="shared" si="4"/>
        <v>0</v>
      </c>
      <c r="BA29" s="98">
        <f t="shared" si="5"/>
        <v>0</v>
      </c>
      <c r="BB29" s="98">
        <f t="shared" si="6"/>
        <v>0</v>
      </c>
      <c r="BC29" s="98">
        <f t="shared" si="7"/>
        <v>0</v>
      </c>
    </row>
    <row r="30" spans="1:55" x14ac:dyDescent="0.25">
      <c r="A30" t="str">
        <f>Stats!A30</f>
        <v>GRE</v>
      </c>
      <c r="B30" t="str">
        <f>Stats!B30</f>
        <v>The Hellenic Republic of Greece</v>
      </c>
      <c r="C30" t="s">
        <v>348</v>
      </c>
      <c r="D30" t="s">
        <v>224</v>
      </c>
      <c r="E30" t="s">
        <v>231</v>
      </c>
      <c r="F30" s="47" t="s">
        <v>250</v>
      </c>
      <c r="G30" s="58" t="str">
        <f t="shared" si="0"/>
        <v>Socialist</v>
      </c>
      <c r="H30" s="74">
        <f t="shared" si="8"/>
        <v>2</v>
      </c>
      <c r="I30" s="25">
        <f t="shared" si="9"/>
        <v>5.5</v>
      </c>
      <c r="J30" s="74">
        <f t="shared" si="10"/>
        <v>6</v>
      </c>
      <c r="K30" s="25">
        <f t="shared" si="11"/>
        <v>2.4794999999999998</v>
      </c>
      <c r="L30">
        <f>INDEX(Univ!$E$6:$E$11,MATCH($D30,Univ!$A$6:$A$11,0))+INDEX(Univ!$E$13:$E$15,MATCH($E30,Univ!$A$13:$A$15,0))+INDEX(Univ!$E$24:$E$27,MATCH($C30,Univ!$A$24:$A$27,0))</f>
        <v>3</v>
      </c>
      <c r="M30">
        <f>INDEX(Univ!$B$6:$B$11,MATCH($D30,Univ!$A$6:$A$11,0))+INDEX(Univ!$B$13:$B$15,MATCH($E30,Univ!$A$13:$A$15,0))+INDEX(Univ!$B$24:$B$27,MATCH($C30,Univ!$A$24:$A$27,0))</f>
        <v>7</v>
      </c>
      <c r="N30">
        <f>INDEX(Univ!$D$6:$D$11,MATCH(D30,Univ!$A$6:$A$11,0))+INDEX(Univ!$D$13:$D$15,MATCH(E30,Univ!$A$13:$A$15,0))+INDEX(Univ!$D$24:$D$27,MATCH($C30,Univ!$A$24:$A$27,0))</f>
        <v>8</v>
      </c>
      <c r="O30">
        <f>INDEX(Univ!$H$6:$H$11,MATCH($D30,Univ!$A$6:$A$11,0))+INDEX(Univ!$H$13:$H$15,MATCH($E30,Univ!$A$13:$A$15,0))+INDEX(Univ!$H$24:$H$27,MATCH($C30,Univ!$A$24:$A$27,0))</f>
        <v>1.8</v>
      </c>
      <c r="P30" s="29">
        <f>(INDEX(Univ!$G$6:$G$11,MATCH(D30,Univ!$A$6:$A$11,0))+INDEX(Univ!$G$13:$G$15,MATCH(E30,Univ!$A$13:$A$15,0))+INDEX(Univ!$G$24:$G$27,MATCH($C30,Univ!$A$24:$A$27,0)))*AV30*(1+AZ30)</f>
        <v>5.8917073848835134E-2</v>
      </c>
      <c r="Q30" s="3">
        <f t="shared" si="12"/>
        <v>0.4325</v>
      </c>
      <c r="R30" s="3">
        <f t="shared" si="13"/>
        <v>7.2083333333333333E-2</v>
      </c>
      <c r="S30" s="71">
        <f>FLOOR((Q30-Univ!$F$1)/Univ!$F$2-IF(T30&lt;0,T30,0),0.1)</f>
        <v>-1.1000000000000001</v>
      </c>
      <c r="T30" s="65">
        <f>((INDEX(Univ!$F$6:$F$11,MATCH(D30,Univ!$A$6:$A$11,0))+INDEX(Univ!$F$13:$F$15,MATCH(E30,Univ!$A$13:$A$15,0))+INDEX(Univ!$F$24:$F$27,MATCH($C30,Univ!$A$24:$A$27,0)))*Univ!$D$2+Univ!$D$1-R30)/Univ!$D$2</f>
        <v>1.5308509230505625</v>
      </c>
      <c r="U30" s="12">
        <v>0.25</v>
      </c>
      <c r="V30" s="12">
        <v>0.45</v>
      </c>
      <c r="W30" s="12">
        <v>0</v>
      </c>
      <c r="X30" s="12">
        <v>0.1</v>
      </c>
      <c r="Y30" s="12">
        <v>0.3</v>
      </c>
      <c r="Z30" s="12">
        <v>0.85</v>
      </c>
      <c r="AA30" s="12">
        <v>0.1</v>
      </c>
      <c r="AB30" s="12">
        <v>0.1</v>
      </c>
      <c r="AC30" s="12">
        <v>0.15</v>
      </c>
      <c r="AD30" s="12">
        <v>0.1</v>
      </c>
      <c r="AE30" s="12">
        <v>0.2</v>
      </c>
      <c r="AF30" s="12">
        <v>0.2</v>
      </c>
      <c r="AG30" s="58">
        <f t="shared" si="14"/>
        <v>1</v>
      </c>
      <c r="AH30" s="60">
        <f t="shared" si="22"/>
        <v>0.13750000000000001</v>
      </c>
      <c r="AI30" s="60">
        <f t="shared" si="23"/>
        <v>0</v>
      </c>
      <c r="AJ30" s="60">
        <f t="shared" si="24"/>
        <v>4.5000000000000005E-2</v>
      </c>
      <c r="AK30" s="60">
        <f t="shared" si="25"/>
        <v>9.0000000000000011E-2</v>
      </c>
      <c r="AL30" s="60">
        <f t="shared" si="26"/>
        <v>0.13500000000000001</v>
      </c>
      <c r="AM30" s="60">
        <f t="shared" si="27"/>
        <v>0.16000000000000003</v>
      </c>
      <c r="AN30" s="81">
        <v>0.35</v>
      </c>
      <c r="AO30" s="82">
        <f>0.001+INDEX(Univ!$C$6:$C$11,MATCH(D30,Univ!$A$6:$A$11,0))*0.01+INDEX(Univ!$C$13:$C$15,MATCH(E30,Univ!$A$13:$A$15,0))*0.01+INDEX(Univ!$C$24:$C$27,MATCH($C30,Univ!$A$24:$A$27,0))*0.01+BA30</f>
        <v>1.6E-2</v>
      </c>
      <c r="AP30" s="83">
        <f>U30*Univ!$B$17*IF(V30&gt;Univ!$C$17,1,V30/Univ!$C$17)</f>
        <v>0.1875</v>
      </c>
      <c r="AQ30" s="83">
        <f>W30*Univ!$B$18*IF(X30&gt;Univ!$C$18,1,X30/Univ!$C$18)</f>
        <v>0</v>
      </c>
      <c r="AR30" s="83">
        <f>Y30*Univ!$B$19*IF(Z30&gt;Univ!$C$19,1,Z30/Univ!$C$19)</f>
        <v>0.44999999999999996</v>
      </c>
      <c r="AS30" s="83">
        <f>AA30*Univ!$B$20*IF(AB30&gt;Univ!$C$20,1,AB30/Univ!$C$20)</f>
        <v>2.5000000000000001E-2</v>
      </c>
      <c r="AT30" s="83">
        <f>AC30*Univ!$B$21*IF(AD30&gt;Univ!$C$21,1,AD30/Univ!$C$21)</f>
        <v>1.3636363636363636E-2</v>
      </c>
      <c r="AU30" s="83">
        <f>AE30*Univ!$B$22*IF(AF30&gt;Univ!$C$22,1,AF30/Univ!$C$22)</f>
        <v>0.14545454545454548</v>
      </c>
      <c r="AV30" s="83">
        <f t="shared" si="21"/>
        <v>0.90641652075130952</v>
      </c>
      <c r="AW30" s="21">
        <f t="shared" si="1"/>
        <v>0</v>
      </c>
      <c r="AX30" s="97">
        <f t="shared" si="2"/>
        <v>0</v>
      </c>
      <c r="AY30" s="22">
        <f t="shared" si="3"/>
        <v>0</v>
      </c>
      <c r="AZ30" s="98">
        <f t="shared" si="4"/>
        <v>0</v>
      </c>
      <c r="BA30" s="98">
        <f t="shared" si="5"/>
        <v>0</v>
      </c>
      <c r="BB30" s="98">
        <f t="shared" si="6"/>
        <v>0</v>
      </c>
      <c r="BC30" s="98">
        <f t="shared" si="7"/>
        <v>0</v>
      </c>
    </row>
    <row r="31" spans="1:55" x14ac:dyDescent="0.25">
      <c r="A31" t="str">
        <f>Stats!A31</f>
        <v>QIN</v>
      </c>
      <c r="B31" t="str">
        <f>Stats!B31</f>
        <v>The Empire of the Great Qing</v>
      </c>
      <c r="C31" t="s">
        <v>347</v>
      </c>
      <c r="D31" t="s">
        <v>223</v>
      </c>
      <c r="E31" t="s">
        <v>230</v>
      </c>
      <c r="F31" s="47" t="s">
        <v>233</v>
      </c>
      <c r="G31" s="58" t="str">
        <f t="shared" si="0"/>
        <v>Socialist</v>
      </c>
      <c r="H31" s="74">
        <f t="shared" si="8"/>
        <v>6</v>
      </c>
      <c r="I31" s="25">
        <f t="shared" si="9"/>
        <v>6.5</v>
      </c>
      <c r="J31" s="74">
        <f t="shared" si="10"/>
        <v>12</v>
      </c>
      <c r="K31" s="25">
        <f t="shared" si="11"/>
        <v>1.4772500000000002</v>
      </c>
      <c r="L31">
        <f>INDEX(Univ!$E$6:$E$11,MATCH($D31,Univ!$A$6:$A$11,0))+INDEX(Univ!$E$13:$E$15,MATCH($E31,Univ!$A$13:$A$15,0))+INDEX(Univ!$E$24:$E$27,MATCH($C31,Univ!$A$24:$A$27,0))</f>
        <v>6</v>
      </c>
      <c r="M31">
        <f>INDEX(Univ!$B$6:$B$11,MATCH($D31,Univ!$A$6:$A$11,0))+INDEX(Univ!$B$13:$B$15,MATCH($E31,Univ!$A$13:$A$15,0))+INDEX(Univ!$B$24:$B$27,MATCH($C31,Univ!$A$24:$A$27,0))</f>
        <v>8</v>
      </c>
      <c r="N31">
        <f>INDEX(Univ!$D$6:$D$11,MATCH(D31,Univ!$A$6:$A$11,0))+INDEX(Univ!$D$13:$D$15,MATCH(E31,Univ!$A$13:$A$15,0))+INDEX(Univ!$D$24:$D$27,MATCH($C31,Univ!$A$24:$A$27,0))</f>
        <v>13</v>
      </c>
      <c r="O31">
        <f>INDEX(Univ!$H$6:$H$11,MATCH($D31,Univ!$A$6:$A$11,0))+INDEX(Univ!$H$13:$H$15,MATCH($E31,Univ!$A$13:$A$15,0))+INDEX(Univ!$H$24:$H$27,MATCH($C31,Univ!$A$24:$A$27,0))</f>
        <v>1.9</v>
      </c>
      <c r="P31" s="29">
        <f>(INDEX(Univ!$G$6:$G$11,MATCH(D31,Univ!$A$6:$A$11,0))+INDEX(Univ!$G$13:$G$15,MATCH(E31,Univ!$A$13:$A$15,0))+INDEX(Univ!$G$24:$G$27,MATCH($C31,Univ!$A$24:$A$27,0)))*AV31*(1+AZ31)</f>
        <v>6.9829337413699996E-2</v>
      </c>
      <c r="Q31" s="3">
        <f t="shared" si="12"/>
        <v>0.4955</v>
      </c>
      <c r="R31" s="3">
        <f t="shared" si="13"/>
        <v>8.2583333333333328E-2</v>
      </c>
      <c r="S31" s="71">
        <f>FLOOR((Q31-Univ!$F$1)/Univ!$F$2-IF(T31&lt;0,T31,0),0.1)</f>
        <v>-0.5</v>
      </c>
      <c r="T31" s="65">
        <f>((INDEX(Univ!$F$6:$F$11,MATCH(D31,Univ!$A$6:$A$11,0))+INDEX(Univ!$F$13:$F$15,MATCH(E31,Univ!$A$13:$A$15,0))+INDEX(Univ!$F$24:$F$27,MATCH($C31,Univ!$A$24:$A$27,0)))*Univ!$D$2+Univ!$D$1-R31)/Univ!$D$2</f>
        <v>1.9876327299430578</v>
      </c>
      <c r="U31" s="12">
        <v>0.2</v>
      </c>
      <c r="V31" s="12">
        <v>0.95</v>
      </c>
      <c r="W31" s="12">
        <v>0.35</v>
      </c>
      <c r="X31" s="12">
        <v>0.8</v>
      </c>
      <c r="Y31" s="12">
        <v>0.15</v>
      </c>
      <c r="Z31" s="12">
        <v>0.15</v>
      </c>
      <c r="AA31" s="12">
        <v>0.05</v>
      </c>
      <c r="AB31" s="12">
        <v>0.01</v>
      </c>
      <c r="AC31" s="12">
        <v>0.1</v>
      </c>
      <c r="AD31" s="12">
        <v>0.01</v>
      </c>
      <c r="AE31" s="12">
        <v>0.15</v>
      </c>
      <c r="AF31" s="12">
        <v>0.01</v>
      </c>
      <c r="AG31" s="58">
        <f t="shared" si="14"/>
        <v>1</v>
      </c>
      <c r="AH31" s="60">
        <f t="shared" si="22"/>
        <v>1.0000000000000009E-2</v>
      </c>
      <c r="AI31" s="60">
        <f t="shared" si="23"/>
        <v>6.9999999999999979E-2</v>
      </c>
      <c r="AJ31" s="60">
        <f t="shared" si="24"/>
        <v>0.1275</v>
      </c>
      <c r="AK31" s="60">
        <f t="shared" si="25"/>
        <v>4.9500000000000002E-2</v>
      </c>
      <c r="AL31" s="60">
        <f t="shared" si="26"/>
        <v>9.9000000000000005E-2</v>
      </c>
      <c r="AM31" s="60">
        <f t="shared" si="27"/>
        <v>0.14849999999999999</v>
      </c>
      <c r="AN31" s="81">
        <v>0.85</v>
      </c>
      <c r="AO31" s="82">
        <f>0.001+INDEX(Univ!$C$6:$C$11,MATCH(D31,Univ!$A$6:$A$11,0))*0.01+INDEX(Univ!$C$13:$C$15,MATCH(E31,Univ!$A$13:$A$15,0))*0.01+INDEX(Univ!$C$24:$C$27,MATCH($C31,Univ!$A$24:$A$27,0))*0.01+BA31</f>
        <v>3.5999999999999997E-2</v>
      </c>
      <c r="AP31" s="83">
        <f>U31*Univ!$B$17*IF(V31&gt;Univ!$C$17,1,V31/Univ!$C$17)</f>
        <v>0.15000000000000002</v>
      </c>
      <c r="AQ31" s="83">
        <f>W31*Univ!$B$18*IF(X31&gt;Univ!$C$18,1,X31/Univ!$C$18)</f>
        <v>0.26249999999999996</v>
      </c>
      <c r="AR31" s="83">
        <f>Y31*Univ!$B$19*IF(Z31&gt;Univ!$C$19,1,Z31/Univ!$C$19)</f>
        <v>6.7499999999999991E-2</v>
      </c>
      <c r="AS31" s="83">
        <f>AA31*Univ!$B$20*IF(AB31&gt;Univ!$C$20,1,AB31/Univ!$C$20)</f>
        <v>1.25E-3</v>
      </c>
      <c r="AT31" s="83">
        <f>AC31*Univ!$B$21*IF(AD31&gt;Univ!$C$21,1,AD31/Univ!$C$21)</f>
        <v>9.0909090909090909E-4</v>
      </c>
      <c r="AU31" s="83">
        <f>AE31*Univ!$B$22*IF(AF31&gt;Univ!$C$22,1,AF31/Univ!$C$22)</f>
        <v>5.4545454545454541E-3</v>
      </c>
      <c r="AV31" s="83">
        <f t="shared" si="21"/>
        <v>0.69829337413699999</v>
      </c>
      <c r="AW31" s="21">
        <f t="shared" si="1"/>
        <v>0</v>
      </c>
      <c r="AX31" s="97">
        <f t="shared" si="2"/>
        <v>0</v>
      </c>
      <c r="AY31" s="22">
        <f t="shared" si="3"/>
        <v>0</v>
      </c>
      <c r="AZ31" s="98">
        <f t="shared" si="4"/>
        <v>0</v>
      </c>
      <c r="BA31" s="98">
        <f t="shared" si="5"/>
        <v>0</v>
      </c>
      <c r="BB31" s="98">
        <f t="shared" si="6"/>
        <v>0</v>
      </c>
      <c r="BC31" s="98">
        <f t="shared" si="7"/>
        <v>0</v>
      </c>
    </row>
    <row r="32" spans="1:55" x14ac:dyDescent="0.25">
      <c r="A32" t="str">
        <f>Stats!A32</f>
        <v>NRC</v>
      </c>
      <c r="B32" t="str">
        <f>Stats!B32</f>
        <v>The National Han Republic of China</v>
      </c>
      <c r="C32" t="s">
        <v>346</v>
      </c>
      <c r="D32" t="s">
        <v>226</v>
      </c>
      <c r="E32" t="s">
        <v>231</v>
      </c>
      <c r="F32" s="47" t="s">
        <v>250</v>
      </c>
      <c r="G32" s="58" t="str">
        <f t="shared" si="0"/>
        <v>Monarchist</v>
      </c>
      <c r="H32" s="74">
        <f t="shared" si="8"/>
        <v>3</v>
      </c>
      <c r="I32" s="25">
        <f t="shared" si="9"/>
        <v>5.5</v>
      </c>
      <c r="J32" s="74">
        <f t="shared" si="10"/>
        <v>6</v>
      </c>
      <c r="K32" s="25">
        <f t="shared" si="11"/>
        <v>3.59375</v>
      </c>
      <c r="L32">
        <f>INDEX(Univ!$E$6:$E$11,MATCH($D32,Univ!$A$6:$A$11,0))+INDEX(Univ!$E$13:$E$15,MATCH($E32,Univ!$A$13:$A$15,0))+INDEX(Univ!$E$24:$E$27,MATCH($C32,Univ!$A$24:$A$27,0))</f>
        <v>3</v>
      </c>
      <c r="M32">
        <f>INDEX(Univ!$B$6:$B$11,MATCH($D32,Univ!$A$6:$A$11,0))+INDEX(Univ!$B$13:$B$15,MATCH($E32,Univ!$A$13:$A$15,0))+INDEX(Univ!$B$24:$B$27,MATCH($C32,Univ!$A$24:$A$27,0))</f>
        <v>6</v>
      </c>
      <c r="N32">
        <f>INDEX(Univ!$D$6:$D$11,MATCH(D32,Univ!$A$6:$A$11,0))+INDEX(Univ!$D$13:$D$15,MATCH(E32,Univ!$A$13:$A$15,0))+INDEX(Univ!$D$24:$D$27,MATCH($C32,Univ!$A$24:$A$27,0))</f>
        <v>7</v>
      </c>
      <c r="O32">
        <f>INDEX(Univ!$H$6:$H$11,MATCH($D32,Univ!$A$6:$A$11,0))+INDEX(Univ!$H$13:$H$15,MATCH($E32,Univ!$A$13:$A$15,0))+INDEX(Univ!$H$24:$H$27,MATCH($C32,Univ!$A$24:$A$27,0))</f>
        <v>2.5</v>
      </c>
      <c r="P32" s="29">
        <f>(INDEX(Univ!$G$6:$G$11,MATCH(D32,Univ!$A$6:$A$11,0))+INDEX(Univ!$G$13:$G$15,MATCH(E32,Univ!$A$13:$A$15,0))+INDEX(Univ!$G$24:$G$27,MATCH($C32,Univ!$A$24:$A$27,0)))*AV32*(1+AZ32)</f>
        <v>9.1188366482891789E-2</v>
      </c>
      <c r="Q32" s="3">
        <f t="shared" si="12"/>
        <v>0.52499999999999991</v>
      </c>
      <c r="R32" s="3">
        <f t="shared" si="13"/>
        <v>8.7499999999999981E-2</v>
      </c>
      <c r="S32" s="71">
        <f>FLOOR((Q32-Univ!$F$1)/Univ!$F$2-IF(T32&lt;0,T32,0),0.1)</f>
        <v>-0.30000000000000004</v>
      </c>
      <c r="T32" s="65">
        <f>((INDEX(Univ!$F$6:$F$11,MATCH(D32,Univ!$A$6:$A$11,0))+INDEX(Univ!$F$13:$F$15,MATCH(E32,Univ!$A$13:$A$15,0))+INDEX(Univ!$F$24:$F$27,MATCH($C32,Univ!$A$24:$A$27,0)))*Univ!$D$2+Univ!$D$1-R32)/Univ!$D$2</f>
        <v>0.73326865539271835</v>
      </c>
      <c r="U32" s="12">
        <v>0.15</v>
      </c>
      <c r="V32" s="12">
        <v>0.05</v>
      </c>
      <c r="W32" s="12">
        <v>0.1</v>
      </c>
      <c r="X32" s="12">
        <v>0.55000000000000004</v>
      </c>
      <c r="Y32" s="12">
        <v>0.35</v>
      </c>
      <c r="Z32" s="12">
        <v>0.75</v>
      </c>
      <c r="AA32" s="12">
        <v>0.1</v>
      </c>
      <c r="AB32" s="12">
        <v>0.35</v>
      </c>
      <c r="AC32" s="12">
        <v>0.1</v>
      </c>
      <c r="AD32" s="12">
        <v>0.45</v>
      </c>
      <c r="AE32" s="12">
        <v>0.2</v>
      </c>
      <c r="AF32" s="12">
        <v>0.6</v>
      </c>
      <c r="AG32" s="58">
        <f t="shared" si="14"/>
        <v>1</v>
      </c>
      <c r="AH32" s="60">
        <f t="shared" si="22"/>
        <v>0.14249999999999999</v>
      </c>
      <c r="AI32" s="60">
        <f t="shared" si="23"/>
        <v>4.4999999999999998E-2</v>
      </c>
      <c r="AJ32" s="60">
        <f t="shared" si="24"/>
        <v>8.7499999999999994E-2</v>
      </c>
      <c r="AK32" s="60">
        <f t="shared" si="25"/>
        <v>6.5000000000000002E-2</v>
      </c>
      <c r="AL32" s="60">
        <f t="shared" si="26"/>
        <v>5.5000000000000007E-2</v>
      </c>
      <c r="AM32" s="60">
        <f t="shared" si="27"/>
        <v>8.0000000000000016E-2</v>
      </c>
      <c r="AN32" s="81">
        <v>0.25</v>
      </c>
      <c r="AO32" s="82">
        <f>0.001+INDEX(Univ!$C$6:$C$11,MATCH(D32,Univ!$A$6:$A$11,0))*0.01+INDEX(Univ!$C$13:$C$15,MATCH(E32,Univ!$A$13:$A$15,0))*0.01+INDEX(Univ!$C$24:$C$27,MATCH($C32,Univ!$A$24:$A$27,0))*0.01+BA32</f>
        <v>-1.9000000000000003E-2</v>
      </c>
      <c r="AP32" s="83">
        <f>U32*Univ!$B$17*IF(V32&gt;Univ!$C$17,1,V32/Univ!$C$17)</f>
        <v>2.2499999999999999E-2</v>
      </c>
      <c r="AQ32" s="83">
        <f>W32*Univ!$B$18*IF(X32&gt;Univ!$C$18,1,X32/Univ!$C$18)</f>
        <v>7.5000000000000011E-2</v>
      </c>
      <c r="AR32" s="83">
        <f>Y32*Univ!$B$19*IF(Z32&gt;Univ!$C$19,1,Z32/Univ!$C$19)</f>
        <v>0.52499999999999991</v>
      </c>
      <c r="AS32" s="83">
        <f>AA32*Univ!$B$20*IF(AB32&gt;Univ!$C$20,1,AB32/Univ!$C$20)</f>
        <v>8.7499999999999994E-2</v>
      </c>
      <c r="AT32" s="83">
        <f>AC32*Univ!$B$21*IF(AD32&gt;Univ!$C$21,1,AD32/Univ!$C$21)</f>
        <v>4.0909090909090909E-2</v>
      </c>
      <c r="AU32" s="83">
        <f>AE32*Univ!$B$22*IF(AF32&gt;Univ!$C$22,1,AF32/Univ!$C$22)</f>
        <v>0.4</v>
      </c>
      <c r="AV32" s="83">
        <f t="shared" si="21"/>
        <v>1.0728043115634327</v>
      </c>
      <c r="AW32" s="21">
        <f t="shared" si="1"/>
        <v>0</v>
      </c>
      <c r="AX32" s="97">
        <f t="shared" si="2"/>
        <v>0</v>
      </c>
      <c r="AY32" s="22">
        <f t="shared" si="3"/>
        <v>0</v>
      </c>
      <c r="AZ32" s="98">
        <f t="shared" si="4"/>
        <v>0</v>
      </c>
      <c r="BA32" s="98">
        <f t="shared" si="5"/>
        <v>0</v>
      </c>
      <c r="BB32" s="98">
        <f t="shared" si="6"/>
        <v>0</v>
      </c>
      <c r="BC32" s="98">
        <f t="shared" si="7"/>
        <v>0</v>
      </c>
    </row>
    <row r="33" spans="1:55" x14ac:dyDescent="0.25">
      <c r="A33" t="str">
        <f>Stats!A33</f>
        <v>GXI</v>
      </c>
      <c r="B33" t="str">
        <f>Stats!B33</f>
        <v>The Confederation of Guangxi</v>
      </c>
      <c r="C33" t="s">
        <v>348</v>
      </c>
      <c r="D33" t="s">
        <v>225</v>
      </c>
      <c r="E33" t="s">
        <v>230</v>
      </c>
      <c r="F33" s="47" t="s">
        <v>233</v>
      </c>
      <c r="G33" s="58" t="str">
        <f t="shared" si="0"/>
        <v>Socialist</v>
      </c>
      <c r="H33" s="74">
        <f t="shared" si="8"/>
        <v>3</v>
      </c>
      <c r="I33" s="25">
        <f t="shared" si="9"/>
        <v>6.5</v>
      </c>
      <c r="J33" s="74">
        <f t="shared" si="10"/>
        <v>8</v>
      </c>
      <c r="K33" s="25">
        <f t="shared" si="11"/>
        <v>2.1555</v>
      </c>
      <c r="L33">
        <f>INDEX(Univ!$E$6:$E$11,MATCH($D33,Univ!$A$6:$A$11,0))+INDEX(Univ!$E$13:$E$15,MATCH($E33,Univ!$A$13:$A$15,0))+INDEX(Univ!$E$24:$E$27,MATCH($C33,Univ!$A$24:$A$27,0))</f>
        <v>4</v>
      </c>
      <c r="M33">
        <f>INDEX(Univ!$B$6:$B$11,MATCH($D33,Univ!$A$6:$A$11,0))+INDEX(Univ!$B$13:$B$15,MATCH($E33,Univ!$A$13:$A$15,0))+INDEX(Univ!$B$24:$B$27,MATCH($C33,Univ!$A$24:$A$27,0))</f>
        <v>8</v>
      </c>
      <c r="N33">
        <f>INDEX(Univ!$D$6:$D$11,MATCH(D33,Univ!$A$6:$A$11,0))+INDEX(Univ!$D$13:$D$15,MATCH(E33,Univ!$A$13:$A$15,0))+INDEX(Univ!$D$24:$D$27,MATCH($C33,Univ!$A$24:$A$27,0))</f>
        <v>9</v>
      </c>
      <c r="O33">
        <f>INDEX(Univ!$H$6:$H$11,MATCH($D33,Univ!$A$6:$A$11,0))+INDEX(Univ!$H$13:$H$15,MATCH($E33,Univ!$A$13:$A$15,0))+INDEX(Univ!$H$24:$H$27,MATCH($C33,Univ!$A$24:$A$27,0))</f>
        <v>1.8</v>
      </c>
      <c r="P33" s="29">
        <f>(INDEX(Univ!$G$6:$G$11,MATCH(D33,Univ!$A$6:$A$11,0))+INDEX(Univ!$G$13:$G$15,MATCH(E33,Univ!$A$13:$A$15,0))+INDEX(Univ!$G$24:$G$27,MATCH($C33,Univ!$A$24:$A$27,0)))*AV33*(1+AZ33)</f>
        <v>5.663278844691233E-2</v>
      </c>
      <c r="Q33" s="3">
        <f t="shared" si="12"/>
        <v>0.46</v>
      </c>
      <c r="R33" s="3">
        <f t="shared" si="13"/>
        <v>7.6666666666666675E-2</v>
      </c>
      <c r="S33" s="71">
        <f>FLOOR((Q33-Univ!$F$1)/Univ!$F$2-IF(T33&lt;0,T33,0),0.1)</f>
        <v>-0.8</v>
      </c>
      <c r="T33" s="65">
        <f>((INDEX(Univ!$F$6:$F$11,MATCH(D33,Univ!$A$6:$A$11,0))+INDEX(Univ!$F$13:$F$15,MATCH(E33,Univ!$A$13:$A$15,0))+INDEX(Univ!$F$24:$F$27,MATCH($C33,Univ!$A$24:$A$27,0)))*Univ!$D$2+Univ!$D$1-R33)/Univ!$D$2</f>
        <v>1.7937318705036349</v>
      </c>
      <c r="U33" s="12">
        <v>0.35</v>
      </c>
      <c r="V33" s="12">
        <v>0.75</v>
      </c>
      <c r="W33" s="12">
        <v>0.1</v>
      </c>
      <c r="X33" s="12">
        <v>0.75</v>
      </c>
      <c r="Y33" s="12">
        <v>0.2</v>
      </c>
      <c r="Z33" s="12">
        <v>0.55000000000000004</v>
      </c>
      <c r="AA33" s="12">
        <v>0.1</v>
      </c>
      <c r="AB33" s="12">
        <v>0.01</v>
      </c>
      <c r="AC33" s="12">
        <v>0.1</v>
      </c>
      <c r="AD33" s="12">
        <v>0.1</v>
      </c>
      <c r="AE33" s="12">
        <v>0.15</v>
      </c>
      <c r="AF33" s="12">
        <v>0.01</v>
      </c>
      <c r="AG33" s="58">
        <f t="shared" si="14"/>
        <v>0.99999999999999989</v>
      </c>
      <c r="AH33" s="60">
        <f t="shared" si="22"/>
        <v>8.7499999999999994E-2</v>
      </c>
      <c r="AI33" s="60">
        <f t="shared" si="23"/>
        <v>2.5000000000000001E-2</v>
      </c>
      <c r="AJ33" s="60">
        <f t="shared" si="24"/>
        <v>0.09</v>
      </c>
      <c r="AK33" s="60">
        <f t="shared" si="25"/>
        <v>9.9000000000000005E-2</v>
      </c>
      <c r="AL33" s="60">
        <f t="shared" si="26"/>
        <v>9.0000000000000011E-2</v>
      </c>
      <c r="AM33" s="60">
        <f t="shared" si="27"/>
        <v>0.14849999999999999</v>
      </c>
      <c r="AN33" s="81">
        <v>0.55000000000000004</v>
      </c>
      <c r="AO33" s="82">
        <f>0.001+INDEX(Univ!$C$6:$C$11,MATCH(D33,Univ!$A$6:$A$11,0))*0.01+INDEX(Univ!$C$13:$C$15,MATCH(E33,Univ!$A$13:$A$15,0))*0.01+INDEX(Univ!$C$24:$C$27,MATCH($C33,Univ!$A$24:$A$27,0))*0.01+BA33</f>
        <v>2.0999999999999998E-2</v>
      </c>
      <c r="AP33" s="83">
        <f>U33*Univ!$B$17*IF(V33&gt;Univ!$C$17,1,V33/Univ!$C$17)</f>
        <v>0.26249999999999996</v>
      </c>
      <c r="AQ33" s="83">
        <f>W33*Univ!$B$18*IF(X33&gt;Univ!$C$18,1,X33/Univ!$C$18)</f>
        <v>7.5000000000000011E-2</v>
      </c>
      <c r="AR33" s="83">
        <f>Y33*Univ!$B$19*IF(Z33&gt;Univ!$C$19,1,Z33/Univ!$C$19)</f>
        <v>0.30000000000000004</v>
      </c>
      <c r="AS33" s="83">
        <f>AA33*Univ!$B$20*IF(AB33&gt;Univ!$C$20,1,AB33/Univ!$C$20)</f>
        <v>2.5000000000000001E-3</v>
      </c>
      <c r="AT33" s="83">
        <f>AC33*Univ!$B$21*IF(AD33&gt;Univ!$C$21,1,AD33/Univ!$C$21)</f>
        <v>9.0909090909090922E-3</v>
      </c>
      <c r="AU33" s="83">
        <f>AE33*Univ!$B$22*IF(AF33&gt;Univ!$C$22,1,AF33/Univ!$C$22)</f>
        <v>5.4545454545454541E-3</v>
      </c>
      <c r="AV33" s="83">
        <f t="shared" si="21"/>
        <v>0.80903983495589038</v>
      </c>
      <c r="AW33" s="21">
        <f t="shared" si="1"/>
        <v>0</v>
      </c>
      <c r="AX33" s="97">
        <f t="shared" si="2"/>
        <v>0</v>
      </c>
      <c r="AY33" s="22">
        <f t="shared" si="3"/>
        <v>0</v>
      </c>
      <c r="AZ33" s="98">
        <f t="shared" si="4"/>
        <v>0</v>
      </c>
      <c r="BA33" s="98">
        <f t="shared" si="5"/>
        <v>0</v>
      </c>
      <c r="BB33" s="98">
        <f t="shared" si="6"/>
        <v>0</v>
      </c>
      <c r="BC33" s="98">
        <f t="shared" si="7"/>
        <v>0</v>
      </c>
    </row>
    <row r="34" spans="1:55" x14ac:dyDescent="0.25">
      <c r="A34" t="str">
        <f>Stats!A34</f>
        <v>YUN</v>
      </c>
      <c r="B34" t="str">
        <f>Stats!B34</f>
        <v>The State of Yunnan</v>
      </c>
      <c r="C34" t="s">
        <v>348</v>
      </c>
      <c r="D34" t="s">
        <v>222</v>
      </c>
      <c r="E34" t="s">
        <v>230</v>
      </c>
      <c r="F34" s="47" t="s">
        <v>233</v>
      </c>
      <c r="G34" s="58" t="str">
        <f t="shared" si="0"/>
        <v>Socialist</v>
      </c>
      <c r="H34" s="74">
        <f t="shared" si="8"/>
        <v>4</v>
      </c>
      <c r="I34" s="25">
        <f t="shared" si="9"/>
        <v>4</v>
      </c>
      <c r="J34" s="74">
        <f t="shared" si="10"/>
        <v>10</v>
      </c>
      <c r="K34" s="25">
        <f t="shared" si="11"/>
        <v>2.0662500000000001</v>
      </c>
      <c r="L34">
        <f>INDEX(Univ!$E$6:$E$11,MATCH($D34,Univ!$A$6:$A$11,0))+INDEX(Univ!$E$13:$E$15,MATCH($E34,Univ!$A$13:$A$15,0))+INDEX(Univ!$E$24:$E$27,MATCH($C34,Univ!$A$24:$A$27,0))</f>
        <v>6</v>
      </c>
      <c r="M34">
        <f>INDEX(Univ!$B$6:$B$11,MATCH($D34,Univ!$A$6:$A$11,0))+INDEX(Univ!$B$13:$B$15,MATCH($E34,Univ!$A$13:$A$15,0))+INDEX(Univ!$B$24:$B$27,MATCH($C34,Univ!$A$24:$A$27,0))</f>
        <v>9</v>
      </c>
      <c r="N34">
        <f>INDEX(Univ!$D$6:$D$11,MATCH(D34,Univ!$A$6:$A$11,0))+INDEX(Univ!$D$13:$D$15,MATCH(E34,Univ!$A$13:$A$15,0))+INDEX(Univ!$D$24:$D$27,MATCH($C34,Univ!$A$24:$A$27,0))</f>
        <v>12</v>
      </c>
      <c r="O34">
        <f>INDEX(Univ!$H$6:$H$11,MATCH($D34,Univ!$A$6:$A$11,0))+INDEX(Univ!$H$13:$H$15,MATCH($E34,Univ!$A$13:$A$15,0))+INDEX(Univ!$H$24:$H$27,MATCH($C34,Univ!$A$24:$A$27,0))</f>
        <v>1.5</v>
      </c>
      <c r="P34" s="29">
        <f>(INDEX(Univ!$G$6:$G$11,MATCH(D34,Univ!$A$6:$A$11,0))+INDEX(Univ!$G$13:$G$15,MATCH(E34,Univ!$A$13:$A$15,0))+INDEX(Univ!$G$24:$G$27,MATCH($C34,Univ!$A$24:$A$27,0)))*AV34*(1+AZ34)</f>
        <v>6.7600388312494181E-2</v>
      </c>
      <c r="Q34" s="3">
        <f t="shared" si="12"/>
        <v>0.33250000000000007</v>
      </c>
      <c r="R34" s="3">
        <f t="shared" si="13"/>
        <v>5.5416666666666677E-2</v>
      </c>
      <c r="S34" s="71">
        <f>FLOOR((Q34-Univ!$F$1)/Univ!$F$2-IF(T34&lt;0,T34,0),0.1)</f>
        <v>-1.9000000000000001</v>
      </c>
      <c r="T34" s="65">
        <f>((INDEX(Univ!$F$6:$F$11,MATCH(D34,Univ!$A$6:$A$11,0))+INDEX(Univ!$F$13:$F$15,MATCH(E34,Univ!$A$13:$A$15,0))+INDEX(Univ!$F$24:$F$27,MATCH($C34,Univ!$A$24:$A$27,0)))*Univ!$D$2+Univ!$D$1-R34)/Univ!$D$2</f>
        <v>5.3931020232212052</v>
      </c>
      <c r="U34" s="12">
        <v>0.4</v>
      </c>
      <c r="V34" s="12">
        <v>0.55000000000000004</v>
      </c>
      <c r="W34" s="12">
        <v>0</v>
      </c>
      <c r="X34" s="12">
        <v>0.1</v>
      </c>
      <c r="Y34" s="12">
        <v>0.2</v>
      </c>
      <c r="Z34" s="12">
        <v>0.45</v>
      </c>
      <c r="AA34" s="12">
        <v>0.05</v>
      </c>
      <c r="AB34" s="12">
        <v>0.1</v>
      </c>
      <c r="AC34" s="12">
        <v>0.1</v>
      </c>
      <c r="AD34" s="12">
        <v>0.05</v>
      </c>
      <c r="AE34" s="12">
        <v>0.25</v>
      </c>
      <c r="AF34" s="12">
        <v>0.05</v>
      </c>
      <c r="AG34" s="58">
        <f t="shared" si="14"/>
        <v>1</v>
      </c>
      <c r="AH34" s="60">
        <f t="shared" si="22"/>
        <v>0.18</v>
      </c>
      <c r="AI34" s="60">
        <f t="shared" si="23"/>
        <v>0</v>
      </c>
      <c r="AJ34" s="60">
        <f t="shared" si="24"/>
        <v>0.11000000000000001</v>
      </c>
      <c r="AK34" s="60">
        <f t="shared" si="25"/>
        <v>4.5000000000000005E-2</v>
      </c>
      <c r="AL34" s="60">
        <f t="shared" si="26"/>
        <v>9.5000000000000001E-2</v>
      </c>
      <c r="AM34" s="60">
        <f t="shared" si="27"/>
        <v>0.23749999999999999</v>
      </c>
      <c r="AN34" s="81">
        <v>0.35</v>
      </c>
      <c r="AO34" s="82">
        <f>0.001+INDEX(Univ!$C$6:$C$11,MATCH(D34,Univ!$A$6:$A$11,0))*0.01+INDEX(Univ!$C$13:$C$15,MATCH(E34,Univ!$A$13:$A$15,0))*0.01+INDEX(Univ!$C$24:$C$27,MATCH($C34,Univ!$A$24:$A$27,0))*0.01+BA34</f>
        <v>5.1000000000000004E-2</v>
      </c>
      <c r="AP34" s="83">
        <f>U34*Univ!$B$17*IF(V34&gt;Univ!$C$17,1,V34/Univ!$C$17)</f>
        <v>0.30000000000000004</v>
      </c>
      <c r="AQ34" s="83">
        <f>W34*Univ!$B$18*IF(X34&gt;Univ!$C$18,1,X34/Univ!$C$18)</f>
        <v>0</v>
      </c>
      <c r="AR34" s="83">
        <f>Y34*Univ!$B$19*IF(Z34&gt;Univ!$C$19,1,Z34/Univ!$C$19)</f>
        <v>0.27000000000000007</v>
      </c>
      <c r="AS34" s="83">
        <f>AA34*Univ!$B$20*IF(AB34&gt;Univ!$C$20,1,AB34/Univ!$C$20)</f>
        <v>1.2500000000000001E-2</v>
      </c>
      <c r="AT34" s="83">
        <f>AC34*Univ!$B$21*IF(AD34&gt;Univ!$C$21,1,AD34/Univ!$C$21)</f>
        <v>4.5454545454545461E-3</v>
      </c>
      <c r="AU34" s="83">
        <f>AE34*Univ!$B$22*IF(AF34&gt;Univ!$C$22,1,AF34/Univ!$C$22)</f>
        <v>4.5454545454545456E-2</v>
      </c>
      <c r="AV34" s="83">
        <f t="shared" si="21"/>
        <v>0.79529868602934328</v>
      </c>
      <c r="AW34" s="21">
        <f t="shared" si="1"/>
        <v>0</v>
      </c>
      <c r="AX34" s="97">
        <f t="shared" si="2"/>
        <v>0</v>
      </c>
      <c r="AY34" s="22">
        <f t="shared" si="3"/>
        <v>0</v>
      </c>
      <c r="AZ34" s="98">
        <f t="shared" si="4"/>
        <v>0</v>
      </c>
      <c r="BA34" s="98">
        <f t="shared" si="5"/>
        <v>0</v>
      </c>
      <c r="BB34" s="98">
        <f t="shared" si="6"/>
        <v>0</v>
      </c>
      <c r="BC34" s="98">
        <f t="shared" si="7"/>
        <v>0</v>
      </c>
    </row>
    <row r="35" spans="1:55" x14ac:dyDescent="0.25">
      <c r="A35" t="str">
        <f>Stats!A35</f>
        <v>TIB</v>
      </c>
      <c r="B35" t="str">
        <f>Stats!B35</f>
        <v>The Heavenly Domain of Tibet</v>
      </c>
      <c r="C35" t="s">
        <v>348</v>
      </c>
      <c r="D35" t="s">
        <v>223</v>
      </c>
      <c r="E35" t="s">
        <v>229</v>
      </c>
      <c r="F35" s="47" t="s">
        <v>233</v>
      </c>
      <c r="G35" s="58" t="str">
        <f t="shared" ref="G35:G60" si="37">INDEX($AH$2:$AM$2,MATCH(MAX(AH35:AM35),AH35:AM35,0))</f>
        <v>Democrat</v>
      </c>
      <c r="H35" s="74">
        <f t="shared" si="8"/>
        <v>5</v>
      </c>
      <c r="I35" s="25">
        <f t="shared" si="9"/>
        <v>5.5</v>
      </c>
      <c r="J35" s="74">
        <f t="shared" si="10"/>
        <v>9</v>
      </c>
      <c r="K35" s="25">
        <f t="shared" si="11"/>
        <v>1.0349999999999999</v>
      </c>
      <c r="L35">
        <f>INDEX(Univ!$E$6:$E$11,MATCH($D35,Univ!$A$6:$A$11,0))+INDEX(Univ!$E$13:$E$15,MATCH($E35,Univ!$A$13:$A$15,0))+INDEX(Univ!$E$24:$E$27,MATCH($C35,Univ!$A$24:$A$27,0))</f>
        <v>6</v>
      </c>
      <c r="M35">
        <f>INDEX(Univ!$B$6:$B$11,MATCH($D35,Univ!$A$6:$A$11,0))+INDEX(Univ!$B$13:$B$15,MATCH($E35,Univ!$A$13:$A$15,0))+INDEX(Univ!$B$24:$B$27,MATCH($C35,Univ!$A$24:$A$27,0))</f>
        <v>7</v>
      </c>
      <c r="N35">
        <f>INDEX(Univ!$D$6:$D$11,MATCH(D35,Univ!$A$6:$A$11,0))+INDEX(Univ!$D$13:$D$15,MATCH(E35,Univ!$A$13:$A$15,0))+INDEX(Univ!$D$24:$D$27,MATCH($C35,Univ!$A$24:$A$27,0))</f>
        <v>10</v>
      </c>
      <c r="O35">
        <f>INDEX(Univ!$H$6:$H$11,MATCH($D35,Univ!$A$6:$A$11,0))+INDEX(Univ!$H$13:$H$15,MATCH($E35,Univ!$A$13:$A$15,0))+INDEX(Univ!$H$24:$H$27,MATCH($C35,Univ!$A$24:$A$27,0))</f>
        <v>1.5</v>
      </c>
      <c r="P35" s="29">
        <f>(INDEX(Univ!$G$6:$G$11,MATCH(D35,Univ!$A$6:$A$11,0))+INDEX(Univ!$G$13:$G$15,MATCH(E35,Univ!$A$13:$A$15,0))+INDEX(Univ!$G$24:$G$27,MATCH($C35,Univ!$A$24:$A$27,0)))*AV35*(1+AZ35)</f>
        <v>5.6854659199816443E-2</v>
      </c>
      <c r="Q35" s="3">
        <f t="shared" si="12"/>
        <v>0.46150000000000002</v>
      </c>
      <c r="R35" s="3">
        <f t="shared" si="13"/>
        <v>7.6916666666666675E-2</v>
      </c>
      <c r="S35" s="71">
        <f>FLOOR((Q35-Univ!$F$1)/Univ!$F$2-IF(T35&lt;0,T35,0),0.1)</f>
        <v>-0.8</v>
      </c>
      <c r="T35" s="65">
        <f>((INDEX(Univ!$F$6:$F$11,MATCH(D35,Univ!$A$6:$A$11,0))+INDEX(Univ!$F$13:$F$15,MATCH(E35,Univ!$A$13:$A$15,0))+INDEX(Univ!$F$24:$F$27,MATCH($C35,Univ!$A$24:$A$27,0)))*Univ!$D$2+Univ!$D$1-R35)/Univ!$D$2</f>
        <v>1.7807981040010752</v>
      </c>
      <c r="U35" s="12">
        <v>0.5</v>
      </c>
      <c r="V35" s="12">
        <v>0.9</v>
      </c>
      <c r="W35" s="12">
        <v>0</v>
      </c>
      <c r="X35" s="12">
        <v>0.1</v>
      </c>
      <c r="Y35" s="12">
        <v>0.2</v>
      </c>
      <c r="Z35" s="12">
        <v>0.01</v>
      </c>
      <c r="AA35" s="12">
        <v>0.05</v>
      </c>
      <c r="AB35" s="12">
        <v>0.05</v>
      </c>
      <c r="AC35" s="12">
        <v>0.05</v>
      </c>
      <c r="AD35" s="12">
        <v>0.1</v>
      </c>
      <c r="AE35" s="12">
        <v>0.2</v>
      </c>
      <c r="AF35" s="12">
        <v>0.01</v>
      </c>
      <c r="AG35" s="58">
        <f t="shared" si="14"/>
        <v>1</v>
      </c>
      <c r="AH35" s="60">
        <f t="shared" si="22"/>
        <v>4.9999999999999989E-2</v>
      </c>
      <c r="AI35" s="60">
        <f t="shared" si="23"/>
        <v>0</v>
      </c>
      <c r="AJ35" s="60">
        <f t="shared" si="24"/>
        <v>0.19800000000000001</v>
      </c>
      <c r="AK35" s="60">
        <f t="shared" si="25"/>
        <v>4.7500000000000001E-2</v>
      </c>
      <c r="AL35" s="60">
        <f t="shared" si="26"/>
        <v>4.5000000000000005E-2</v>
      </c>
      <c r="AM35" s="60">
        <f t="shared" si="27"/>
        <v>0.19800000000000001</v>
      </c>
      <c r="AN35" s="81">
        <v>0.9</v>
      </c>
      <c r="AO35" s="82">
        <f>0.001+INDEX(Univ!$C$6:$C$11,MATCH(D35,Univ!$A$6:$A$11,0))*0.01+INDEX(Univ!$C$13:$C$15,MATCH(E35,Univ!$A$13:$A$15,0))*0.01+INDEX(Univ!$C$24:$C$27,MATCH($C35,Univ!$A$24:$A$27,0))*0.01+BA35</f>
        <v>3.6000000000000004E-2</v>
      </c>
      <c r="AP35" s="83">
        <f>U35*Univ!$B$17*IF(V35&gt;Univ!$C$17,1,V35/Univ!$C$17)</f>
        <v>0.375</v>
      </c>
      <c r="AQ35" s="83">
        <f>W35*Univ!$B$18*IF(X35&gt;Univ!$C$18,1,X35/Univ!$C$18)</f>
        <v>0</v>
      </c>
      <c r="AR35" s="83">
        <f>Y35*Univ!$B$19*IF(Z35&gt;Univ!$C$19,1,Z35/Univ!$C$19)</f>
        <v>6.000000000000001E-3</v>
      </c>
      <c r="AS35" s="83">
        <f>AA35*Univ!$B$20*IF(AB35&gt;Univ!$C$20,1,AB35/Univ!$C$20)</f>
        <v>6.2500000000000003E-3</v>
      </c>
      <c r="AT35" s="83">
        <f>AC35*Univ!$B$21*IF(AD35&gt;Univ!$C$21,1,AD35/Univ!$C$21)</f>
        <v>4.5454545454545461E-3</v>
      </c>
      <c r="AU35" s="83">
        <f>AE35*Univ!$B$22*IF(AF35&gt;Univ!$C$22,1,AF35/Univ!$C$22)</f>
        <v>7.2727272727272727E-3</v>
      </c>
      <c r="AV35" s="83">
        <f t="shared" si="21"/>
        <v>0.63171843555351603</v>
      </c>
      <c r="AW35" s="21">
        <f t="shared" ref="AW35:AW60" si="38">SUMIFS(ModAP,ModTags,$A35)</f>
        <v>0</v>
      </c>
      <c r="AX35" s="97">
        <f t="shared" ref="AX35:AX60" si="39">SUMIFS(ModSTAB,ModTags,$A35)</f>
        <v>0</v>
      </c>
      <c r="AY35" s="22">
        <f t="shared" ref="AY35:AY60" si="40">SUMIFS(ModTXP,ModTags,$A35)</f>
        <v>0</v>
      </c>
      <c r="AZ35" s="98">
        <f t="shared" ref="AZ35:AZ60" si="41">SUMIFS(ModMP,ModTags,$A35)</f>
        <v>0</v>
      </c>
      <c r="BA35" s="98">
        <f t="shared" ref="BA35:BA60" si="42">SUMIFS(ModIT,ModTags,$A35)</f>
        <v>0</v>
      </c>
      <c r="BB35" s="98">
        <f t="shared" ref="BB35:BB60" si="43">SUMIFS(ModMilit,ModTags,$A35)</f>
        <v>0</v>
      </c>
      <c r="BC35" s="98">
        <f t="shared" ref="BC35:BC60" si="44">SUMIFS(ModSci,ModTags,$A35)</f>
        <v>0</v>
      </c>
    </row>
    <row r="36" spans="1:55" x14ac:dyDescent="0.25">
      <c r="A36" t="str">
        <f>Stats!A36</f>
        <v>KOR</v>
      </c>
      <c r="B36" t="str">
        <f>Stats!B36</f>
        <v>The Kingdom of Korea</v>
      </c>
      <c r="C36" t="s">
        <v>348</v>
      </c>
      <c r="D36" t="s">
        <v>223</v>
      </c>
      <c r="E36" t="s">
        <v>230</v>
      </c>
      <c r="F36" s="47" t="s">
        <v>233</v>
      </c>
      <c r="G36" s="58" t="str">
        <f t="shared" si="37"/>
        <v>Democrat</v>
      </c>
      <c r="H36" s="74">
        <f t="shared" si="8"/>
        <v>6</v>
      </c>
      <c r="I36" s="25">
        <f t="shared" si="9"/>
        <v>7.5</v>
      </c>
      <c r="J36" s="74">
        <f t="shared" si="10"/>
        <v>12</v>
      </c>
      <c r="K36" s="25">
        <f t="shared" si="11"/>
        <v>1.2899999999999998</v>
      </c>
      <c r="L36">
        <f>INDEX(Univ!$E$6:$E$11,MATCH($D36,Univ!$A$6:$A$11,0))+INDEX(Univ!$E$13:$E$15,MATCH($E36,Univ!$A$13:$A$15,0))+INDEX(Univ!$E$24:$E$27,MATCH($C36,Univ!$A$24:$A$27,0))</f>
        <v>5</v>
      </c>
      <c r="M36">
        <f>INDEX(Univ!$B$6:$B$11,MATCH($D36,Univ!$A$6:$A$11,0))+INDEX(Univ!$B$13:$B$15,MATCH($E36,Univ!$A$13:$A$15,0))+INDEX(Univ!$B$24:$B$27,MATCH($C36,Univ!$A$24:$A$27,0))</f>
        <v>9</v>
      </c>
      <c r="N36">
        <f>INDEX(Univ!$D$6:$D$11,MATCH(D36,Univ!$A$6:$A$11,0))+INDEX(Univ!$D$13:$D$15,MATCH(E36,Univ!$A$13:$A$15,0))+INDEX(Univ!$D$24:$D$27,MATCH($C36,Univ!$A$24:$A$27,0))</f>
        <v>11</v>
      </c>
      <c r="O36">
        <f>INDEX(Univ!$H$6:$H$11,MATCH($D36,Univ!$A$6:$A$11,0))+INDEX(Univ!$H$13:$H$15,MATCH($E36,Univ!$A$13:$A$15,0))+INDEX(Univ!$H$24:$H$27,MATCH($C36,Univ!$A$24:$A$27,0))</f>
        <v>1.5</v>
      </c>
      <c r="P36" s="29">
        <f>(INDEX(Univ!$G$6:$G$11,MATCH(D36,Univ!$A$6:$A$11,0))+INDEX(Univ!$G$13:$G$15,MATCH(E36,Univ!$A$13:$A$15,0))+INDEX(Univ!$G$24:$G$27,MATCH($C36,Univ!$A$24:$A$27,0)))*AV36*(1+AZ36)</f>
        <v>6.6035802961176088E-2</v>
      </c>
      <c r="Q36" s="3">
        <f t="shared" si="12"/>
        <v>0.68049999999999999</v>
      </c>
      <c r="R36" s="3">
        <f t="shared" si="13"/>
        <v>0.11341666666666667</v>
      </c>
      <c r="S36" s="71">
        <f>FLOOR((Q36-Univ!$F$1)/Univ!$F$2-IF(T36&lt;0,T36,0),0.1)</f>
        <v>1.1000000000000001</v>
      </c>
      <c r="T36" s="65">
        <f>((INDEX(Univ!$F$6:$F$11,MATCH(D36,Univ!$A$6:$A$11,0))+INDEX(Univ!$F$13:$F$15,MATCH(E36,Univ!$A$13:$A$15,0))+INDEX(Univ!$F$24:$F$27,MATCH($C36,Univ!$A$24:$A$27,0)))*Univ!$D$2+Univ!$D$1-R36)/Univ!$D$2</f>
        <v>1.8924681946273674</v>
      </c>
      <c r="U36" s="12">
        <v>0.55000000000000004</v>
      </c>
      <c r="V36" s="12">
        <v>0.85</v>
      </c>
      <c r="W36" s="12">
        <v>0.2</v>
      </c>
      <c r="X36" s="12">
        <v>0.85</v>
      </c>
      <c r="Y36" s="12">
        <v>0.15</v>
      </c>
      <c r="Z36" s="12">
        <v>0.25</v>
      </c>
      <c r="AA36" s="12">
        <v>0</v>
      </c>
      <c r="AB36" s="12">
        <v>0.1</v>
      </c>
      <c r="AC36" s="12">
        <v>0.05</v>
      </c>
      <c r="AD36" s="12">
        <v>0.1</v>
      </c>
      <c r="AE36" s="12">
        <v>0.05</v>
      </c>
      <c r="AF36" s="12">
        <v>0.01</v>
      </c>
      <c r="AG36" s="58">
        <f t="shared" si="14"/>
        <v>1</v>
      </c>
      <c r="AH36" s="60">
        <f t="shared" si="22"/>
        <v>8.2500000000000018E-2</v>
      </c>
      <c r="AI36" s="60">
        <f t="shared" si="23"/>
        <v>3.0000000000000006E-2</v>
      </c>
      <c r="AJ36" s="60">
        <f t="shared" si="24"/>
        <v>0.11249999999999999</v>
      </c>
      <c r="AK36" s="60">
        <f t="shared" si="25"/>
        <v>0</v>
      </c>
      <c r="AL36" s="60">
        <f t="shared" si="26"/>
        <v>4.5000000000000005E-2</v>
      </c>
      <c r="AM36" s="60">
        <f t="shared" si="27"/>
        <v>4.9500000000000002E-2</v>
      </c>
      <c r="AN36" s="81">
        <v>0.8</v>
      </c>
      <c r="AO36" s="82">
        <f>0.001+INDEX(Univ!$C$6:$C$11,MATCH(D36,Univ!$A$6:$A$11,0))*0.01+INDEX(Univ!$C$13:$C$15,MATCH(E36,Univ!$A$13:$A$15,0))*0.01+INDEX(Univ!$C$24:$C$27,MATCH($C36,Univ!$A$24:$A$27,0))*0.01+BA36</f>
        <v>4.1000000000000002E-2</v>
      </c>
      <c r="AP36" s="83">
        <f>U36*Univ!$B$17*IF(V36&gt;Univ!$C$17,1,V36/Univ!$C$17)</f>
        <v>0.41250000000000003</v>
      </c>
      <c r="AQ36" s="83">
        <f>W36*Univ!$B$18*IF(X36&gt;Univ!$C$18,1,X36/Univ!$C$18)</f>
        <v>0.15000000000000002</v>
      </c>
      <c r="AR36" s="83">
        <f>Y36*Univ!$B$19*IF(Z36&gt;Univ!$C$19,1,Z36/Univ!$C$19)</f>
        <v>0.11249999999999999</v>
      </c>
      <c r="AS36" s="83">
        <f>AA36*Univ!$B$20*IF(AB36&gt;Univ!$C$20,1,AB36/Univ!$C$20)</f>
        <v>0</v>
      </c>
      <c r="AT36" s="83">
        <f>AC36*Univ!$B$21*IF(AD36&gt;Univ!$C$21,1,AD36/Univ!$C$21)</f>
        <v>4.5454545454545461E-3</v>
      </c>
      <c r="AU36" s="83">
        <f>AE36*Univ!$B$22*IF(AF36&gt;Univ!$C$22,1,AF36/Univ!$C$22)</f>
        <v>1.8181818181818182E-3</v>
      </c>
      <c r="AV36" s="83">
        <f t="shared" si="21"/>
        <v>0.82544753701470108</v>
      </c>
      <c r="AW36" s="21">
        <f t="shared" si="38"/>
        <v>0</v>
      </c>
      <c r="AX36" s="97">
        <f t="shared" si="39"/>
        <v>0</v>
      </c>
      <c r="AY36" s="22">
        <f t="shared" si="40"/>
        <v>0</v>
      </c>
      <c r="AZ36" s="98">
        <f t="shared" si="41"/>
        <v>0</v>
      </c>
      <c r="BA36" s="98">
        <f t="shared" si="42"/>
        <v>0</v>
      </c>
      <c r="BB36" s="98">
        <f t="shared" si="43"/>
        <v>0</v>
      </c>
      <c r="BC36" s="98">
        <f t="shared" si="44"/>
        <v>0</v>
      </c>
    </row>
    <row r="37" spans="1:55" x14ac:dyDescent="0.25">
      <c r="A37" t="str">
        <f>Stats!A37</f>
        <v>AFG</v>
      </c>
      <c r="B37" t="str">
        <f>Stats!B37</f>
        <v>The Sultanate of Afghanistan</v>
      </c>
      <c r="C37" t="s">
        <v>348</v>
      </c>
      <c r="D37" t="s">
        <v>223</v>
      </c>
      <c r="E37" t="s">
        <v>230</v>
      </c>
      <c r="F37" s="47" t="s">
        <v>233</v>
      </c>
      <c r="G37" s="58" t="str">
        <f t="shared" si="37"/>
        <v>Imperialist</v>
      </c>
      <c r="H37" s="74">
        <f t="shared" si="8"/>
        <v>5</v>
      </c>
      <c r="I37" s="25">
        <f t="shared" si="9"/>
        <v>6.5</v>
      </c>
      <c r="J37" s="74">
        <f t="shared" si="10"/>
        <v>11</v>
      </c>
      <c r="K37" s="25">
        <f t="shared" si="11"/>
        <v>1.1662500000000002</v>
      </c>
      <c r="L37">
        <f>INDEX(Univ!$E$6:$E$11,MATCH($D37,Univ!$A$6:$A$11,0))+INDEX(Univ!$E$13:$E$15,MATCH($E37,Univ!$A$13:$A$15,0))+INDEX(Univ!$E$24:$E$27,MATCH($C37,Univ!$A$24:$A$27,0))</f>
        <v>5</v>
      </c>
      <c r="M37">
        <f>INDEX(Univ!$B$6:$B$11,MATCH($D37,Univ!$A$6:$A$11,0))+INDEX(Univ!$B$13:$B$15,MATCH($E37,Univ!$A$13:$A$15,0))+INDEX(Univ!$B$24:$B$27,MATCH($C37,Univ!$A$24:$A$27,0))</f>
        <v>9</v>
      </c>
      <c r="N37">
        <f>INDEX(Univ!$D$6:$D$11,MATCH(D37,Univ!$A$6:$A$11,0))+INDEX(Univ!$D$13:$D$15,MATCH(E37,Univ!$A$13:$A$15,0))+INDEX(Univ!$D$24:$D$27,MATCH($C37,Univ!$A$24:$A$27,0))</f>
        <v>11</v>
      </c>
      <c r="O37">
        <f>INDEX(Univ!$H$6:$H$11,MATCH($D37,Univ!$A$6:$A$11,0))+INDEX(Univ!$H$13:$H$15,MATCH($E37,Univ!$A$13:$A$15,0))+INDEX(Univ!$H$24:$H$27,MATCH($C37,Univ!$A$24:$A$27,0))</f>
        <v>1.5</v>
      </c>
      <c r="P37" s="29">
        <f>(INDEX(Univ!$G$6:$G$11,MATCH(D37,Univ!$A$6:$A$11,0))+INDEX(Univ!$G$13:$G$15,MATCH(E37,Univ!$A$13:$A$15,0))+INDEX(Univ!$G$24:$G$27,MATCH($C37,Univ!$A$24:$A$27,0)))*AV37*(1+AZ37)</f>
        <v>6.436260913407299E-2</v>
      </c>
      <c r="Q37" s="3">
        <f t="shared" si="12"/>
        <v>0.59599999999999997</v>
      </c>
      <c r="R37" s="3">
        <f t="shared" si="13"/>
        <v>9.9333333333333329E-2</v>
      </c>
      <c r="S37" s="71">
        <f>FLOOR((Q37-Univ!$F$1)/Univ!$F$2-IF(T37&lt;0,T37,0),0.1)</f>
        <v>0.30000000000000004</v>
      </c>
      <c r="T37" s="65">
        <f>((INDEX(Univ!$F$6:$F$11,MATCH(D37,Univ!$A$6:$A$11,0))+INDEX(Univ!$F$13:$F$15,MATCH(E37,Univ!$A$13:$A$15,0))+INDEX(Univ!$F$24:$F$27,MATCH($C37,Univ!$A$24:$A$27,0)))*Univ!$D$2+Univ!$D$1-R37)/Univ!$D$2</f>
        <v>2.6210703742715613</v>
      </c>
      <c r="U37" s="12">
        <v>0.55000000000000004</v>
      </c>
      <c r="V37" s="12">
        <v>0.85</v>
      </c>
      <c r="W37" s="12">
        <v>0.25</v>
      </c>
      <c r="X37" s="12">
        <v>0.45</v>
      </c>
      <c r="Y37" s="12">
        <v>0.1</v>
      </c>
      <c r="Z37" s="12">
        <v>0.15</v>
      </c>
      <c r="AA37" s="12">
        <v>0</v>
      </c>
      <c r="AB37" s="12">
        <v>0.1</v>
      </c>
      <c r="AC37" s="12">
        <v>0.05</v>
      </c>
      <c r="AD37" s="12">
        <v>0.01</v>
      </c>
      <c r="AE37" s="12">
        <v>0.05</v>
      </c>
      <c r="AF37" s="12">
        <v>0.01</v>
      </c>
      <c r="AG37" s="58">
        <f t="shared" si="14"/>
        <v>1</v>
      </c>
      <c r="AH37" s="60">
        <f t="shared" si="22"/>
        <v>8.2500000000000018E-2</v>
      </c>
      <c r="AI37" s="60">
        <f t="shared" si="23"/>
        <v>0.13750000000000001</v>
      </c>
      <c r="AJ37" s="60">
        <f t="shared" si="24"/>
        <v>8.5000000000000006E-2</v>
      </c>
      <c r="AK37" s="60">
        <f t="shared" si="25"/>
        <v>0</v>
      </c>
      <c r="AL37" s="60">
        <f t="shared" si="26"/>
        <v>4.9500000000000002E-2</v>
      </c>
      <c r="AM37" s="60">
        <f t="shared" si="27"/>
        <v>4.9500000000000002E-2</v>
      </c>
      <c r="AN37" s="81">
        <v>0.85</v>
      </c>
      <c r="AO37" s="82">
        <f>0.001+INDEX(Univ!$C$6:$C$11,MATCH(D37,Univ!$A$6:$A$11,0))*0.01+INDEX(Univ!$C$13:$C$15,MATCH(E37,Univ!$A$13:$A$15,0))*0.01+INDEX(Univ!$C$24:$C$27,MATCH($C37,Univ!$A$24:$A$27,0))*0.01+BA37</f>
        <v>4.1000000000000002E-2</v>
      </c>
      <c r="AP37" s="83">
        <f>U37*Univ!$B$17*IF(V37&gt;Univ!$C$17,1,V37/Univ!$C$17)</f>
        <v>0.41250000000000003</v>
      </c>
      <c r="AQ37" s="83">
        <f>W37*Univ!$B$18*IF(X37&gt;Univ!$C$18,1,X37/Univ!$C$18)</f>
        <v>0.1875</v>
      </c>
      <c r="AR37" s="83">
        <f>Y37*Univ!$B$19*IF(Z37&gt;Univ!$C$19,1,Z37/Univ!$C$19)</f>
        <v>4.5000000000000005E-2</v>
      </c>
      <c r="AS37" s="83">
        <f>AA37*Univ!$B$20*IF(AB37&gt;Univ!$C$20,1,AB37/Univ!$C$20)</f>
        <v>0</v>
      </c>
      <c r="AT37" s="83">
        <f>AC37*Univ!$B$21*IF(AD37&gt;Univ!$C$21,1,AD37/Univ!$C$21)</f>
        <v>4.5454545454545455E-4</v>
      </c>
      <c r="AU37" s="83">
        <f>AE37*Univ!$B$22*IF(AF37&gt;Univ!$C$22,1,AF37/Univ!$C$22)</f>
        <v>1.8181818181818182E-3</v>
      </c>
      <c r="AV37" s="83">
        <f t="shared" si="21"/>
        <v>0.80453261417591238</v>
      </c>
      <c r="AW37" s="21">
        <f t="shared" si="38"/>
        <v>0</v>
      </c>
      <c r="AX37" s="97">
        <f t="shared" si="39"/>
        <v>0</v>
      </c>
      <c r="AY37" s="22">
        <f t="shared" si="40"/>
        <v>0</v>
      </c>
      <c r="AZ37" s="98">
        <f t="shared" si="41"/>
        <v>0</v>
      </c>
      <c r="BA37" s="98">
        <f t="shared" si="42"/>
        <v>0</v>
      </c>
      <c r="BB37" s="98">
        <f t="shared" si="43"/>
        <v>0</v>
      </c>
      <c r="BC37" s="98">
        <f t="shared" si="44"/>
        <v>0</v>
      </c>
    </row>
    <row r="38" spans="1:55" x14ac:dyDescent="0.25">
      <c r="A38" t="str">
        <f>Stats!A38</f>
        <v>PER</v>
      </c>
      <c r="B38" t="str">
        <f>Stats!B38</f>
        <v>The Persian Empire</v>
      </c>
      <c r="C38" t="s">
        <v>348</v>
      </c>
      <c r="D38" t="s">
        <v>223</v>
      </c>
      <c r="E38" t="s">
        <v>230</v>
      </c>
      <c r="F38" s="47" t="s">
        <v>233</v>
      </c>
      <c r="G38" s="58" t="str">
        <f t="shared" si="37"/>
        <v>Democrat</v>
      </c>
      <c r="H38" s="74">
        <f t="shared" si="8"/>
        <v>6</v>
      </c>
      <c r="I38" s="25">
        <f t="shared" si="9"/>
        <v>7</v>
      </c>
      <c r="J38" s="74">
        <f t="shared" si="10"/>
        <v>11</v>
      </c>
      <c r="K38" s="25">
        <f t="shared" si="11"/>
        <v>1.5150000000000001</v>
      </c>
      <c r="L38">
        <f>INDEX(Univ!$E$6:$E$11,MATCH($D38,Univ!$A$6:$A$11,0))+INDEX(Univ!$E$13:$E$15,MATCH($E38,Univ!$A$13:$A$15,0))+INDEX(Univ!$E$24:$E$27,MATCH($C38,Univ!$A$24:$A$27,0))</f>
        <v>5</v>
      </c>
      <c r="M38">
        <f>INDEX(Univ!$B$6:$B$11,MATCH($D38,Univ!$A$6:$A$11,0))+INDEX(Univ!$B$13:$B$15,MATCH($E38,Univ!$A$13:$A$15,0))+INDEX(Univ!$B$24:$B$27,MATCH($C38,Univ!$A$24:$A$27,0))</f>
        <v>9</v>
      </c>
      <c r="N38">
        <f>INDEX(Univ!$D$6:$D$11,MATCH(D38,Univ!$A$6:$A$11,0))+INDEX(Univ!$D$13:$D$15,MATCH(E38,Univ!$A$13:$A$15,0))+INDEX(Univ!$D$24:$D$27,MATCH($C38,Univ!$A$24:$A$27,0))</f>
        <v>11</v>
      </c>
      <c r="O38">
        <f>INDEX(Univ!$H$6:$H$11,MATCH($D38,Univ!$A$6:$A$11,0))+INDEX(Univ!$H$13:$H$15,MATCH($E38,Univ!$A$13:$A$15,0))+INDEX(Univ!$H$24:$H$27,MATCH($C38,Univ!$A$24:$A$27,0))</f>
        <v>1.5</v>
      </c>
      <c r="P38" s="29">
        <f>(INDEX(Univ!$G$6:$G$11,MATCH(D38,Univ!$A$6:$A$11,0))+INDEX(Univ!$G$13:$G$15,MATCH(E38,Univ!$A$13:$A$15,0))+INDEX(Univ!$G$24:$G$27,MATCH($C38,Univ!$A$24:$A$27,0)))*AV38*(1+AZ38)</f>
        <v>6.4079496082458526E-2</v>
      </c>
      <c r="Q38" s="3">
        <f t="shared" si="12"/>
        <v>0.61899999999999999</v>
      </c>
      <c r="R38" s="3">
        <f t="shared" si="13"/>
        <v>0.10316666666666667</v>
      </c>
      <c r="S38" s="71">
        <f>FLOOR((Q38-Univ!$F$1)/Univ!$F$2-IF(T38&lt;0,T38,0),0.1)</f>
        <v>0.5</v>
      </c>
      <c r="T38" s="65">
        <f>((INDEX(Univ!$F$6:$F$11,MATCH(D38,Univ!$A$6:$A$11,0))+INDEX(Univ!$F$13:$F$15,MATCH(E38,Univ!$A$13:$A$15,0))+INDEX(Univ!$F$24:$F$27,MATCH($C38,Univ!$A$24:$A$27,0)))*Univ!$D$2+Univ!$D$1-R38)/Univ!$D$2</f>
        <v>2.4227526212323127</v>
      </c>
      <c r="U38" s="12">
        <v>0.4</v>
      </c>
      <c r="V38" s="12">
        <v>0.85</v>
      </c>
      <c r="W38" s="12">
        <v>0.3</v>
      </c>
      <c r="X38" s="12">
        <v>0.8</v>
      </c>
      <c r="Y38" s="12">
        <v>0.15</v>
      </c>
      <c r="Z38" s="12">
        <v>0.25</v>
      </c>
      <c r="AA38" s="12">
        <v>0</v>
      </c>
      <c r="AB38" s="12">
        <v>0.1</v>
      </c>
      <c r="AC38" s="12">
        <v>0.05</v>
      </c>
      <c r="AD38" s="12">
        <v>0.01</v>
      </c>
      <c r="AE38" s="12">
        <v>0.1</v>
      </c>
      <c r="AF38" s="12">
        <v>0.01</v>
      </c>
      <c r="AG38" s="58">
        <f t="shared" si="14"/>
        <v>1</v>
      </c>
      <c r="AH38" s="60">
        <f t="shared" si="22"/>
        <v>6.0000000000000012E-2</v>
      </c>
      <c r="AI38" s="60">
        <f t="shared" si="23"/>
        <v>5.9999999999999984E-2</v>
      </c>
      <c r="AJ38" s="60">
        <f t="shared" si="24"/>
        <v>0.11249999999999999</v>
      </c>
      <c r="AK38" s="60">
        <f t="shared" si="25"/>
        <v>0</v>
      </c>
      <c r="AL38" s="60">
        <f t="shared" si="26"/>
        <v>4.9500000000000002E-2</v>
      </c>
      <c r="AM38" s="60">
        <f t="shared" si="27"/>
        <v>9.9000000000000005E-2</v>
      </c>
      <c r="AN38" s="81">
        <v>0.7</v>
      </c>
      <c r="AO38" s="82">
        <f>0.001+INDEX(Univ!$C$6:$C$11,MATCH(D38,Univ!$A$6:$A$11,0))*0.01+INDEX(Univ!$C$13:$C$15,MATCH(E38,Univ!$A$13:$A$15,0))*0.01+INDEX(Univ!$C$24:$C$27,MATCH($C38,Univ!$A$24:$A$27,0))*0.01+BA38</f>
        <v>4.1000000000000002E-2</v>
      </c>
      <c r="AP38" s="83">
        <f>U38*Univ!$B$17*IF(V38&gt;Univ!$C$17,1,V38/Univ!$C$17)</f>
        <v>0.30000000000000004</v>
      </c>
      <c r="AQ38" s="83">
        <f>W38*Univ!$B$18*IF(X38&gt;Univ!$C$18,1,X38/Univ!$C$18)</f>
        <v>0.22499999999999998</v>
      </c>
      <c r="AR38" s="83">
        <f>Y38*Univ!$B$19*IF(Z38&gt;Univ!$C$19,1,Z38/Univ!$C$19)</f>
        <v>0.11249999999999999</v>
      </c>
      <c r="AS38" s="83">
        <f>AA38*Univ!$B$20*IF(AB38&gt;Univ!$C$20,1,AB38/Univ!$C$20)</f>
        <v>0</v>
      </c>
      <c r="AT38" s="83">
        <f>AC38*Univ!$B$21*IF(AD38&gt;Univ!$C$21,1,AD38/Univ!$C$21)</f>
        <v>4.5454545454545455E-4</v>
      </c>
      <c r="AU38" s="83">
        <f>AE38*Univ!$B$22*IF(AF38&gt;Univ!$C$22,1,AF38/Univ!$C$22)</f>
        <v>3.6363636363636364E-3</v>
      </c>
      <c r="AV38" s="83">
        <f t="shared" si="21"/>
        <v>0.80099370103073164</v>
      </c>
      <c r="AW38" s="21">
        <f t="shared" si="38"/>
        <v>0</v>
      </c>
      <c r="AX38" s="97">
        <f t="shared" si="39"/>
        <v>0</v>
      </c>
      <c r="AY38" s="22">
        <f t="shared" si="40"/>
        <v>0</v>
      </c>
      <c r="AZ38" s="98">
        <f t="shared" si="41"/>
        <v>0</v>
      </c>
      <c r="BA38" s="98">
        <f t="shared" si="42"/>
        <v>0</v>
      </c>
      <c r="BB38" s="98">
        <f t="shared" si="43"/>
        <v>0</v>
      </c>
      <c r="BC38" s="98">
        <f t="shared" si="44"/>
        <v>0</v>
      </c>
    </row>
    <row r="39" spans="1:55" x14ac:dyDescent="0.25">
      <c r="A39" t="str">
        <f>Stats!A39</f>
        <v>ETH</v>
      </c>
      <c r="B39" t="str">
        <f>Stats!B39</f>
        <v>The Kingdom of Ethiopia</v>
      </c>
      <c r="C39" t="s">
        <v>348</v>
      </c>
      <c r="D39" t="s">
        <v>223</v>
      </c>
      <c r="E39" t="s">
        <v>230</v>
      </c>
      <c r="F39" s="47" t="s">
        <v>233</v>
      </c>
      <c r="G39" s="58" t="str">
        <f t="shared" si="37"/>
        <v>Democrat</v>
      </c>
      <c r="H39" s="74">
        <f t="shared" si="8"/>
        <v>6</v>
      </c>
      <c r="I39" s="25">
        <f t="shared" si="9"/>
        <v>7</v>
      </c>
      <c r="J39" s="74">
        <f t="shared" si="10"/>
        <v>11</v>
      </c>
      <c r="K39" s="25">
        <f t="shared" si="11"/>
        <v>1.61625</v>
      </c>
      <c r="L39">
        <f>INDEX(Univ!$E$6:$E$11,MATCH($D39,Univ!$A$6:$A$11,0))+INDEX(Univ!$E$13:$E$15,MATCH($E39,Univ!$A$13:$A$15,0))+INDEX(Univ!$E$24:$E$27,MATCH($C39,Univ!$A$24:$A$27,0))</f>
        <v>5</v>
      </c>
      <c r="M39">
        <f>INDEX(Univ!$B$6:$B$11,MATCH($D39,Univ!$A$6:$A$11,0))+INDEX(Univ!$B$13:$B$15,MATCH($E39,Univ!$A$13:$A$15,0))+INDEX(Univ!$B$24:$B$27,MATCH($C39,Univ!$A$24:$A$27,0))</f>
        <v>9</v>
      </c>
      <c r="N39">
        <f>INDEX(Univ!$D$6:$D$11,MATCH(D39,Univ!$A$6:$A$11,0))+INDEX(Univ!$D$13:$D$15,MATCH(E39,Univ!$A$13:$A$15,0))+INDEX(Univ!$D$24:$D$27,MATCH($C39,Univ!$A$24:$A$27,0))</f>
        <v>11</v>
      </c>
      <c r="O39">
        <f>INDEX(Univ!$H$6:$H$11,MATCH($D39,Univ!$A$6:$A$11,0))+INDEX(Univ!$H$13:$H$15,MATCH($E39,Univ!$A$13:$A$15,0))+INDEX(Univ!$H$24:$H$27,MATCH($C39,Univ!$A$24:$A$27,0))</f>
        <v>1.5</v>
      </c>
      <c r="P39" s="29">
        <f>(INDEX(Univ!$G$6:$G$11,MATCH(D39,Univ!$A$6:$A$11,0))+INDEX(Univ!$G$13:$G$15,MATCH(E39,Univ!$A$13:$A$15,0))+INDEX(Univ!$G$24:$G$27,MATCH($C39,Univ!$A$24:$A$27,0)))*AV39*(1+AZ39)</f>
        <v>6.7721354225840899E-2</v>
      </c>
      <c r="Q39" s="3">
        <f t="shared" si="12"/>
        <v>0.629</v>
      </c>
      <c r="R39" s="3">
        <f t="shared" si="13"/>
        <v>0.10483333333333333</v>
      </c>
      <c r="S39" s="71">
        <f>FLOOR((Q39-Univ!$F$1)/Univ!$F$2-IF(T39&lt;0,T39,0),0.1)</f>
        <v>0.60000000000000009</v>
      </c>
      <c r="T39" s="65">
        <f>((INDEX(Univ!$F$6:$F$11,MATCH(D39,Univ!$A$6:$A$11,0))+INDEX(Univ!$F$13:$F$15,MATCH(E39,Univ!$A$13:$A$15,0))+INDEX(Univ!$F$24:$F$27,MATCH($C39,Univ!$A$24:$A$27,0)))*Univ!$D$2+Univ!$D$1-R39)/Univ!$D$2</f>
        <v>2.3365275112152486</v>
      </c>
      <c r="U39" s="12">
        <v>0.45</v>
      </c>
      <c r="V39" s="12">
        <v>0.95</v>
      </c>
      <c r="W39" s="12">
        <v>0.15</v>
      </c>
      <c r="X39" s="12">
        <v>0.75</v>
      </c>
      <c r="Y39" s="12">
        <v>0.25</v>
      </c>
      <c r="Z39" s="12">
        <v>0.35</v>
      </c>
      <c r="AA39" s="12">
        <v>0</v>
      </c>
      <c r="AB39" s="12">
        <v>0.1</v>
      </c>
      <c r="AC39" s="12">
        <v>0.05</v>
      </c>
      <c r="AD39" s="12">
        <v>0.01</v>
      </c>
      <c r="AE39" s="12">
        <v>0.1</v>
      </c>
      <c r="AF39" s="12">
        <v>0.01</v>
      </c>
      <c r="AG39" s="58">
        <f t="shared" si="14"/>
        <v>1</v>
      </c>
      <c r="AH39" s="60">
        <f t="shared" si="22"/>
        <v>2.250000000000002E-2</v>
      </c>
      <c r="AI39" s="60">
        <f t="shared" si="23"/>
        <v>3.7499999999999999E-2</v>
      </c>
      <c r="AJ39" s="60">
        <f t="shared" si="24"/>
        <v>0.16250000000000001</v>
      </c>
      <c r="AK39" s="60">
        <f t="shared" si="25"/>
        <v>0</v>
      </c>
      <c r="AL39" s="60">
        <f t="shared" si="26"/>
        <v>4.9500000000000002E-2</v>
      </c>
      <c r="AM39" s="60">
        <f t="shared" si="27"/>
        <v>9.9000000000000005E-2</v>
      </c>
      <c r="AN39" s="81">
        <v>0.65</v>
      </c>
      <c r="AO39" s="82">
        <f>0.001+INDEX(Univ!$C$6:$C$11,MATCH(D39,Univ!$A$6:$A$11,0))*0.01+INDEX(Univ!$C$13:$C$15,MATCH(E39,Univ!$A$13:$A$15,0))*0.01+INDEX(Univ!$C$24:$C$27,MATCH($C39,Univ!$A$24:$A$27,0))*0.01+BA39</f>
        <v>4.1000000000000002E-2</v>
      </c>
      <c r="AP39" s="83">
        <f>U39*Univ!$B$17*IF(V39&gt;Univ!$C$17,1,V39/Univ!$C$17)</f>
        <v>0.33750000000000002</v>
      </c>
      <c r="AQ39" s="83">
        <f>W39*Univ!$B$18*IF(X39&gt;Univ!$C$18,1,X39/Univ!$C$18)</f>
        <v>0.11249999999999999</v>
      </c>
      <c r="AR39" s="83">
        <f>Y39*Univ!$B$19*IF(Z39&gt;Univ!$C$19,1,Z39/Univ!$C$19)</f>
        <v>0.26249999999999996</v>
      </c>
      <c r="AS39" s="83">
        <f>AA39*Univ!$B$20*IF(AB39&gt;Univ!$C$20,1,AB39/Univ!$C$20)</f>
        <v>0</v>
      </c>
      <c r="AT39" s="83">
        <f>AC39*Univ!$B$21*IF(AD39&gt;Univ!$C$21,1,AD39/Univ!$C$21)</f>
        <v>4.5454545454545455E-4</v>
      </c>
      <c r="AU39" s="83">
        <f>AE39*Univ!$B$22*IF(AF39&gt;Univ!$C$22,1,AF39/Univ!$C$22)</f>
        <v>3.6363636363636364E-3</v>
      </c>
      <c r="AV39" s="83">
        <f t="shared" si="21"/>
        <v>0.84651692782301113</v>
      </c>
      <c r="AW39" s="21">
        <f t="shared" si="38"/>
        <v>0</v>
      </c>
      <c r="AX39" s="97">
        <f t="shared" si="39"/>
        <v>0</v>
      </c>
      <c r="AY39" s="22">
        <f t="shared" si="40"/>
        <v>0</v>
      </c>
      <c r="AZ39" s="98">
        <f t="shared" si="41"/>
        <v>0</v>
      </c>
      <c r="BA39" s="98">
        <f t="shared" si="42"/>
        <v>0</v>
      </c>
      <c r="BB39" s="98">
        <f t="shared" si="43"/>
        <v>0</v>
      </c>
      <c r="BC39" s="98">
        <f t="shared" si="44"/>
        <v>0</v>
      </c>
    </row>
    <row r="40" spans="1:55" x14ac:dyDescent="0.25">
      <c r="A40" t="str">
        <f>Stats!A40</f>
        <v>COL</v>
      </c>
      <c r="B40" t="str">
        <f>Stats!B40</f>
        <v>The Dominion of Colombia</v>
      </c>
      <c r="C40" t="s">
        <v>346</v>
      </c>
      <c r="D40" t="s">
        <v>222</v>
      </c>
      <c r="E40" t="s">
        <v>229</v>
      </c>
      <c r="F40" s="47" t="s">
        <v>237</v>
      </c>
      <c r="G40" s="58" t="str">
        <f t="shared" si="37"/>
        <v>Anarchist</v>
      </c>
      <c r="H40" s="74">
        <f t="shared" si="8"/>
        <v>8</v>
      </c>
      <c r="I40" s="25">
        <f t="shared" si="9"/>
        <v>4</v>
      </c>
      <c r="J40" s="74">
        <f t="shared" si="10"/>
        <v>11</v>
      </c>
      <c r="K40" s="25">
        <f t="shared" si="11"/>
        <v>2.2752499999999998</v>
      </c>
      <c r="L40">
        <f>INDEX(Univ!$E$6:$E$11,MATCH($D40,Univ!$A$6:$A$11,0))+INDEX(Univ!$E$13:$E$15,MATCH($E40,Univ!$A$13:$A$15,0))+INDEX(Univ!$E$24:$E$27,MATCH($C40,Univ!$A$24:$A$27,0))</f>
        <v>9</v>
      </c>
      <c r="M40">
        <f>INDEX(Univ!$B$6:$B$11,MATCH($D40,Univ!$A$6:$A$11,0))+INDEX(Univ!$B$13:$B$15,MATCH($E40,Univ!$A$13:$A$15,0))+INDEX(Univ!$B$24:$B$27,MATCH($C40,Univ!$A$24:$A$27,0))</f>
        <v>4</v>
      </c>
      <c r="N40">
        <f>INDEX(Univ!$D$6:$D$11,MATCH(D40,Univ!$A$6:$A$11,0))+INDEX(Univ!$D$13:$D$15,MATCH(E40,Univ!$A$13:$A$15,0))+INDEX(Univ!$D$24:$D$27,MATCH($C40,Univ!$A$24:$A$27,0))</f>
        <v>12</v>
      </c>
      <c r="O40">
        <f>INDEX(Univ!$H$6:$H$11,MATCH($D40,Univ!$A$6:$A$11,0))+INDEX(Univ!$H$13:$H$15,MATCH($E40,Univ!$A$13:$A$15,0))+INDEX(Univ!$H$24:$H$27,MATCH($C40,Univ!$A$24:$A$27,0))</f>
        <v>1.9</v>
      </c>
      <c r="P40" s="29">
        <f>(INDEX(Univ!$G$6:$G$11,MATCH(D40,Univ!$A$6:$A$11,0))+INDEX(Univ!$G$13:$G$15,MATCH(E40,Univ!$A$13:$A$15,0))+INDEX(Univ!$G$24:$G$27,MATCH($C40,Univ!$A$24:$A$27,0)))*AV40*(1+AZ40)</f>
        <v>8.670499225429977E-2</v>
      </c>
      <c r="Q40" s="3">
        <f t="shared" si="12"/>
        <v>0.49000000000000005</v>
      </c>
      <c r="R40" s="3">
        <f t="shared" si="13"/>
        <v>8.1666666666666679E-2</v>
      </c>
      <c r="S40" s="71">
        <f>FLOOR((Q40-Univ!$F$1)/Univ!$F$2-IF(T40&lt;0,T40,0),0.1)</f>
        <v>-0.60000000000000009</v>
      </c>
      <c r="T40" s="65">
        <f>((INDEX(Univ!$F$6:$F$11,MATCH(D40,Univ!$A$6:$A$11,0))+INDEX(Univ!$F$13:$F$15,MATCH(E40,Univ!$A$13:$A$15,0))+INDEX(Univ!$F$24:$F$27,MATCH($C40,Univ!$A$24:$A$27,0)))*Univ!$D$2+Univ!$D$1-R40)/Univ!$D$2</f>
        <v>3.5056540452442241E-2</v>
      </c>
      <c r="U40" s="12">
        <v>0</v>
      </c>
      <c r="V40" s="12">
        <v>0</v>
      </c>
      <c r="W40" s="12">
        <v>0.55000000000000004</v>
      </c>
      <c r="X40" s="12">
        <v>0.85</v>
      </c>
      <c r="Y40" s="12">
        <v>0.1</v>
      </c>
      <c r="Z40" s="12">
        <v>0.1</v>
      </c>
      <c r="AA40" s="12">
        <v>0</v>
      </c>
      <c r="AB40" s="12">
        <v>0.1</v>
      </c>
      <c r="AC40" s="12">
        <v>0.25</v>
      </c>
      <c r="AD40" s="12">
        <v>0.01</v>
      </c>
      <c r="AE40" s="12">
        <v>0.1</v>
      </c>
      <c r="AF40" s="12">
        <v>0.1</v>
      </c>
      <c r="AG40" s="58">
        <f t="shared" si="14"/>
        <v>1</v>
      </c>
      <c r="AH40" s="60">
        <f t="shared" si="22"/>
        <v>0</v>
      </c>
      <c r="AI40" s="60">
        <f t="shared" si="23"/>
        <v>8.2500000000000018E-2</v>
      </c>
      <c r="AJ40" s="60">
        <f t="shared" si="24"/>
        <v>9.0000000000000011E-2</v>
      </c>
      <c r="AK40" s="60">
        <f t="shared" si="25"/>
        <v>0</v>
      </c>
      <c r="AL40" s="60">
        <f t="shared" si="26"/>
        <v>0.2475</v>
      </c>
      <c r="AM40" s="60">
        <f t="shared" si="27"/>
        <v>9.0000000000000011E-2</v>
      </c>
      <c r="AN40" s="81">
        <v>0.55000000000000004</v>
      </c>
      <c r="AO40" s="82">
        <f>0.001+INDEX(Univ!$C$6:$C$11,MATCH(D40,Univ!$A$6:$A$11,0))*0.01+INDEX(Univ!$C$13:$C$15,MATCH(E40,Univ!$A$13:$A$15,0))*0.01+INDEX(Univ!$C$24:$C$27,MATCH($C40,Univ!$A$24:$A$27,0))*0.01+BA40</f>
        <v>3.0999999999999996E-2</v>
      </c>
      <c r="AP40" s="83">
        <f>U40*Univ!$B$17*IF(V40&gt;Univ!$C$17,1,V40/Univ!$C$17)</f>
        <v>0</v>
      </c>
      <c r="AQ40" s="83">
        <f>W40*Univ!$B$18*IF(X40&gt;Univ!$C$18,1,X40/Univ!$C$18)</f>
        <v>0.41250000000000003</v>
      </c>
      <c r="AR40" s="83">
        <f>Y40*Univ!$B$19*IF(Z40&gt;Univ!$C$19,1,Z40/Univ!$C$19)</f>
        <v>3.0000000000000006E-2</v>
      </c>
      <c r="AS40" s="83">
        <f>AA40*Univ!$B$20*IF(AB40&gt;Univ!$C$20,1,AB40/Univ!$C$20)</f>
        <v>0</v>
      </c>
      <c r="AT40" s="83">
        <f>AC40*Univ!$B$21*IF(AD40&gt;Univ!$C$21,1,AD40/Univ!$C$21)</f>
        <v>2.2727272727272726E-3</v>
      </c>
      <c r="AU40" s="83">
        <f>AE40*Univ!$B$22*IF(AF40&gt;Univ!$C$22,1,AF40/Univ!$C$22)</f>
        <v>3.6363636363636369E-2</v>
      </c>
      <c r="AV40" s="83">
        <f t="shared" si="21"/>
        <v>0.69363993803439816</v>
      </c>
      <c r="AW40" s="21">
        <f t="shared" si="38"/>
        <v>0</v>
      </c>
      <c r="AX40" s="97">
        <f t="shared" si="39"/>
        <v>0</v>
      </c>
      <c r="AY40" s="22">
        <f t="shared" si="40"/>
        <v>0</v>
      </c>
      <c r="AZ40" s="98">
        <f t="shared" si="41"/>
        <v>0</v>
      </c>
      <c r="BA40" s="98">
        <f t="shared" si="42"/>
        <v>0</v>
      </c>
      <c r="BB40" s="98">
        <f t="shared" si="43"/>
        <v>0</v>
      </c>
      <c r="BC40" s="98">
        <f t="shared" si="44"/>
        <v>0</v>
      </c>
    </row>
    <row r="41" spans="1:55" x14ac:dyDescent="0.25">
      <c r="A41" t="str">
        <f>Stats!A41</f>
        <v>BRZ</v>
      </c>
      <c r="B41" t="str">
        <f>Stats!B41</f>
        <v>The Democratic Republic of Brazil</v>
      </c>
      <c r="C41" t="s">
        <v>346</v>
      </c>
      <c r="D41" t="s">
        <v>224</v>
      </c>
      <c r="E41" t="s">
        <v>231</v>
      </c>
      <c r="F41" s="47" t="s">
        <v>234</v>
      </c>
      <c r="G41" s="58" t="str">
        <f t="shared" si="37"/>
        <v>Monarchist</v>
      </c>
      <c r="H41" s="74">
        <f t="shared" si="8"/>
        <v>6</v>
      </c>
      <c r="I41" s="25">
        <f t="shared" si="9"/>
        <v>5.5</v>
      </c>
      <c r="J41" s="74">
        <f t="shared" si="10"/>
        <v>9</v>
      </c>
      <c r="K41" s="25">
        <f t="shared" si="11"/>
        <v>3.2326250000000005</v>
      </c>
      <c r="L41">
        <f>INDEX(Univ!$E$6:$E$11,MATCH($D41,Univ!$A$6:$A$11,0))+INDEX(Univ!$E$13:$E$15,MATCH($E41,Univ!$A$13:$A$15,0))+INDEX(Univ!$E$24:$E$27,MATCH($C41,Univ!$A$24:$A$27,0))</f>
        <v>5</v>
      </c>
      <c r="M41">
        <f>INDEX(Univ!$B$6:$B$11,MATCH($D41,Univ!$A$6:$A$11,0))+INDEX(Univ!$B$13:$B$15,MATCH($E41,Univ!$A$13:$A$15,0))+INDEX(Univ!$B$24:$B$27,MATCH($C41,Univ!$A$24:$A$27,0))</f>
        <v>4</v>
      </c>
      <c r="N41">
        <f>INDEX(Univ!$D$6:$D$11,MATCH(D41,Univ!$A$6:$A$11,0))+INDEX(Univ!$D$13:$D$15,MATCH(E41,Univ!$A$13:$A$15,0))+INDEX(Univ!$D$24:$D$27,MATCH($C41,Univ!$A$24:$A$27,0))</f>
        <v>9</v>
      </c>
      <c r="O41">
        <f>INDEX(Univ!$H$6:$H$11,MATCH($D41,Univ!$A$6:$A$11,0))+INDEX(Univ!$H$13:$H$15,MATCH($E41,Univ!$A$13:$A$15,0))+INDEX(Univ!$H$24:$H$27,MATCH($C41,Univ!$A$24:$A$27,0))</f>
        <v>2.2000000000000002</v>
      </c>
      <c r="P41" s="29">
        <f>(INDEX(Univ!$G$6:$G$11,MATCH(D41,Univ!$A$6:$A$11,0))+INDEX(Univ!$G$13:$G$15,MATCH(E41,Univ!$A$13:$A$15,0))+INDEX(Univ!$G$24:$G$27,MATCH($C41,Univ!$A$24:$A$27,0)))*AV41*(1+AZ41)</f>
        <v>9.710236222667297E-2</v>
      </c>
      <c r="Q41" s="3">
        <f t="shared" si="12"/>
        <v>0.495</v>
      </c>
      <c r="R41" s="3">
        <f t="shared" si="13"/>
        <v>8.2500000000000004E-2</v>
      </c>
      <c r="S41" s="71">
        <f>FLOOR((Q41-Univ!$F$1)/Univ!$F$2-IF(T41&lt;0,T41,0),0.1)</f>
        <v>0.5</v>
      </c>
      <c r="T41" s="65">
        <f>((INDEX(Univ!$F$6:$F$11,MATCH(D41,Univ!$A$6:$A$11,0))+INDEX(Univ!$F$13:$F$15,MATCH(E41,Univ!$A$13:$A$15,0))+INDEX(Univ!$F$24:$F$27,MATCH($C41,Univ!$A$24:$A$27,0)))*Univ!$D$2+Univ!$D$1-R41)/Univ!$D$2</f>
        <v>-1.00805601455609</v>
      </c>
      <c r="U41" s="12">
        <v>0.2</v>
      </c>
      <c r="V41" s="12">
        <v>0.01</v>
      </c>
      <c r="W41" s="12">
        <v>0.25</v>
      </c>
      <c r="X41" s="12">
        <v>0.45</v>
      </c>
      <c r="Y41" s="12">
        <v>0.15</v>
      </c>
      <c r="Z41" s="12">
        <v>0.65</v>
      </c>
      <c r="AA41" s="12">
        <v>0.05</v>
      </c>
      <c r="AB41" s="12">
        <v>0.01</v>
      </c>
      <c r="AC41" s="12">
        <v>0.05</v>
      </c>
      <c r="AD41" s="12">
        <v>0.55000000000000004</v>
      </c>
      <c r="AE41" s="12">
        <v>0.3</v>
      </c>
      <c r="AF41" s="12">
        <v>0.85</v>
      </c>
      <c r="AG41" s="58">
        <f t="shared" si="14"/>
        <v>1</v>
      </c>
      <c r="AH41" s="60">
        <f t="shared" si="22"/>
        <v>0.19800000000000001</v>
      </c>
      <c r="AI41" s="60">
        <f t="shared" si="23"/>
        <v>0.13750000000000001</v>
      </c>
      <c r="AJ41" s="60">
        <f t="shared" si="24"/>
        <v>5.2499999999999998E-2</v>
      </c>
      <c r="AK41" s="60">
        <f t="shared" si="25"/>
        <v>4.9500000000000002E-2</v>
      </c>
      <c r="AL41" s="60">
        <f t="shared" si="26"/>
        <v>2.2499999999999999E-2</v>
      </c>
      <c r="AM41" s="60">
        <f t="shared" si="27"/>
        <v>4.5000000000000005E-2</v>
      </c>
      <c r="AN41" s="81">
        <v>0.17499999999999999</v>
      </c>
      <c r="AO41" s="82">
        <f>0.001+INDEX(Univ!$C$6:$C$11,MATCH(D41,Univ!$A$6:$A$11,0))*0.01+INDEX(Univ!$C$13:$C$15,MATCH(E41,Univ!$A$13:$A$15,0))*0.01+INDEX(Univ!$C$24:$C$27,MATCH($C41,Univ!$A$24:$A$27,0))*0.01+BA41</f>
        <v>9.9999999999999915E-4</v>
      </c>
      <c r="AP41" s="83">
        <f>U41*Univ!$B$17*IF(V41&gt;Univ!$C$17,1,V41/Univ!$C$17)</f>
        <v>6.000000000000001E-3</v>
      </c>
      <c r="AQ41" s="83">
        <f>W41*Univ!$B$18*IF(X41&gt;Univ!$C$18,1,X41/Univ!$C$18)</f>
        <v>0.1875</v>
      </c>
      <c r="AR41" s="83">
        <f>Y41*Univ!$B$19*IF(Z41&gt;Univ!$C$19,1,Z41/Univ!$C$19)</f>
        <v>0.22499999999999998</v>
      </c>
      <c r="AS41" s="83">
        <f>AA41*Univ!$B$20*IF(AB41&gt;Univ!$C$20,1,AB41/Univ!$C$20)</f>
        <v>1.25E-3</v>
      </c>
      <c r="AT41" s="83">
        <f>AC41*Univ!$B$21*IF(AD41&gt;Univ!$C$21,1,AD41/Univ!$C$21)</f>
        <v>2.5000000000000001E-2</v>
      </c>
      <c r="AU41" s="83">
        <f>AE41*Univ!$B$22*IF(AF41&gt;Univ!$C$22,1,AF41/Univ!$C$22)</f>
        <v>0.6</v>
      </c>
      <c r="AV41" s="83">
        <f t="shared" si="21"/>
        <v>1.0221301287018205</v>
      </c>
      <c r="AW41" s="21">
        <f t="shared" si="38"/>
        <v>0</v>
      </c>
      <c r="AX41" s="97">
        <f t="shared" si="39"/>
        <v>0</v>
      </c>
      <c r="AY41" s="22">
        <f t="shared" si="40"/>
        <v>0</v>
      </c>
      <c r="AZ41" s="98">
        <f t="shared" si="41"/>
        <v>0</v>
      </c>
      <c r="BA41" s="98">
        <f t="shared" si="42"/>
        <v>0</v>
      </c>
      <c r="BB41" s="98">
        <f t="shared" si="43"/>
        <v>0</v>
      </c>
      <c r="BC41" s="98">
        <f t="shared" si="44"/>
        <v>0</v>
      </c>
    </row>
    <row r="42" spans="1:55" x14ac:dyDescent="0.25">
      <c r="A42" t="str">
        <f>Stats!A42</f>
        <v>BRA</v>
      </c>
      <c r="B42" t="str">
        <f>Stats!B42</f>
        <v>The Empire of Brazil</v>
      </c>
      <c r="C42" t="s">
        <v>346</v>
      </c>
      <c r="D42" t="s">
        <v>223</v>
      </c>
      <c r="E42" t="s">
        <v>230</v>
      </c>
      <c r="F42" s="47" t="s">
        <v>233</v>
      </c>
      <c r="G42" s="58" t="str">
        <f t="shared" si="37"/>
        <v>Socialist</v>
      </c>
      <c r="H42" s="74">
        <f t="shared" si="8"/>
        <v>6</v>
      </c>
      <c r="I42" s="25">
        <f t="shared" si="9"/>
        <v>4</v>
      </c>
      <c r="J42" s="74">
        <f t="shared" si="10"/>
        <v>10</v>
      </c>
      <c r="K42" s="25">
        <f t="shared" si="11"/>
        <v>2.375</v>
      </c>
      <c r="L42">
        <f>INDEX(Univ!$E$6:$E$11,MATCH($D42,Univ!$A$6:$A$11,0))+INDEX(Univ!$E$13:$E$15,MATCH($E42,Univ!$A$13:$A$15,0))+INDEX(Univ!$E$24:$E$27,MATCH($C42,Univ!$A$24:$A$27,0))</f>
        <v>7</v>
      </c>
      <c r="M42">
        <f>INDEX(Univ!$B$6:$B$11,MATCH($D42,Univ!$A$6:$A$11,0))+INDEX(Univ!$B$13:$B$15,MATCH($E42,Univ!$A$13:$A$15,0))+INDEX(Univ!$B$24:$B$27,MATCH($C42,Univ!$A$24:$A$27,0))</f>
        <v>6</v>
      </c>
      <c r="N42">
        <f>INDEX(Univ!$D$6:$D$11,MATCH(D42,Univ!$A$6:$A$11,0))+INDEX(Univ!$D$13:$D$15,MATCH(E42,Univ!$A$13:$A$15,0))+INDEX(Univ!$D$24:$D$27,MATCH($C42,Univ!$A$24:$A$27,0))</f>
        <v>12</v>
      </c>
      <c r="O42">
        <f>INDEX(Univ!$H$6:$H$11,MATCH($D42,Univ!$A$6:$A$11,0))+INDEX(Univ!$H$13:$H$15,MATCH($E42,Univ!$A$13:$A$15,0))+INDEX(Univ!$H$24:$H$27,MATCH($C42,Univ!$A$24:$A$27,0))</f>
        <v>1.9</v>
      </c>
      <c r="P42" s="29">
        <f>(INDEX(Univ!$G$6:$G$11,MATCH(D42,Univ!$A$6:$A$11,0))+INDEX(Univ!$G$13:$G$15,MATCH(E42,Univ!$A$13:$A$15,0))+INDEX(Univ!$G$24:$G$27,MATCH($C42,Univ!$A$24:$A$27,0)))*AV42*(1+AZ42)</f>
        <v>8.5173352640365158E-2</v>
      </c>
      <c r="Q42" s="3">
        <f t="shared" si="12"/>
        <v>0.42549999999999999</v>
      </c>
      <c r="R42" s="3">
        <f t="shared" si="13"/>
        <v>7.091666666666667E-2</v>
      </c>
      <c r="S42" s="71">
        <f>FLOOR((Q42-Univ!$F$1)/Univ!$F$2-IF(T42&lt;0,T42,0),0.1)</f>
        <v>-1.1000000000000001</v>
      </c>
      <c r="T42" s="65">
        <f>((INDEX(Univ!$F$6:$F$11,MATCH(D42,Univ!$A$6:$A$11,0))+INDEX(Univ!$F$13:$F$15,MATCH(E42,Univ!$A$13:$A$15,0))+INDEX(Univ!$F$24:$F$27,MATCH($C42,Univ!$A$24:$A$27,0)))*Univ!$D$2+Univ!$D$1-R42)/Univ!$D$2</f>
        <v>2.0912085000625074</v>
      </c>
      <c r="U42" s="12">
        <v>0.25</v>
      </c>
      <c r="V42" s="12">
        <v>0.75</v>
      </c>
      <c r="W42" s="12">
        <v>0.25</v>
      </c>
      <c r="X42" s="12">
        <v>0.65</v>
      </c>
      <c r="Y42" s="12">
        <v>0.15</v>
      </c>
      <c r="Z42" s="12">
        <v>0.45</v>
      </c>
      <c r="AA42" s="12">
        <v>0.05</v>
      </c>
      <c r="AB42" s="12">
        <v>0.1</v>
      </c>
      <c r="AC42" s="12">
        <v>0.05</v>
      </c>
      <c r="AD42" s="12">
        <v>0.01</v>
      </c>
      <c r="AE42" s="12">
        <v>0.25</v>
      </c>
      <c r="AF42" s="12">
        <v>0.01</v>
      </c>
      <c r="AG42" s="58">
        <f t="shared" si="14"/>
        <v>1</v>
      </c>
      <c r="AH42" s="60">
        <f t="shared" si="22"/>
        <v>6.25E-2</v>
      </c>
      <c r="AI42" s="60">
        <f t="shared" si="23"/>
        <v>8.7499999999999994E-2</v>
      </c>
      <c r="AJ42" s="60">
        <f t="shared" si="24"/>
        <v>8.2500000000000004E-2</v>
      </c>
      <c r="AK42" s="60">
        <f t="shared" si="25"/>
        <v>4.5000000000000005E-2</v>
      </c>
      <c r="AL42" s="60">
        <f t="shared" si="26"/>
        <v>4.9500000000000002E-2</v>
      </c>
      <c r="AM42" s="60">
        <f t="shared" si="27"/>
        <v>0.2475</v>
      </c>
      <c r="AN42" s="81">
        <v>0.5</v>
      </c>
      <c r="AO42" s="82">
        <f>0.001+INDEX(Univ!$C$6:$C$11,MATCH(D42,Univ!$A$6:$A$11,0))*0.01+INDEX(Univ!$C$13:$C$15,MATCH(E42,Univ!$A$13:$A$15,0))*0.01+INDEX(Univ!$C$24:$C$27,MATCH($C42,Univ!$A$24:$A$27,0))*0.01+BA42</f>
        <v>2.5999999999999999E-2</v>
      </c>
      <c r="AP42" s="83">
        <f>U42*Univ!$B$17*IF(V42&gt;Univ!$C$17,1,V42/Univ!$C$17)</f>
        <v>0.1875</v>
      </c>
      <c r="AQ42" s="83">
        <f>W42*Univ!$B$18*IF(X42&gt;Univ!$C$18,1,X42/Univ!$C$18)</f>
        <v>0.1875</v>
      </c>
      <c r="AR42" s="83">
        <f>Y42*Univ!$B$19*IF(Z42&gt;Univ!$C$19,1,Z42/Univ!$C$19)</f>
        <v>0.20249999999999999</v>
      </c>
      <c r="AS42" s="83">
        <f>AA42*Univ!$B$20*IF(AB42&gt;Univ!$C$20,1,AB42/Univ!$C$20)</f>
        <v>1.2500000000000001E-2</v>
      </c>
      <c r="AT42" s="83">
        <f>AC42*Univ!$B$21*IF(AD42&gt;Univ!$C$21,1,AD42/Univ!$C$21)</f>
        <v>4.5454545454545455E-4</v>
      </c>
      <c r="AU42" s="83">
        <f>AE42*Univ!$B$22*IF(AF42&gt;Univ!$C$22,1,AF42/Univ!$C$22)</f>
        <v>9.0909090909090905E-3</v>
      </c>
      <c r="AV42" s="83">
        <f t="shared" si="21"/>
        <v>0.77430320582150147</v>
      </c>
      <c r="AW42" s="21">
        <f t="shared" si="38"/>
        <v>0</v>
      </c>
      <c r="AX42" s="97">
        <f t="shared" si="39"/>
        <v>0</v>
      </c>
      <c r="AY42" s="22">
        <f t="shared" si="40"/>
        <v>0</v>
      </c>
      <c r="AZ42" s="98">
        <f t="shared" si="41"/>
        <v>0</v>
      </c>
      <c r="BA42" s="98">
        <f t="shared" si="42"/>
        <v>0</v>
      </c>
      <c r="BB42" s="98">
        <f t="shared" si="43"/>
        <v>0</v>
      </c>
      <c r="BC42" s="98">
        <f t="shared" si="44"/>
        <v>0</v>
      </c>
    </row>
    <row r="43" spans="1:55" x14ac:dyDescent="0.25">
      <c r="A43" t="str">
        <f>Stats!A43</f>
        <v>CEN</v>
      </c>
      <c r="B43" t="str">
        <f>Stats!B43</f>
        <v>The Democratic Republic of Central America</v>
      </c>
      <c r="C43" t="s">
        <v>347</v>
      </c>
      <c r="D43" t="s">
        <v>224</v>
      </c>
      <c r="E43" t="s">
        <v>231</v>
      </c>
      <c r="F43" s="47" t="s">
        <v>234</v>
      </c>
      <c r="G43" s="58" t="str">
        <f t="shared" si="37"/>
        <v>Imperialist</v>
      </c>
      <c r="H43" s="74">
        <f t="shared" si="8"/>
        <v>7</v>
      </c>
      <c r="I43" s="25">
        <f t="shared" si="9"/>
        <v>8</v>
      </c>
      <c r="J43" s="74">
        <f t="shared" si="10"/>
        <v>12</v>
      </c>
      <c r="K43" s="25">
        <f t="shared" si="11"/>
        <v>3.2505000000000002</v>
      </c>
      <c r="L43">
        <f>INDEX(Univ!$E$6:$E$11,MATCH($D43,Univ!$A$6:$A$11,0))+INDEX(Univ!$E$13:$E$15,MATCH($E43,Univ!$A$13:$A$15,0))+INDEX(Univ!$E$24:$E$27,MATCH($C43,Univ!$A$24:$A$27,0))</f>
        <v>4</v>
      </c>
      <c r="M43">
        <f>INDEX(Univ!$B$6:$B$11,MATCH($D43,Univ!$A$6:$A$11,0))+INDEX(Univ!$B$13:$B$15,MATCH($E43,Univ!$A$13:$A$15,0))+INDEX(Univ!$B$24:$B$27,MATCH($C43,Univ!$A$24:$A$27,0))</f>
        <v>6</v>
      </c>
      <c r="N43">
        <f>INDEX(Univ!$D$6:$D$11,MATCH(D43,Univ!$A$6:$A$11,0))+INDEX(Univ!$D$13:$D$15,MATCH(E43,Univ!$A$13:$A$15,0))+INDEX(Univ!$D$24:$D$27,MATCH($C43,Univ!$A$24:$A$27,0))</f>
        <v>10</v>
      </c>
      <c r="O43">
        <f>INDEX(Univ!$H$6:$H$11,MATCH($D43,Univ!$A$6:$A$11,0))+INDEX(Univ!$H$13:$H$15,MATCH($E43,Univ!$A$13:$A$15,0))+INDEX(Univ!$H$24:$H$27,MATCH($C43,Univ!$A$24:$A$27,0))</f>
        <v>2.2000000000000002</v>
      </c>
      <c r="P43" s="29">
        <f>(INDEX(Univ!$G$6:$G$11,MATCH(D43,Univ!$A$6:$A$11,0))+INDEX(Univ!$G$13:$G$15,MATCH(E43,Univ!$A$13:$A$15,0))+INDEX(Univ!$G$24:$G$27,MATCH($C43,Univ!$A$24:$A$27,0)))*AV43*(1+AZ43)</f>
        <v>9.743030725973964E-2</v>
      </c>
      <c r="Q43" s="3">
        <f t="shared" si="12"/>
        <v>0.65349999999999997</v>
      </c>
      <c r="R43" s="3">
        <f t="shared" si="13"/>
        <v>0.10891666666666666</v>
      </c>
      <c r="S43" s="71">
        <f>FLOOR((Q43-Univ!$F$1)/Univ!$F$2-IF(T43&lt;0,T43,0),0.1)</f>
        <v>2.7</v>
      </c>
      <c r="T43" s="65">
        <f>((INDEX(Univ!$F$6:$F$11,MATCH(D43,Univ!$A$6:$A$11,0))+INDEX(Univ!$F$13:$F$15,MATCH(E43,Univ!$A$13:$A$15,0))+INDEX(Univ!$F$24:$F$27,MATCH($C43,Univ!$A$24:$A$27,0)))*Univ!$D$2+Univ!$D$1-R43)/Univ!$D$2</f>
        <v>-1.8747240083265586</v>
      </c>
      <c r="U43" s="12">
        <v>0</v>
      </c>
      <c r="V43" s="12">
        <v>0</v>
      </c>
      <c r="W43" s="12">
        <v>0.2</v>
      </c>
      <c r="X43" s="12">
        <v>0.5</v>
      </c>
      <c r="Y43" s="12">
        <v>0.3</v>
      </c>
      <c r="Z43" s="12">
        <v>0.75</v>
      </c>
      <c r="AA43" s="12">
        <v>0.1</v>
      </c>
      <c r="AB43" s="12">
        <v>0.01</v>
      </c>
      <c r="AC43" s="12">
        <v>0.05</v>
      </c>
      <c r="AD43" s="12">
        <v>0.25</v>
      </c>
      <c r="AE43" s="12">
        <v>0.35</v>
      </c>
      <c r="AF43" s="12">
        <v>0.9</v>
      </c>
      <c r="AG43" s="58">
        <f t="shared" si="14"/>
        <v>1</v>
      </c>
      <c r="AH43" s="60">
        <f t="shared" si="22"/>
        <v>0</v>
      </c>
      <c r="AI43" s="60">
        <f t="shared" si="23"/>
        <v>0.1</v>
      </c>
      <c r="AJ43" s="60">
        <f t="shared" si="24"/>
        <v>7.4999999999999997E-2</v>
      </c>
      <c r="AK43" s="60">
        <f t="shared" si="25"/>
        <v>9.9000000000000005E-2</v>
      </c>
      <c r="AL43" s="60">
        <f t="shared" si="26"/>
        <v>3.7500000000000006E-2</v>
      </c>
      <c r="AM43" s="60">
        <f t="shared" si="27"/>
        <v>3.4999999999999989E-2</v>
      </c>
      <c r="AN43" s="81">
        <v>0.15</v>
      </c>
      <c r="AO43" s="82">
        <f>0.001+INDEX(Univ!$C$6:$C$11,MATCH(D43,Univ!$A$6:$A$11,0))*0.01+INDEX(Univ!$C$13:$C$15,MATCH(E43,Univ!$A$13:$A$15,0))*0.01+INDEX(Univ!$C$24:$C$27,MATCH($C43,Univ!$A$24:$A$27,0))*0.01+BA43</f>
        <v>1.0999999999999999E-2</v>
      </c>
      <c r="AP43" s="83">
        <f>U43*Univ!$B$17*IF(V43&gt;Univ!$C$17,1,V43/Univ!$C$17)</f>
        <v>0</v>
      </c>
      <c r="AQ43" s="83">
        <f>W43*Univ!$B$18*IF(X43&gt;Univ!$C$18,1,X43/Univ!$C$18)</f>
        <v>0.15000000000000002</v>
      </c>
      <c r="AR43" s="83">
        <f>Y43*Univ!$B$19*IF(Z43&gt;Univ!$C$19,1,Z43/Univ!$C$19)</f>
        <v>0.44999999999999996</v>
      </c>
      <c r="AS43" s="83">
        <f>AA43*Univ!$B$20*IF(AB43&gt;Univ!$C$20,1,AB43/Univ!$C$20)</f>
        <v>2.5000000000000001E-3</v>
      </c>
      <c r="AT43" s="83">
        <f>AC43*Univ!$B$21*IF(AD43&gt;Univ!$C$21,1,AD43/Univ!$C$21)</f>
        <v>1.1363636363636364E-2</v>
      </c>
      <c r="AU43" s="83">
        <f>AE43*Univ!$B$22*IF(AF43&gt;Univ!$C$22,1,AF43/Univ!$C$22)</f>
        <v>0.7</v>
      </c>
      <c r="AV43" s="83">
        <f t="shared" si="21"/>
        <v>1.1462389089381133</v>
      </c>
      <c r="AW43" s="21">
        <f t="shared" si="38"/>
        <v>0</v>
      </c>
      <c r="AX43" s="97">
        <f t="shared" si="39"/>
        <v>0</v>
      </c>
      <c r="AY43" s="22">
        <f t="shared" si="40"/>
        <v>0</v>
      </c>
      <c r="AZ43" s="98">
        <f t="shared" si="41"/>
        <v>0</v>
      </c>
      <c r="BA43" s="98">
        <f t="shared" si="42"/>
        <v>0</v>
      </c>
      <c r="BB43" s="98">
        <f t="shared" si="43"/>
        <v>0</v>
      </c>
      <c r="BC43" s="98">
        <f t="shared" si="44"/>
        <v>0</v>
      </c>
    </row>
    <row r="44" spans="1:55" x14ac:dyDescent="0.25">
      <c r="A44" t="str">
        <f>Stats!A44</f>
        <v>CHL</v>
      </c>
      <c r="B44" t="str">
        <f>Stats!B44</f>
        <v>The Republic of Chile</v>
      </c>
      <c r="C44" t="s">
        <v>347</v>
      </c>
      <c r="D44" t="s">
        <v>225</v>
      </c>
      <c r="E44" t="s">
        <v>231</v>
      </c>
      <c r="F44" s="47" t="s">
        <v>250</v>
      </c>
      <c r="G44" s="58" t="str">
        <f t="shared" si="37"/>
        <v>Socialist</v>
      </c>
      <c r="H44" s="74">
        <f t="shared" si="8"/>
        <v>3</v>
      </c>
      <c r="I44" s="25">
        <f t="shared" si="9"/>
        <v>7</v>
      </c>
      <c r="J44" s="74">
        <f t="shared" si="10"/>
        <v>9</v>
      </c>
      <c r="K44" s="25">
        <f t="shared" si="11"/>
        <v>3.1625000000000001</v>
      </c>
      <c r="L44">
        <f>INDEX(Univ!$E$6:$E$11,MATCH($D44,Univ!$A$6:$A$11,0))+INDEX(Univ!$E$13:$E$15,MATCH($E44,Univ!$A$13:$A$15,0))+INDEX(Univ!$E$24:$E$27,MATCH($C44,Univ!$A$24:$A$27,0))</f>
        <v>3</v>
      </c>
      <c r="M44">
        <f>INDEX(Univ!$B$6:$B$11,MATCH($D44,Univ!$A$6:$A$11,0))+INDEX(Univ!$B$13:$B$15,MATCH($E44,Univ!$A$13:$A$15,0))+INDEX(Univ!$B$24:$B$27,MATCH($C44,Univ!$A$24:$A$27,0))</f>
        <v>6</v>
      </c>
      <c r="N44">
        <f>INDEX(Univ!$D$6:$D$11,MATCH(D44,Univ!$A$6:$A$11,0))+INDEX(Univ!$D$13:$D$15,MATCH(E44,Univ!$A$13:$A$15,0))+INDEX(Univ!$D$24:$D$27,MATCH($C44,Univ!$A$24:$A$27,0))</f>
        <v>9</v>
      </c>
      <c r="O44">
        <f>INDEX(Univ!$H$6:$H$11,MATCH($D44,Univ!$A$6:$A$11,0))+INDEX(Univ!$H$13:$H$15,MATCH($E44,Univ!$A$13:$A$15,0))+INDEX(Univ!$H$24:$H$27,MATCH($C44,Univ!$A$24:$A$27,0))</f>
        <v>2.2000000000000002</v>
      </c>
      <c r="P44" s="29">
        <f>(INDEX(Univ!$G$6:$G$11,MATCH(D44,Univ!$A$6:$A$11,0))+INDEX(Univ!$G$13:$G$15,MATCH(E44,Univ!$A$13:$A$15,0))+INDEX(Univ!$G$24:$G$27,MATCH($C44,Univ!$A$24:$A$27,0)))*AV44*(1+AZ44)</f>
        <v>7.5153176912223757E-2</v>
      </c>
      <c r="Q44" s="3">
        <f t="shared" si="12"/>
        <v>0.49400000000000005</v>
      </c>
      <c r="R44" s="3">
        <f t="shared" si="13"/>
        <v>8.2333333333333342E-2</v>
      </c>
      <c r="S44" s="71">
        <f>FLOOR((Q44-Univ!$F$1)/Univ!$F$2-IF(T44&lt;0,T44,0),0.1)</f>
        <v>0.4</v>
      </c>
      <c r="T44" s="65">
        <f>((INDEX(Univ!$F$6:$F$11,MATCH(D44,Univ!$A$6:$A$11,0))+INDEX(Univ!$F$13:$F$15,MATCH(E44,Univ!$A$13:$A$15,0))+INDEX(Univ!$F$24:$F$27,MATCH($C44,Univ!$A$24:$A$27,0)))*Univ!$D$2+Univ!$D$1-R44)/Univ!$D$2</f>
        <v>-0.99943350355438365</v>
      </c>
      <c r="U44" s="12">
        <v>0.05</v>
      </c>
      <c r="V44" s="12">
        <v>0.65</v>
      </c>
      <c r="W44" s="12">
        <v>0.25</v>
      </c>
      <c r="X44" s="12">
        <v>0.5</v>
      </c>
      <c r="Y44" s="12">
        <v>0.4</v>
      </c>
      <c r="Z44" s="12">
        <v>0.8</v>
      </c>
      <c r="AA44" s="12">
        <v>0.1</v>
      </c>
      <c r="AB44" s="12">
        <v>0.01</v>
      </c>
      <c r="AC44" s="12">
        <v>0.05</v>
      </c>
      <c r="AD44" s="12">
        <v>0.01</v>
      </c>
      <c r="AE44" s="12">
        <v>0.15</v>
      </c>
      <c r="AF44" s="12">
        <v>0.1</v>
      </c>
      <c r="AG44" s="58">
        <f t="shared" si="14"/>
        <v>1</v>
      </c>
      <c r="AH44" s="60">
        <f t="shared" si="22"/>
        <v>1.7499999999999998E-2</v>
      </c>
      <c r="AI44" s="60">
        <f t="shared" si="23"/>
        <v>0.125</v>
      </c>
      <c r="AJ44" s="60">
        <f t="shared" si="24"/>
        <v>7.9999999999999988E-2</v>
      </c>
      <c r="AK44" s="60">
        <f t="shared" si="25"/>
        <v>9.9000000000000005E-2</v>
      </c>
      <c r="AL44" s="60">
        <f t="shared" si="26"/>
        <v>4.9500000000000002E-2</v>
      </c>
      <c r="AM44" s="60">
        <f t="shared" si="27"/>
        <v>0.13500000000000001</v>
      </c>
      <c r="AN44" s="81">
        <v>0.25</v>
      </c>
      <c r="AO44" s="82">
        <f>0.001+INDEX(Univ!$C$6:$C$11,MATCH(D44,Univ!$A$6:$A$11,0))*0.01+INDEX(Univ!$C$13:$C$15,MATCH(E44,Univ!$A$13:$A$15,0))*0.01+INDEX(Univ!$C$24:$C$27,MATCH($C44,Univ!$A$24:$A$27,0))*0.01+BA44</f>
        <v>1E-3</v>
      </c>
      <c r="AP44" s="83">
        <f>U44*Univ!$B$17*IF(V44&gt;Univ!$C$17,1,V44/Univ!$C$17)</f>
        <v>3.7500000000000006E-2</v>
      </c>
      <c r="AQ44" s="83">
        <f>W44*Univ!$B$18*IF(X44&gt;Univ!$C$18,1,X44/Univ!$C$18)</f>
        <v>0.1875</v>
      </c>
      <c r="AR44" s="83">
        <f>Y44*Univ!$B$19*IF(Z44&gt;Univ!$C$19,1,Z44/Univ!$C$19)</f>
        <v>0.60000000000000009</v>
      </c>
      <c r="AS44" s="83">
        <f>AA44*Univ!$B$20*IF(AB44&gt;Univ!$C$20,1,AB44/Univ!$C$20)</f>
        <v>2.5000000000000001E-3</v>
      </c>
      <c r="AT44" s="83">
        <f>AC44*Univ!$B$21*IF(AD44&gt;Univ!$C$21,1,AD44/Univ!$C$21)</f>
        <v>4.5454545454545455E-4</v>
      </c>
      <c r="AU44" s="83">
        <f>AE44*Univ!$B$22*IF(AF44&gt;Univ!$C$22,1,AF44/Univ!$C$22)</f>
        <v>5.4545454545454543E-2</v>
      </c>
      <c r="AV44" s="83">
        <f t="shared" si="21"/>
        <v>0.93941471140279686</v>
      </c>
      <c r="AW44" s="21">
        <f t="shared" si="38"/>
        <v>0</v>
      </c>
      <c r="AX44" s="97">
        <f t="shared" si="39"/>
        <v>0</v>
      </c>
      <c r="AY44" s="22">
        <f t="shared" si="40"/>
        <v>0</v>
      </c>
      <c r="AZ44" s="98">
        <f t="shared" si="41"/>
        <v>0</v>
      </c>
      <c r="BA44" s="98">
        <f t="shared" si="42"/>
        <v>0</v>
      </c>
      <c r="BB44" s="98">
        <f t="shared" si="43"/>
        <v>0</v>
      </c>
      <c r="BC44" s="98">
        <f t="shared" si="44"/>
        <v>0</v>
      </c>
    </row>
    <row r="45" spans="1:55" x14ac:dyDescent="0.25">
      <c r="A45" t="str">
        <f>Stats!A45</f>
        <v>ARG</v>
      </c>
      <c r="B45" t="str">
        <f>Stats!B45</f>
        <v>The Republic of Argentina</v>
      </c>
      <c r="C45" t="s">
        <v>347</v>
      </c>
      <c r="D45" t="s">
        <v>224</v>
      </c>
      <c r="E45" t="s">
        <v>231</v>
      </c>
      <c r="F45" s="47" t="s">
        <v>250</v>
      </c>
      <c r="G45" s="58" t="str">
        <f t="shared" si="37"/>
        <v>Socialist</v>
      </c>
      <c r="H45" s="74">
        <f t="shared" si="8"/>
        <v>5</v>
      </c>
      <c r="I45" s="25">
        <f t="shared" si="9"/>
        <v>7</v>
      </c>
      <c r="J45" s="74">
        <f t="shared" si="10"/>
        <v>10</v>
      </c>
      <c r="K45" s="25">
        <f t="shared" si="11"/>
        <v>3.1336250000000003</v>
      </c>
      <c r="L45">
        <f>INDEX(Univ!$E$6:$E$11,MATCH($D45,Univ!$A$6:$A$11,0))+INDEX(Univ!$E$13:$E$15,MATCH($E45,Univ!$A$13:$A$15,0))+INDEX(Univ!$E$24:$E$27,MATCH($C45,Univ!$A$24:$A$27,0))</f>
        <v>4</v>
      </c>
      <c r="M45">
        <f>INDEX(Univ!$B$6:$B$11,MATCH($D45,Univ!$A$6:$A$11,0))+INDEX(Univ!$B$13:$B$15,MATCH($E45,Univ!$A$13:$A$15,0))+INDEX(Univ!$B$24:$B$27,MATCH($C45,Univ!$A$24:$A$27,0))</f>
        <v>6</v>
      </c>
      <c r="N45">
        <f>INDEX(Univ!$D$6:$D$11,MATCH(D45,Univ!$A$6:$A$11,0))+INDEX(Univ!$D$13:$D$15,MATCH(E45,Univ!$A$13:$A$15,0))+INDEX(Univ!$D$24:$D$27,MATCH($C45,Univ!$A$24:$A$27,0))</f>
        <v>10</v>
      </c>
      <c r="O45">
        <f>INDEX(Univ!$H$6:$H$11,MATCH($D45,Univ!$A$6:$A$11,0))+INDEX(Univ!$H$13:$H$15,MATCH($E45,Univ!$A$13:$A$15,0))+INDEX(Univ!$H$24:$H$27,MATCH($C45,Univ!$A$24:$A$27,0))</f>
        <v>2.2000000000000002</v>
      </c>
      <c r="P45" s="29">
        <f>(INDEX(Univ!$G$6:$G$11,MATCH(D45,Univ!$A$6:$A$11,0))+INDEX(Univ!$G$13:$G$15,MATCH(E45,Univ!$A$13:$A$15,0))+INDEX(Univ!$G$24:$G$27,MATCH($C45,Univ!$A$24:$A$27,0)))*AV45*(1+AZ45)</f>
        <v>8.1529135896316246E-2</v>
      </c>
      <c r="Q45" s="3">
        <f t="shared" si="12"/>
        <v>0.53649999999999998</v>
      </c>
      <c r="R45" s="3">
        <f t="shared" si="13"/>
        <v>8.9416666666666658E-2</v>
      </c>
      <c r="S45" s="71">
        <f>FLOOR((Q45-Univ!$F$1)/Univ!$F$2-IF(T45&lt;0,T45,0),0.1)</f>
        <v>0.70000000000000007</v>
      </c>
      <c r="T45" s="65">
        <f>((INDEX(Univ!$F$6:$F$11,MATCH(D45,Univ!$A$6:$A$11,0))+INDEX(Univ!$F$13:$F$15,MATCH(E45,Univ!$A$13:$A$15,0))+INDEX(Univ!$F$24:$F$27,MATCH($C45,Univ!$A$24:$A$27,0)))*Univ!$D$2+Univ!$D$1-R45)/Univ!$D$2</f>
        <v>-0.86589022112690572</v>
      </c>
      <c r="U45" s="12">
        <v>0</v>
      </c>
      <c r="V45" s="12">
        <v>0</v>
      </c>
      <c r="W45" s="12">
        <v>0.25</v>
      </c>
      <c r="X45" s="12">
        <v>0.55000000000000004</v>
      </c>
      <c r="Y45" s="12">
        <v>0.45</v>
      </c>
      <c r="Z45" s="12">
        <v>0.85</v>
      </c>
      <c r="AA45" s="12">
        <v>0.1</v>
      </c>
      <c r="AB45" s="12">
        <v>0.01</v>
      </c>
      <c r="AC45" s="12">
        <v>0.05</v>
      </c>
      <c r="AD45" s="12">
        <v>0.01</v>
      </c>
      <c r="AE45" s="12">
        <v>0.15</v>
      </c>
      <c r="AF45" s="12">
        <v>0.1</v>
      </c>
      <c r="AG45" s="58">
        <f t="shared" si="14"/>
        <v>1</v>
      </c>
      <c r="AH45" s="60">
        <f t="shared" si="22"/>
        <v>0</v>
      </c>
      <c r="AI45" s="60">
        <f t="shared" si="23"/>
        <v>0.11249999999999999</v>
      </c>
      <c r="AJ45" s="60">
        <f t="shared" si="24"/>
        <v>6.7500000000000018E-2</v>
      </c>
      <c r="AK45" s="60">
        <f t="shared" si="25"/>
        <v>9.9000000000000005E-2</v>
      </c>
      <c r="AL45" s="60">
        <f t="shared" si="26"/>
        <v>4.9500000000000002E-2</v>
      </c>
      <c r="AM45" s="60">
        <f t="shared" si="27"/>
        <v>0.13500000000000001</v>
      </c>
      <c r="AN45" s="81">
        <v>0.27500000000000002</v>
      </c>
      <c r="AO45" s="82">
        <f>0.001+INDEX(Univ!$C$6:$C$11,MATCH(D45,Univ!$A$6:$A$11,0))*0.01+INDEX(Univ!$C$13:$C$15,MATCH(E45,Univ!$A$13:$A$15,0))*0.01+INDEX(Univ!$C$24:$C$27,MATCH($C45,Univ!$A$24:$A$27,0))*0.01+BA45</f>
        <v>1.0999999999999999E-2</v>
      </c>
      <c r="AP45" s="83">
        <f>U45*Univ!$B$17*IF(V45&gt;Univ!$C$17,1,V45/Univ!$C$17)</f>
        <v>0</v>
      </c>
      <c r="AQ45" s="83">
        <f>W45*Univ!$B$18*IF(X45&gt;Univ!$C$18,1,X45/Univ!$C$18)</f>
        <v>0.1875</v>
      </c>
      <c r="AR45" s="83">
        <f>Y45*Univ!$B$19*IF(Z45&gt;Univ!$C$19,1,Z45/Univ!$C$19)</f>
        <v>0.67500000000000004</v>
      </c>
      <c r="AS45" s="83">
        <f>AA45*Univ!$B$20*IF(AB45&gt;Univ!$C$20,1,AB45/Univ!$C$20)</f>
        <v>2.5000000000000001E-3</v>
      </c>
      <c r="AT45" s="83">
        <f>AC45*Univ!$B$21*IF(AD45&gt;Univ!$C$21,1,AD45/Univ!$C$21)</f>
        <v>4.5454545454545455E-4</v>
      </c>
      <c r="AU45" s="83">
        <f>AE45*Univ!$B$22*IF(AF45&gt;Univ!$C$22,1,AF45/Univ!$C$22)</f>
        <v>5.4545454545454543E-2</v>
      </c>
      <c r="AV45" s="83">
        <f t="shared" si="21"/>
        <v>0.95916630466254393</v>
      </c>
      <c r="AW45" s="21">
        <f t="shared" si="38"/>
        <v>0</v>
      </c>
      <c r="AX45" s="97">
        <f t="shared" si="39"/>
        <v>0</v>
      </c>
      <c r="AY45" s="22">
        <f t="shared" si="40"/>
        <v>0</v>
      </c>
      <c r="AZ45" s="98">
        <f t="shared" si="41"/>
        <v>0</v>
      </c>
      <c r="BA45" s="98">
        <f t="shared" si="42"/>
        <v>0</v>
      </c>
      <c r="BB45" s="98">
        <f t="shared" si="43"/>
        <v>0</v>
      </c>
      <c r="BC45" s="98">
        <f t="shared" si="44"/>
        <v>0</v>
      </c>
    </row>
    <row r="46" spans="1:55" x14ac:dyDescent="0.25">
      <c r="A46" t="str">
        <f>Stats!A46</f>
        <v>BOL</v>
      </c>
      <c r="B46" t="str">
        <f>Stats!B46</f>
        <v>The Great Bolivian Empire</v>
      </c>
      <c r="C46" t="s">
        <v>348</v>
      </c>
      <c r="D46" t="s">
        <v>223</v>
      </c>
      <c r="E46" t="s">
        <v>230</v>
      </c>
      <c r="F46" s="47" t="s">
        <v>237</v>
      </c>
      <c r="G46" s="58" t="str">
        <f t="shared" si="37"/>
        <v>Democrat</v>
      </c>
      <c r="H46" s="74">
        <f t="shared" si="8"/>
        <v>5</v>
      </c>
      <c r="I46" s="25">
        <f t="shared" si="9"/>
        <v>6.5</v>
      </c>
      <c r="J46" s="74">
        <f t="shared" si="10"/>
        <v>11</v>
      </c>
      <c r="K46" s="25">
        <f t="shared" si="11"/>
        <v>2.1740625000000002</v>
      </c>
      <c r="L46">
        <f>INDEX(Univ!$E$6:$E$11,MATCH($D46,Univ!$A$6:$A$11,0))+INDEX(Univ!$E$13:$E$15,MATCH($E46,Univ!$A$13:$A$15,0))+INDEX(Univ!$E$24:$E$27,MATCH($C46,Univ!$A$24:$A$27,0))</f>
        <v>5</v>
      </c>
      <c r="M46">
        <f>INDEX(Univ!$B$6:$B$11,MATCH($D46,Univ!$A$6:$A$11,0))+INDEX(Univ!$B$13:$B$15,MATCH($E46,Univ!$A$13:$A$15,0))+INDEX(Univ!$B$24:$B$27,MATCH($C46,Univ!$A$24:$A$27,0))</f>
        <v>9</v>
      </c>
      <c r="N46">
        <f>INDEX(Univ!$D$6:$D$11,MATCH(D46,Univ!$A$6:$A$11,0))+INDEX(Univ!$D$13:$D$15,MATCH(E46,Univ!$A$13:$A$15,0))+INDEX(Univ!$D$24:$D$27,MATCH($C46,Univ!$A$24:$A$27,0))</f>
        <v>11</v>
      </c>
      <c r="O46">
        <f>INDEX(Univ!$H$6:$H$11,MATCH($D46,Univ!$A$6:$A$11,0))+INDEX(Univ!$H$13:$H$15,MATCH($E46,Univ!$A$13:$A$15,0))+INDEX(Univ!$H$24:$H$27,MATCH($C46,Univ!$A$24:$A$27,0))</f>
        <v>1.5</v>
      </c>
      <c r="P46" s="29">
        <f>(INDEX(Univ!$G$6:$G$11,MATCH(D46,Univ!$A$6:$A$11,0))+INDEX(Univ!$G$13:$G$15,MATCH(E46,Univ!$A$13:$A$15,0))+INDEX(Univ!$G$24:$G$27,MATCH($C46,Univ!$A$24:$A$27,0)))*AV46*(1+AZ46)</f>
        <v>5.9034658541325613E-2</v>
      </c>
      <c r="Q46" s="3">
        <f t="shared" si="12"/>
        <v>0.55700000000000005</v>
      </c>
      <c r="R46" s="3">
        <f t="shared" si="13"/>
        <v>9.2833333333333337E-2</v>
      </c>
      <c r="S46" s="71">
        <f>FLOOR((Q46-Univ!$F$1)/Univ!$F$2-IF(T46&lt;0,T46,0),0.1)</f>
        <v>0</v>
      </c>
      <c r="T46" s="65">
        <f>((INDEX(Univ!$F$6:$F$11,MATCH(D46,Univ!$A$6:$A$11,0))+INDEX(Univ!$F$13:$F$15,MATCH(E46,Univ!$A$13:$A$15,0))+INDEX(Univ!$F$24:$F$27,MATCH($C46,Univ!$A$24:$A$27,0)))*Univ!$D$2+Univ!$D$1-R46)/Univ!$D$2</f>
        <v>2.9573483033381116</v>
      </c>
      <c r="U46" s="12">
        <v>0.15</v>
      </c>
      <c r="V46" s="12">
        <v>0.95</v>
      </c>
      <c r="W46" s="12">
        <v>0.45</v>
      </c>
      <c r="X46" s="12">
        <v>0.85</v>
      </c>
      <c r="Y46" s="12">
        <v>0.2</v>
      </c>
      <c r="Z46" s="12">
        <v>0.15</v>
      </c>
      <c r="AA46" s="12">
        <v>0</v>
      </c>
      <c r="AB46" s="12">
        <v>0</v>
      </c>
      <c r="AC46" s="12">
        <v>0.1</v>
      </c>
      <c r="AD46" s="12">
        <v>0.01</v>
      </c>
      <c r="AE46" s="12">
        <v>0.1</v>
      </c>
      <c r="AF46" s="12">
        <v>0.01</v>
      </c>
      <c r="AG46" s="58">
        <f t="shared" si="14"/>
        <v>1</v>
      </c>
      <c r="AH46" s="60">
        <f t="shared" si="22"/>
        <v>7.5000000000000067E-3</v>
      </c>
      <c r="AI46" s="60">
        <f t="shared" si="23"/>
        <v>6.7500000000000018E-2</v>
      </c>
      <c r="AJ46" s="60">
        <f t="shared" si="24"/>
        <v>0.17</v>
      </c>
      <c r="AK46" s="60">
        <f t="shared" si="25"/>
        <v>0</v>
      </c>
      <c r="AL46" s="60">
        <f t="shared" si="26"/>
        <v>9.9000000000000005E-2</v>
      </c>
      <c r="AM46" s="60">
        <f t="shared" si="27"/>
        <v>9.9000000000000005E-2</v>
      </c>
      <c r="AN46" s="81">
        <v>0.22500000000000001</v>
      </c>
      <c r="AO46" s="82">
        <f>0.001+INDEX(Univ!$C$6:$C$11,MATCH(D46,Univ!$A$6:$A$11,0))*0.01+INDEX(Univ!$C$13:$C$15,MATCH(E46,Univ!$A$13:$A$15,0))*0.01+INDEX(Univ!$C$24:$C$27,MATCH($C46,Univ!$A$24:$A$27,0))*0.01+BA46</f>
        <v>4.1000000000000002E-2</v>
      </c>
      <c r="AP46" s="83">
        <f>U46*Univ!$B$17*IF(V46&gt;Univ!$C$17,1,V46/Univ!$C$17)</f>
        <v>0.11249999999999999</v>
      </c>
      <c r="AQ46" s="83">
        <f>W46*Univ!$B$18*IF(X46&gt;Univ!$C$18,1,X46/Univ!$C$18)</f>
        <v>0.33750000000000002</v>
      </c>
      <c r="AR46" s="83">
        <f>Y46*Univ!$B$19*IF(Z46&gt;Univ!$C$19,1,Z46/Univ!$C$19)</f>
        <v>9.0000000000000011E-2</v>
      </c>
      <c r="AS46" s="83">
        <f>AA46*Univ!$B$20*IF(AB46&gt;Univ!$C$20,1,AB46/Univ!$C$20)</f>
        <v>0</v>
      </c>
      <c r="AT46" s="83">
        <f>AC46*Univ!$B$21*IF(AD46&gt;Univ!$C$21,1,AD46/Univ!$C$21)</f>
        <v>9.0909090909090909E-4</v>
      </c>
      <c r="AU46" s="83">
        <f>AE46*Univ!$B$22*IF(AF46&gt;Univ!$C$22,1,AF46/Univ!$C$22)</f>
        <v>3.6363636363636364E-3</v>
      </c>
      <c r="AV46" s="83">
        <f t="shared" si="21"/>
        <v>0.73793323176657011</v>
      </c>
      <c r="AW46" s="21">
        <f t="shared" si="38"/>
        <v>0</v>
      </c>
      <c r="AX46" s="97">
        <f t="shared" si="39"/>
        <v>0</v>
      </c>
      <c r="AY46" s="22">
        <f t="shared" si="40"/>
        <v>0</v>
      </c>
      <c r="AZ46" s="98">
        <f t="shared" si="41"/>
        <v>0</v>
      </c>
      <c r="BA46" s="98">
        <f t="shared" si="42"/>
        <v>0</v>
      </c>
      <c r="BB46" s="98">
        <f t="shared" si="43"/>
        <v>0</v>
      </c>
      <c r="BC46" s="98">
        <f t="shared" si="44"/>
        <v>0</v>
      </c>
    </row>
    <row r="47" spans="1:55" x14ac:dyDescent="0.25">
      <c r="A47" t="str">
        <f>Stats!A47</f>
        <v>PAN</v>
      </c>
      <c r="B47" t="str">
        <f>Stats!B47</f>
        <v>The Dominion of Panama</v>
      </c>
      <c r="C47" t="s">
        <v>346</v>
      </c>
      <c r="D47" t="s">
        <v>222</v>
      </c>
      <c r="E47" t="s">
        <v>229</v>
      </c>
      <c r="F47" s="47" t="s">
        <v>237</v>
      </c>
      <c r="G47" s="58" t="str">
        <f t="shared" si="37"/>
        <v>Anarchist</v>
      </c>
      <c r="H47" s="74">
        <f t="shared" si="8"/>
        <v>8</v>
      </c>
      <c r="I47" s="25">
        <f t="shared" si="9"/>
        <v>4</v>
      </c>
      <c r="J47" s="74">
        <f t="shared" si="10"/>
        <v>11</v>
      </c>
      <c r="K47" s="25">
        <f t="shared" si="11"/>
        <v>2.2752499999999998</v>
      </c>
      <c r="L47">
        <f>INDEX(Univ!$E$6:$E$11,MATCH($D47,Univ!$A$6:$A$11,0))+INDEX(Univ!$E$13:$E$15,MATCH($E47,Univ!$A$13:$A$15,0))+INDEX(Univ!$E$24:$E$27,MATCH($C47,Univ!$A$24:$A$27,0))</f>
        <v>9</v>
      </c>
      <c r="M47">
        <f>INDEX(Univ!$B$6:$B$11,MATCH($D47,Univ!$A$6:$A$11,0))+INDEX(Univ!$B$13:$B$15,MATCH($E47,Univ!$A$13:$A$15,0))+INDEX(Univ!$B$24:$B$27,MATCH($C47,Univ!$A$24:$A$27,0))</f>
        <v>4</v>
      </c>
      <c r="N47">
        <f>INDEX(Univ!$D$6:$D$11,MATCH(D47,Univ!$A$6:$A$11,0))+INDEX(Univ!$D$13:$D$15,MATCH(E47,Univ!$A$13:$A$15,0))+INDEX(Univ!$D$24:$D$27,MATCH($C47,Univ!$A$24:$A$27,0))</f>
        <v>12</v>
      </c>
      <c r="O47">
        <f>INDEX(Univ!$H$6:$H$11,MATCH($D47,Univ!$A$6:$A$11,0))+INDEX(Univ!$H$13:$H$15,MATCH($E47,Univ!$A$13:$A$15,0))+INDEX(Univ!$H$24:$H$27,MATCH($C47,Univ!$A$24:$A$27,0))</f>
        <v>1.9</v>
      </c>
      <c r="P47" s="29">
        <f>(INDEX(Univ!$G$6:$G$11,MATCH(D47,Univ!$A$6:$A$11,0))+INDEX(Univ!$G$13:$G$15,MATCH(E47,Univ!$A$13:$A$15,0))+INDEX(Univ!$G$24:$G$27,MATCH($C47,Univ!$A$24:$A$27,0)))*AV47*(1+AZ47)</f>
        <v>8.670499225429977E-2</v>
      </c>
      <c r="Q47" s="3">
        <f t="shared" si="12"/>
        <v>0.49000000000000005</v>
      </c>
      <c r="R47" s="3">
        <f t="shared" si="13"/>
        <v>8.1666666666666679E-2</v>
      </c>
      <c r="S47" s="71">
        <f>FLOOR((Q47-Univ!$F$1)/Univ!$F$2-IF(T47&lt;0,T47,0),0.1)</f>
        <v>-0.60000000000000009</v>
      </c>
      <c r="T47" s="65">
        <f>((INDEX(Univ!$F$6:$F$11,MATCH(D47,Univ!$A$6:$A$11,0))+INDEX(Univ!$F$13:$F$15,MATCH(E47,Univ!$A$13:$A$15,0))+INDEX(Univ!$F$24:$F$27,MATCH($C47,Univ!$A$24:$A$27,0)))*Univ!$D$2+Univ!$D$1-R47)/Univ!$D$2</f>
        <v>3.5056540452442241E-2</v>
      </c>
      <c r="U47" s="12">
        <v>0</v>
      </c>
      <c r="V47" s="12">
        <v>0</v>
      </c>
      <c r="W47" s="12">
        <v>0.55000000000000004</v>
      </c>
      <c r="X47" s="12">
        <v>0.85</v>
      </c>
      <c r="Y47" s="12">
        <v>0.1</v>
      </c>
      <c r="Z47" s="12">
        <v>0.1</v>
      </c>
      <c r="AA47" s="12">
        <v>0</v>
      </c>
      <c r="AB47" s="12">
        <v>0.1</v>
      </c>
      <c r="AC47" s="12">
        <v>0.25</v>
      </c>
      <c r="AD47" s="12">
        <v>0.01</v>
      </c>
      <c r="AE47" s="12">
        <v>0.1</v>
      </c>
      <c r="AF47" s="12">
        <v>0.1</v>
      </c>
      <c r="AG47" s="58">
        <f t="shared" si="14"/>
        <v>1</v>
      </c>
      <c r="AH47" s="60">
        <f t="shared" si="22"/>
        <v>0</v>
      </c>
      <c r="AI47" s="60">
        <f t="shared" si="23"/>
        <v>8.2500000000000018E-2</v>
      </c>
      <c r="AJ47" s="60">
        <f t="shared" si="24"/>
        <v>9.0000000000000011E-2</v>
      </c>
      <c r="AK47" s="60">
        <f t="shared" si="25"/>
        <v>0</v>
      </c>
      <c r="AL47" s="60">
        <f t="shared" si="26"/>
        <v>0.2475</v>
      </c>
      <c r="AM47" s="60">
        <f t="shared" si="27"/>
        <v>9.0000000000000011E-2</v>
      </c>
      <c r="AN47" s="81">
        <v>0.55000000000000004</v>
      </c>
      <c r="AO47" s="82">
        <f>0.001+INDEX(Univ!$C$6:$C$11,MATCH(D47,Univ!$A$6:$A$11,0))*0.01+INDEX(Univ!$C$13:$C$15,MATCH(E47,Univ!$A$13:$A$15,0))*0.01+INDEX(Univ!$C$24:$C$27,MATCH($C47,Univ!$A$24:$A$27,0))*0.01+BA47</f>
        <v>3.0999999999999996E-2</v>
      </c>
      <c r="AP47" s="83">
        <f>U47*Univ!$B$17*IF(V47&gt;Univ!$C$17,1,V47/Univ!$C$17)</f>
        <v>0</v>
      </c>
      <c r="AQ47" s="83">
        <f>W47*Univ!$B$18*IF(X47&gt;Univ!$C$18,1,X47/Univ!$C$18)</f>
        <v>0.41250000000000003</v>
      </c>
      <c r="AR47" s="83">
        <f>Y47*Univ!$B$19*IF(Z47&gt;Univ!$C$19,1,Z47/Univ!$C$19)</f>
        <v>3.0000000000000006E-2</v>
      </c>
      <c r="AS47" s="83">
        <f>AA47*Univ!$B$20*IF(AB47&gt;Univ!$C$20,1,AB47/Univ!$C$20)</f>
        <v>0</v>
      </c>
      <c r="AT47" s="83">
        <f>AC47*Univ!$B$21*IF(AD47&gt;Univ!$C$21,1,AD47/Univ!$C$21)</f>
        <v>2.2727272727272726E-3</v>
      </c>
      <c r="AU47" s="83">
        <f>AE47*Univ!$B$22*IF(AF47&gt;Univ!$C$22,1,AF47/Univ!$C$22)</f>
        <v>3.6363636363636369E-2</v>
      </c>
      <c r="AV47" s="83">
        <f t="shared" si="21"/>
        <v>0.69363993803439816</v>
      </c>
      <c r="AW47" s="21">
        <f t="shared" si="38"/>
        <v>0</v>
      </c>
      <c r="AX47" s="97">
        <f t="shared" si="39"/>
        <v>0</v>
      </c>
      <c r="AY47" s="22">
        <f t="shared" si="40"/>
        <v>0</v>
      </c>
      <c r="AZ47" s="98">
        <f t="shared" si="41"/>
        <v>0</v>
      </c>
      <c r="BA47" s="98">
        <f t="shared" si="42"/>
        <v>0</v>
      </c>
      <c r="BB47" s="98">
        <f t="shared" si="43"/>
        <v>0</v>
      </c>
      <c r="BC47" s="98">
        <f t="shared" si="44"/>
        <v>0</v>
      </c>
    </row>
    <row r="48" spans="1:55" x14ac:dyDescent="0.25">
      <c r="A48" t="str">
        <f>Stats!A48</f>
        <v>VER</v>
      </c>
      <c r="B48" t="str">
        <f>Stats!B48</f>
        <v>The Emergency State of Veracruz</v>
      </c>
      <c r="C48" t="s">
        <v>346</v>
      </c>
      <c r="D48" t="s">
        <v>222</v>
      </c>
      <c r="E48" t="s">
        <v>229</v>
      </c>
      <c r="F48" s="47" t="s">
        <v>237</v>
      </c>
      <c r="G48" s="58" t="str">
        <f t="shared" si="37"/>
        <v>Democrat</v>
      </c>
      <c r="H48" s="74">
        <f t="shared" si="8"/>
        <v>8</v>
      </c>
      <c r="I48" s="25">
        <f t="shared" si="9"/>
        <v>3.5</v>
      </c>
      <c r="J48" s="74">
        <f t="shared" si="10"/>
        <v>10</v>
      </c>
      <c r="K48" s="25">
        <f t="shared" si="11"/>
        <v>2.2752499999999998</v>
      </c>
      <c r="L48">
        <f>INDEX(Univ!$E$6:$E$11,MATCH($D48,Univ!$A$6:$A$11,0))+INDEX(Univ!$E$13:$E$15,MATCH($E48,Univ!$A$13:$A$15,0))+INDEX(Univ!$E$24:$E$27,MATCH($C48,Univ!$A$24:$A$27,0))</f>
        <v>9</v>
      </c>
      <c r="M48">
        <f>INDEX(Univ!$B$6:$B$11,MATCH($D48,Univ!$A$6:$A$11,0))+INDEX(Univ!$B$13:$B$15,MATCH($E48,Univ!$A$13:$A$15,0))+INDEX(Univ!$B$24:$B$27,MATCH($C48,Univ!$A$24:$A$27,0))</f>
        <v>4</v>
      </c>
      <c r="N48">
        <f>INDEX(Univ!$D$6:$D$11,MATCH(D48,Univ!$A$6:$A$11,0))+INDEX(Univ!$D$13:$D$15,MATCH(E48,Univ!$A$13:$A$15,0))+INDEX(Univ!$D$24:$D$27,MATCH($C48,Univ!$A$24:$A$27,0))</f>
        <v>12</v>
      </c>
      <c r="O48">
        <f>INDEX(Univ!$H$6:$H$11,MATCH($D48,Univ!$A$6:$A$11,0))+INDEX(Univ!$H$13:$H$15,MATCH($E48,Univ!$A$13:$A$15,0))+INDEX(Univ!$H$24:$H$27,MATCH($C48,Univ!$A$24:$A$27,0))</f>
        <v>1.9</v>
      </c>
      <c r="P48" s="29">
        <f>(INDEX(Univ!$G$6:$G$11,MATCH(D48,Univ!$A$6:$A$11,0))+INDEX(Univ!$G$13:$G$15,MATCH(E48,Univ!$A$13:$A$15,0))+INDEX(Univ!$G$24:$G$27,MATCH($C48,Univ!$A$24:$A$27,0)))*AV48*(1+AZ48)</f>
        <v>9.1176807507571372E-2</v>
      </c>
      <c r="Q48" s="3">
        <f t="shared" ref="Q48:Q60" si="45">U48*V48+W48*X48+Y48*Z48+AA48*AB48+AC48*AD48+AE48*AF48</f>
        <v>0.39300000000000002</v>
      </c>
      <c r="R48" s="3">
        <f t="shared" ref="R48:R60" si="46">AVERAGE(U48*V48,W48*X48,Y48*Z48,AA48*AB48,AC48*AD48,AE48*AF48)</f>
        <v>6.5500000000000003E-2</v>
      </c>
      <c r="S48" s="71">
        <f>FLOOR((Q48-Univ!$F$1)/Univ!$F$2-IF(T48&lt;0,T48,0),0.1)</f>
        <v>-1.4000000000000001</v>
      </c>
      <c r="T48" s="65">
        <f>((INDEX(Univ!$F$6:$F$11,MATCH(D48,Univ!$A$6:$A$11,0))+INDEX(Univ!$F$13:$F$15,MATCH(E48,Univ!$A$13:$A$15,0))+INDEX(Univ!$F$24:$F$27,MATCH($C48,Univ!$A$24:$A$27,0)))*Univ!$D$2+Univ!$D$1-R48)/Univ!$D$2</f>
        <v>0.87144010761796686</v>
      </c>
      <c r="U48" s="12">
        <v>0.05</v>
      </c>
      <c r="V48" s="12">
        <v>0.35</v>
      </c>
      <c r="W48" s="12">
        <v>0.35</v>
      </c>
      <c r="X48" s="12">
        <v>0.85</v>
      </c>
      <c r="Y48" s="12">
        <v>0.3</v>
      </c>
      <c r="Z48" s="12">
        <v>0.25</v>
      </c>
      <c r="AA48" s="12">
        <v>0.1</v>
      </c>
      <c r="AB48" s="12">
        <v>0.01</v>
      </c>
      <c r="AC48" s="12">
        <v>0.1</v>
      </c>
      <c r="AD48" s="12">
        <v>0.01</v>
      </c>
      <c r="AE48" s="12">
        <v>0.1</v>
      </c>
      <c r="AF48" s="12">
        <v>0.01</v>
      </c>
      <c r="AG48" s="58">
        <f t="shared" ref="AG48:AG60" si="47">U48+W48+Y48+AA48+AC48+AE48</f>
        <v>0.99999999999999989</v>
      </c>
      <c r="AH48" s="60">
        <f t="shared" ref="AH48:AH60" si="48">U48*(1-V48)</f>
        <v>3.2500000000000001E-2</v>
      </c>
      <c r="AI48" s="60">
        <f t="shared" ref="AI48:AI60" si="49">W48*(1-X48)</f>
        <v>5.2500000000000005E-2</v>
      </c>
      <c r="AJ48" s="60">
        <f t="shared" ref="AJ48:AJ60" si="50">Y48*(1-Z48)</f>
        <v>0.22499999999999998</v>
      </c>
      <c r="AK48" s="60">
        <f t="shared" ref="AK48:AK60" si="51">AA48*(1-AB48)</f>
        <v>9.9000000000000005E-2</v>
      </c>
      <c r="AL48" s="60">
        <f t="shared" ref="AL48:AL60" si="52">AC48*(1-AD48)</f>
        <v>9.9000000000000005E-2</v>
      </c>
      <c r="AM48" s="60">
        <f t="shared" ref="AM48:AM60" si="53">AE48*(1-AF48)</f>
        <v>9.9000000000000005E-2</v>
      </c>
      <c r="AN48" s="81">
        <v>0.55000000000000004</v>
      </c>
      <c r="AO48" s="82">
        <f>0.001+INDEX(Univ!$C$6:$C$11,MATCH(D48,Univ!$A$6:$A$11,0))*0.01+INDEX(Univ!$C$13:$C$15,MATCH(E48,Univ!$A$13:$A$15,0))*0.01+INDEX(Univ!$C$24:$C$27,MATCH($C48,Univ!$A$24:$A$27,0))*0.01+BA48</f>
        <v>3.0999999999999996E-2</v>
      </c>
      <c r="AP48" s="83">
        <f>U48*Univ!$B$17*IF(V48&gt;Univ!$C$17,1,V48/Univ!$C$17)</f>
        <v>3.7500000000000006E-2</v>
      </c>
      <c r="AQ48" s="83">
        <f>W48*Univ!$B$18*IF(X48&gt;Univ!$C$18,1,X48/Univ!$C$18)</f>
        <v>0.26249999999999996</v>
      </c>
      <c r="AR48" s="83">
        <f>Y48*Univ!$B$19*IF(Z48&gt;Univ!$C$19,1,Z48/Univ!$C$19)</f>
        <v>0.22499999999999998</v>
      </c>
      <c r="AS48" s="83">
        <f>AA48*Univ!$B$20*IF(AB48&gt;Univ!$C$20,1,AB48/Univ!$C$20)</f>
        <v>2.5000000000000001E-3</v>
      </c>
      <c r="AT48" s="83">
        <f>AC48*Univ!$B$21*IF(AD48&gt;Univ!$C$21,1,AD48/Univ!$C$21)</f>
        <v>9.0909090909090909E-4</v>
      </c>
      <c r="AU48" s="83">
        <f>AE48*Univ!$B$22*IF(AF48&gt;Univ!$C$22,1,AF48/Univ!$C$22)</f>
        <v>3.6363636363636364E-3</v>
      </c>
      <c r="AV48" s="83">
        <f t="shared" si="21"/>
        <v>0.72941446006057098</v>
      </c>
      <c r="AW48" s="21">
        <f t="shared" si="38"/>
        <v>0</v>
      </c>
      <c r="AX48" s="97">
        <f t="shared" si="39"/>
        <v>0</v>
      </c>
      <c r="AY48" s="22">
        <f t="shared" si="40"/>
        <v>0</v>
      </c>
      <c r="AZ48" s="98">
        <f t="shared" si="41"/>
        <v>0</v>
      </c>
      <c r="BA48" s="98">
        <f t="shared" si="42"/>
        <v>0</v>
      </c>
      <c r="BB48" s="98">
        <f t="shared" si="43"/>
        <v>0</v>
      </c>
      <c r="BC48" s="98">
        <f t="shared" si="44"/>
        <v>0</v>
      </c>
    </row>
    <row r="49" spans="1:55" x14ac:dyDescent="0.25">
      <c r="A49" t="str">
        <f>Stats!A49</f>
        <v>SON</v>
      </c>
      <c r="B49" t="str">
        <f>Stats!B49</f>
        <v>The State of Sonora</v>
      </c>
      <c r="C49" t="s">
        <v>346</v>
      </c>
      <c r="D49" t="s">
        <v>223</v>
      </c>
      <c r="E49" t="s">
        <v>229</v>
      </c>
      <c r="F49" s="47" t="s">
        <v>250</v>
      </c>
      <c r="G49" s="58" t="str">
        <f t="shared" si="37"/>
        <v>Anarchist</v>
      </c>
      <c r="H49" s="74">
        <f t="shared" si="8"/>
        <v>8</v>
      </c>
      <c r="I49" s="25">
        <f t="shared" si="9"/>
        <v>5</v>
      </c>
      <c r="J49" s="74">
        <f t="shared" si="10"/>
        <v>11</v>
      </c>
      <c r="K49" s="25">
        <f t="shared" si="11"/>
        <v>2.2752499999999998</v>
      </c>
      <c r="L49">
        <f>INDEX(Univ!$E$6:$E$11,MATCH($D49,Univ!$A$6:$A$11,0))+INDEX(Univ!$E$13:$E$15,MATCH($E49,Univ!$A$13:$A$15,0))+INDEX(Univ!$E$24:$E$27,MATCH($C49,Univ!$A$24:$A$27,0))</f>
        <v>8</v>
      </c>
      <c r="M49">
        <f>INDEX(Univ!$B$6:$B$11,MATCH($D49,Univ!$A$6:$A$11,0))+INDEX(Univ!$B$13:$B$15,MATCH($E49,Univ!$A$13:$A$15,0))+INDEX(Univ!$B$24:$B$27,MATCH($C49,Univ!$A$24:$A$27,0))</f>
        <v>4</v>
      </c>
      <c r="N49">
        <f>INDEX(Univ!$D$6:$D$11,MATCH(D49,Univ!$A$6:$A$11,0))+INDEX(Univ!$D$13:$D$15,MATCH(E49,Univ!$A$13:$A$15,0))+INDEX(Univ!$D$24:$D$27,MATCH($C49,Univ!$A$24:$A$27,0))</f>
        <v>11</v>
      </c>
      <c r="O49">
        <f>INDEX(Univ!$H$6:$H$11,MATCH($D49,Univ!$A$6:$A$11,0))+INDEX(Univ!$H$13:$H$15,MATCH($E49,Univ!$A$13:$A$15,0))+INDEX(Univ!$H$24:$H$27,MATCH($C49,Univ!$A$24:$A$27,0))</f>
        <v>1.9</v>
      </c>
      <c r="P49" s="29">
        <f>(INDEX(Univ!$G$6:$G$11,MATCH(D49,Univ!$A$6:$A$11,0))+INDEX(Univ!$G$13:$G$15,MATCH(E49,Univ!$A$13:$A$15,0))+INDEX(Univ!$G$24:$G$27,MATCH($C49,Univ!$A$24:$A$27,0)))*AV49*(1+AZ49)</f>
        <v>0.10814384360235633</v>
      </c>
      <c r="Q49" s="3">
        <f t="shared" si="45"/>
        <v>0.499</v>
      </c>
      <c r="R49" s="3">
        <f t="shared" si="46"/>
        <v>8.3166666666666667E-2</v>
      </c>
      <c r="S49" s="71">
        <f>FLOOR((Q49-Univ!$F$1)/Univ!$F$2-IF(T49&lt;0,T49,0),0.1)</f>
        <v>0</v>
      </c>
      <c r="T49" s="65">
        <f>((INDEX(Univ!$F$6:$F$11,MATCH(D49,Univ!$A$6:$A$11,0))+INDEX(Univ!$F$13:$F$15,MATCH(E49,Univ!$A$13:$A$15,0))+INDEX(Univ!$F$24:$F$27,MATCH($C49,Univ!$A$24:$A$27,0)))*Univ!$D$2+Univ!$D$1-R49)/Univ!$D$2</f>
        <v>-0.54254605856291482</v>
      </c>
      <c r="U49" s="12">
        <v>0.1</v>
      </c>
      <c r="V49" s="12">
        <v>0.45</v>
      </c>
      <c r="W49" s="12">
        <v>0.3</v>
      </c>
      <c r="X49" s="12">
        <v>0.9</v>
      </c>
      <c r="Y49" s="12">
        <v>0.3</v>
      </c>
      <c r="Z49" s="12">
        <v>0.55000000000000004</v>
      </c>
      <c r="AA49" s="12">
        <v>0.05</v>
      </c>
      <c r="AB49" s="12">
        <v>0.05</v>
      </c>
      <c r="AC49" s="12">
        <v>0.15</v>
      </c>
      <c r="AD49" s="12">
        <v>0.01</v>
      </c>
      <c r="AE49" s="12">
        <v>0.1</v>
      </c>
      <c r="AF49" s="12">
        <v>0.15</v>
      </c>
      <c r="AG49" s="58">
        <f t="shared" si="47"/>
        <v>1</v>
      </c>
      <c r="AH49" s="60">
        <f t="shared" si="48"/>
        <v>5.5000000000000007E-2</v>
      </c>
      <c r="AI49" s="60">
        <f t="shared" si="49"/>
        <v>2.9999999999999992E-2</v>
      </c>
      <c r="AJ49" s="60">
        <f t="shared" si="50"/>
        <v>0.13499999999999998</v>
      </c>
      <c r="AK49" s="60">
        <f t="shared" si="51"/>
        <v>4.7500000000000001E-2</v>
      </c>
      <c r="AL49" s="60">
        <f t="shared" si="52"/>
        <v>0.14849999999999999</v>
      </c>
      <c r="AM49" s="60">
        <f t="shared" si="53"/>
        <v>8.5000000000000006E-2</v>
      </c>
      <c r="AN49" s="81">
        <v>0.55000000000000004</v>
      </c>
      <c r="AO49" s="82">
        <f>0.001+INDEX(Univ!$C$6:$C$11,MATCH(D49,Univ!$A$6:$A$11,0))*0.01+INDEX(Univ!$C$13:$C$15,MATCH(E49,Univ!$A$13:$A$15,0))*0.01+INDEX(Univ!$C$24:$C$27,MATCH($C49,Univ!$A$24:$A$27,0))*0.01+BA49</f>
        <v>2.1000000000000001E-2</v>
      </c>
      <c r="AP49" s="83">
        <f>U49*Univ!$B$17*IF(V49&gt;Univ!$C$17,1,V49/Univ!$C$17)</f>
        <v>7.5000000000000011E-2</v>
      </c>
      <c r="AQ49" s="83">
        <f>W49*Univ!$B$18*IF(X49&gt;Univ!$C$18,1,X49/Univ!$C$18)</f>
        <v>0.22499999999999998</v>
      </c>
      <c r="AR49" s="83">
        <f>Y49*Univ!$B$19*IF(Z49&gt;Univ!$C$19,1,Z49/Univ!$C$19)</f>
        <v>0.44999999999999996</v>
      </c>
      <c r="AS49" s="83">
        <f>AA49*Univ!$B$20*IF(AB49&gt;Univ!$C$20,1,AB49/Univ!$C$20)</f>
        <v>6.2500000000000003E-3</v>
      </c>
      <c r="AT49" s="83">
        <f>AC49*Univ!$B$21*IF(AD49&gt;Univ!$C$21,1,AD49/Univ!$C$21)</f>
        <v>1.3636363636363635E-3</v>
      </c>
      <c r="AU49" s="83">
        <f>AE49*Univ!$B$22*IF(AF49&gt;Univ!$C$22,1,AF49/Univ!$C$22)</f>
        <v>5.4545454545454543E-2</v>
      </c>
      <c r="AV49" s="83">
        <f t="shared" si="21"/>
        <v>0.90119869668630281</v>
      </c>
      <c r="AW49" s="21">
        <f t="shared" si="38"/>
        <v>0</v>
      </c>
      <c r="AX49" s="97">
        <f t="shared" si="39"/>
        <v>0</v>
      </c>
      <c r="AY49" s="22">
        <f t="shared" si="40"/>
        <v>0</v>
      </c>
      <c r="AZ49" s="98">
        <f t="shared" si="41"/>
        <v>0</v>
      </c>
      <c r="BA49" s="98">
        <f t="shared" si="42"/>
        <v>0</v>
      </c>
      <c r="BB49" s="98">
        <f t="shared" si="43"/>
        <v>0</v>
      </c>
      <c r="BC49" s="98">
        <f t="shared" si="44"/>
        <v>0</v>
      </c>
    </row>
    <row r="50" spans="1:55" x14ac:dyDescent="0.25">
      <c r="A50" t="str">
        <f>Stats!A50</f>
        <v>RAD</v>
      </c>
      <c r="B50" t="str">
        <f>Stats!B50</f>
        <v>The Raiders of Zacatecas</v>
      </c>
      <c r="C50" t="s">
        <v>346</v>
      </c>
      <c r="D50" t="s">
        <v>227</v>
      </c>
      <c r="E50" t="s">
        <v>229</v>
      </c>
      <c r="F50" s="47" t="s">
        <v>235</v>
      </c>
      <c r="G50" s="58" t="str">
        <f t="shared" si="37"/>
        <v>Democrat</v>
      </c>
      <c r="H50" s="74">
        <f t="shared" si="8"/>
        <v>5</v>
      </c>
      <c r="I50" s="25">
        <f t="shared" si="9"/>
        <v>4</v>
      </c>
      <c r="J50" s="74">
        <f t="shared" si="10"/>
        <v>5</v>
      </c>
      <c r="K50" s="25">
        <f t="shared" si="11"/>
        <v>3.3530000000000002</v>
      </c>
      <c r="L50">
        <f>INDEX(Univ!$E$6:$E$11,MATCH($D50,Univ!$A$6:$A$11,0))+INDEX(Univ!$E$13:$E$15,MATCH($E50,Univ!$A$13:$A$15,0))+INDEX(Univ!$E$24:$E$27,MATCH($C50,Univ!$A$24:$A$27,0))</f>
        <v>5</v>
      </c>
      <c r="M50">
        <f>INDEX(Univ!$B$6:$B$11,MATCH($D50,Univ!$A$6:$A$11,0))+INDEX(Univ!$B$13:$B$15,MATCH($E50,Univ!$A$13:$A$15,0))+INDEX(Univ!$B$24:$B$27,MATCH($C50,Univ!$A$24:$A$27,0))</f>
        <v>2</v>
      </c>
      <c r="N50">
        <f>INDEX(Univ!$D$6:$D$11,MATCH(D50,Univ!$A$6:$A$11,0))+INDEX(Univ!$D$13:$D$15,MATCH(E50,Univ!$A$13:$A$15,0))+INDEX(Univ!$D$24:$D$27,MATCH($C50,Univ!$A$24:$A$27,0))</f>
        <v>5</v>
      </c>
      <c r="O50">
        <f>INDEX(Univ!$H$6:$H$11,MATCH($D50,Univ!$A$6:$A$11,0))+INDEX(Univ!$H$13:$H$15,MATCH($E50,Univ!$A$13:$A$15,0))+INDEX(Univ!$H$24:$H$27,MATCH($C50,Univ!$A$24:$A$27,0))</f>
        <v>2.8000000000000003</v>
      </c>
      <c r="P50" s="29">
        <f>(INDEX(Univ!$G$6:$G$11,MATCH(D50,Univ!$A$6:$A$11,0))+INDEX(Univ!$G$13:$G$15,MATCH(E50,Univ!$A$13:$A$15,0))+INDEX(Univ!$G$24:$G$27,MATCH($C50,Univ!$A$24:$A$27,0)))*AV50*(1+AZ50)</f>
        <v>7.1945370689408247E-2</v>
      </c>
      <c r="Q50" s="3">
        <f t="shared" si="45"/>
        <v>0.35449999999999998</v>
      </c>
      <c r="R50" s="3">
        <f t="shared" si="46"/>
        <v>5.9083333333333328E-2</v>
      </c>
      <c r="S50" s="71">
        <f>FLOOR((Q50-Univ!$F$1)/Univ!$F$2-IF(T50&lt;0,T50,0),0.1)</f>
        <v>0</v>
      </c>
      <c r="T50" s="65">
        <f>((INDEX(Univ!$F$6:$F$11,MATCH(D50,Univ!$A$6:$A$11,0))+INDEX(Univ!$F$13:$F$15,MATCH(E50,Univ!$A$13:$A$15,0))+INDEX(Univ!$F$24:$F$27,MATCH($C50,Univ!$A$24:$A$27,0)))*Univ!$D$2+Univ!$D$1-R50)/Univ!$D$2</f>
        <v>-1.7965932188163354</v>
      </c>
      <c r="U50" s="12">
        <v>0.1</v>
      </c>
      <c r="V50" s="12">
        <v>0.2</v>
      </c>
      <c r="W50" s="12">
        <v>0.15</v>
      </c>
      <c r="X50" s="12">
        <v>0.2</v>
      </c>
      <c r="Y50" s="12">
        <v>0.3</v>
      </c>
      <c r="Z50" s="12">
        <v>0.2</v>
      </c>
      <c r="AA50" s="12">
        <v>0.05</v>
      </c>
      <c r="AB50" s="12">
        <v>0.01</v>
      </c>
      <c r="AC50" s="12">
        <v>0.3</v>
      </c>
      <c r="AD50" s="12">
        <v>0.78</v>
      </c>
      <c r="AE50" s="12">
        <v>0.1</v>
      </c>
      <c r="AF50" s="12">
        <v>0.1</v>
      </c>
      <c r="AG50" s="58">
        <f t="shared" si="47"/>
        <v>1.0000000000000002</v>
      </c>
      <c r="AH50" s="60">
        <f t="shared" si="48"/>
        <v>8.0000000000000016E-2</v>
      </c>
      <c r="AI50" s="60">
        <f t="shared" si="49"/>
        <v>0.12</v>
      </c>
      <c r="AJ50" s="60">
        <f t="shared" si="50"/>
        <v>0.24</v>
      </c>
      <c r="AK50" s="60">
        <f t="shared" si="51"/>
        <v>4.9500000000000002E-2</v>
      </c>
      <c r="AL50" s="60">
        <f t="shared" si="52"/>
        <v>6.5999999999999989E-2</v>
      </c>
      <c r="AM50" s="60">
        <f t="shared" si="53"/>
        <v>9.0000000000000011E-2</v>
      </c>
      <c r="AN50" s="81">
        <v>0.55000000000000004</v>
      </c>
      <c r="AO50" s="82">
        <f>0.001+INDEX(Univ!$C$6:$C$11,MATCH(D50,Univ!$A$6:$A$11,0))*0.01+INDEX(Univ!$C$13:$C$15,MATCH(E50,Univ!$A$13:$A$15,0))*0.01+INDEX(Univ!$C$24:$C$27,MATCH($C50,Univ!$A$24:$A$27,0))*0.01+BA50</f>
        <v>-1.9E-2</v>
      </c>
      <c r="AP50" s="83">
        <f>U50*Univ!$B$17*IF(V50&gt;Univ!$C$17,1,V50/Univ!$C$17)</f>
        <v>6.0000000000000012E-2</v>
      </c>
      <c r="AQ50" s="83">
        <f>W50*Univ!$B$18*IF(X50&gt;Univ!$C$18,1,X50/Univ!$C$18)</f>
        <v>0.09</v>
      </c>
      <c r="AR50" s="83">
        <f>Y50*Univ!$B$19*IF(Z50&gt;Univ!$C$19,1,Z50/Univ!$C$19)</f>
        <v>0.18</v>
      </c>
      <c r="AS50" s="83">
        <f>AA50*Univ!$B$20*IF(AB50&gt;Univ!$C$20,1,AB50/Univ!$C$20)</f>
        <v>1.25E-3</v>
      </c>
      <c r="AT50" s="83">
        <f>AC50*Univ!$B$21*IF(AD50&gt;Univ!$C$21,1,AD50/Univ!$C$21)</f>
        <v>0.15</v>
      </c>
      <c r="AU50" s="83">
        <f>AE50*Univ!$B$22*IF(AF50&gt;Univ!$C$22,1,AF50/Univ!$C$22)</f>
        <v>3.6363636363636369E-2</v>
      </c>
      <c r="AV50" s="83">
        <f t="shared" si="21"/>
        <v>0.7194537068940825</v>
      </c>
      <c r="AW50" s="21">
        <f t="shared" si="38"/>
        <v>0</v>
      </c>
      <c r="AX50" s="97">
        <f t="shared" si="39"/>
        <v>0</v>
      </c>
      <c r="AY50" s="22">
        <f t="shared" si="40"/>
        <v>0</v>
      </c>
      <c r="AZ50" s="98">
        <f t="shared" si="41"/>
        <v>0</v>
      </c>
      <c r="BA50" s="98">
        <f t="shared" si="42"/>
        <v>0</v>
      </c>
      <c r="BB50" s="98">
        <f t="shared" si="43"/>
        <v>0</v>
      </c>
      <c r="BC50" s="98">
        <f t="shared" si="44"/>
        <v>0</v>
      </c>
    </row>
    <row r="51" spans="1:55" x14ac:dyDescent="0.25">
      <c r="A51" t="str">
        <f>Stats!A51</f>
        <v>RIO</v>
      </c>
      <c r="B51" t="str">
        <f>Stats!B51</f>
        <v>The State of the Rio Grande</v>
      </c>
      <c r="C51" t="s">
        <v>346</v>
      </c>
      <c r="D51" t="s">
        <v>222</v>
      </c>
      <c r="E51" t="s">
        <v>229</v>
      </c>
      <c r="F51" s="47" t="s">
        <v>250</v>
      </c>
      <c r="G51" s="58" t="str">
        <f t="shared" si="37"/>
        <v>Democrat</v>
      </c>
      <c r="H51" s="74">
        <f t="shared" si="8"/>
        <v>8</v>
      </c>
      <c r="I51" s="25">
        <f t="shared" si="9"/>
        <v>3.5</v>
      </c>
      <c r="J51" s="74">
        <f t="shared" si="10"/>
        <v>10</v>
      </c>
      <c r="K51" s="25">
        <f t="shared" si="11"/>
        <v>2.2752499999999998</v>
      </c>
      <c r="L51">
        <f>INDEX(Univ!$E$6:$E$11,MATCH($D51,Univ!$A$6:$A$11,0))+INDEX(Univ!$E$13:$E$15,MATCH($E51,Univ!$A$13:$A$15,0))+INDEX(Univ!$E$24:$E$27,MATCH($C51,Univ!$A$24:$A$27,0))</f>
        <v>9</v>
      </c>
      <c r="M51">
        <f>INDEX(Univ!$B$6:$B$11,MATCH($D51,Univ!$A$6:$A$11,0))+INDEX(Univ!$B$13:$B$15,MATCH($E51,Univ!$A$13:$A$15,0))+INDEX(Univ!$B$24:$B$27,MATCH($C51,Univ!$A$24:$A$27,0))</f>
        <v>4</v>
      </c>
      <c r="N51">
        <f>INDEX(Univ!$D$6:$D$11,MATCH(D51,Univ!$A$6:$A$11,0))+INDEX(Univ!$D$13:$D$15,MATCH(E51,Univ!$A$13:$A$15,0))+INDEX(Univ!$D$24:$D$27,MATCH($C51,Univ!$A$24:$A$27,0))</f>
        <v>12</v>
      </c>
      <c r="O51">
        <f>INDEX(Univ!$H$6:$H$11,MATCH($D51,Univ!$A$6:$A$11,0))+INDEX(Univ!$H$13:$H$15,MATCH($E51,Univ!$A$13:$A$15,0))+INDEX(Univ!$H$24:$H$27,MATCH($C51,Univ!$A$24:$A$27,0))</f>
        <v>1.9</v>
      </c>
      <c r="P51" s="29">
        <f>(INDEX(Univ!$G$6:$G$11,MATCH(D51,Univ!$A$6:$A$11,0))+INDEX(Univ!$G$13:$G$15,MATCH(E51,Univ!$A$13:$A$15,0))+INDEX(Univ!$G$24:$G$27,MATCH($C51,Univ!$A$24:$A$27,0)))*AV51*(1+AZ51)</f>
        <v>0.10035448533709257</v>
      </c>
      <c r="Q51" s="3">
        <f t="shared" si="45"/>
        <v>0.40200000000000002</v>
      </c>
      <c r="R51" s="3">
        <f t="shared" si="46"/>
        <v>6.7000000000000004E-2</v>
      </c>
      <c r="S51" s="71">
        <f>FLOOR((Q51-Univ!$F$1)/Univ!$F$2-IF(T51&lt;0,T51,0),0.1)</f>
        <v>-1.3</v>
      </c>
      <c r="T51" s="65">
        <f>((INDEX(Univ!$F$6:$F$11,MATCH(D51,Univ!$A$6:$A$11,0))+INDEX(Univ!$F$13:$F$15,MATCH(E51,Univ!$A$13:$A$15,0))+INDEX(Univ!$F$24:$F$27,MATCH($C51,Univ!$A$24:$A$27,0)))*Univ!$D$2+Univ!$D$1-R51)/Univ!$D$2</f>
        <v>0.79383750860260893</v>
      </c>
      <c r="U51" s="12">
        <v>0.1</v>
      </c>
      <c r="V51" s="12">
        <v>0.3</v>
      </c>
      <c r="W51" s="12">
        <v>0.3</v>
      </c>
      <c r="X51" s="12">
        <v>0.85</v>
      </c>
      <c r="Y51" s="12">
        <v>0.3</v>
      </c>
      <c r="Z51" s="12">
        <v>0.35</v>
      </c>
      <c r="AA51" s="12">
        <v>0.1</v>
      </c>
      <c r="AB51" s="12">
        <v>0.1</v>
      </c>
      <c r="AC51" s="12">
        <v>0.1</v>
      </c>
      <c r="AD51" s="12">
        <v>0.01</v>
      </c>
      <c r="AE51" s="12">
        <v>0.1</v>
      </c>
      <c r="AF51" s="12">
        <v>0.01</v>
      </c>
      <c r="AG51" s="58">
        <f t="shared" si="47"/>
        <v>0.99999999999999989</v>
      </c>
      <c r="AH51" s="60">
        <f t="shared" si="48"/>
        <v>6.9999999999999993E-2</v>
      </c>
      <c r="AI51" s="60">
        <f t="shared" si="49"/>
        <v>4.5000000000000005E-2</v>
      </c>
      <c r="AJ51" s="60">
        <f t="shared" si="50"/>
        <v>0.19500000000000001</v>
      </c>
      <c r="AK51" s="60">
        <f t="shared" si="51"/>
        <v>9.0000000000000011E-2</v>
      </c>
      <c r="AL51" s="60">
        <f t="shared" si="52"/>
        <v>9.9000000000000005E-2</v>
      </c>
      <c r="AM51" s="60">
        <f t="shared" si="53"/>
        <v>9.9000000000000005E-2</v>
      </c>
      <c r="AN51" s="81">
        <v>0.55000000000000004</v>
      </c>
      <c r="AO51" s="82">
        <f>0.001+INDEX(Univ!$C$6:$C$11,MATCH(D51,Univ!$A$6:$A$11,0))*0.01+INDEX(Univ!$C$13:$C$15,MATCH(E51,Univ!$A$13:$A$15,0))*0.01+INDEX(Univ!$C$24:$C$27,MATCH($C51,Univ!$A$24:$A$27,0))*0.01+BA51</f>
        <v>3.0999999999999996E-2</v>
      </c>
      <c r="AP51" s="83">
        <f>U51*Univ!$B$17*IF(V51&gt;Univ!$C$17,1,V51/Univ!$C$17)</f>
        <v>7.5000000000000011E-2</v>
      </c>
      <c r="AQ51" s="83">
        <f>W51*Univ!$B$18*IF(X51&gt;Univ!$C$18,1,X51/Univ!$C$18)</f>
        <v>0.22499999999999998</v>
      </c>
      <c r="AR51" s="83">
        <f>Y51*Univ!$B$19*IF(Z51&gt;Univ!$C$19,1,Z51/Univ!$C$19)</f>
        <v>0.31499999999999995</v>
      </c>
      <c r="AS51" s="83">
        <f>AA51*Univ!$B$20*IF(AB51&gt;Univ!$C$20,1,AB51/Univ!$C$20)</f>
        <v>2.5000000000000001E-2</v>
      </c>
      <c r="AT51" s="83">
        <f>AC51*Univ!$B$21*IF(AD51&gt;Univ!$C$21,1,AD51/Univ!$C$21)</f>
        <v>9.0909090909090909E-4</v>
      </c>
      <c r="AU51" s="83">
        <f>AE51*Univ!$B$22*IF(AF51&gt;Univ!$C$22,1,AF51/Univ!$C$22)</f>
        <v>3.6363636363636364E-3</v>
      </c>
      <c r="AV51" s="83">
        <f t="shared" si="21"/>
        <v>0.80283588269674055</v>
      </c>
      <c r="AW51" s="21">
        <f t="shared" si="38"/>
        <v>0</v>
      </c>
      <c r="AX51" s="97">
        <f t="shared" si="39"/>
        <v>0</v>
      </c>
      <c r="AY51" s="22">
        <f t="shared" si="40"/>
        <v>0</v>
      </c>
      <c r="AZ51" s="98">
        <f t="shared" si="41"/>
        <v>0</v>
      </c>
      <c r="BA51" s="98">
        <f t="shared" si="42"/>
        <v>0</v>
      </c>
      <c r="BB51" s="98">
        <f t="shared" si="43"/>
        <v>0</v>
      </c>
      <c r="BC51" s="98">
        <f t="shared" si="44"/>
        <v>0</v>
      </c>
    </row>
    <row r="52" spans="1:55" x14ac:dyDescent="0.25">
      <c r="A52" t="str">
        <f>Stats!A52</f>
        <v>MEX</v>
      </c>
      <c r="B52" t="str">
        <f>Stats!B52</f>
        <v>The Mexican Republic</v>
      </c>
      <c r="C52" t="s">
        <v>347</v>
      </c>
      <c r="D52" t="s">
        <v>224</v>
      </c>
      <c r="E52" t="s">
        <v>231</v>
      </c>
      <c r="F52" s="47" t="s">
        <v>250</v>
      </c>
      <c r="G52" s="58" t="str">
        <f t="shared" si="37"/>
        <v>Socialist</v>
      </c>
      <c r="H52" s="74">
        <f t="shared" si="8"/>
        <v>5</v>
      </c>
      <c r="I52" s="25">
        <f t="shared" si="9"/>
        <v>7</v>
      </c>
      <c r="J52" s="74">
        <f t="shared" si="10"/>
        <v>10</v>
      </c>
      <c r="K52" s="25">
        <f t="shared" si="11"/>
        <v>2.6345000000000001</v>
      </c>
      <c r="L52">
        <f>INDEX(Univ!$E$6:$E$11,MATCH($D52,Univ!$A$6:$A$11,0))+INDEX(Univ!$E$13:$E$15,MATCH($E52,Univ!$A$13:$A$15,0))+INDEX(Univ!$E$24:$E$27,MATCH($C52,Univ!$A$24:$A$27,0))</f>
        <v>4</v>
      </c>
      <c r="M52">
        <f>INDEX(Univ!$B$6:$B$11,MATCH($D52,Univ!$A$6:$A$11,0))+INDEX(Univ!$B$13:$B$15,MATCH($E52,Univ!$A$13:$A$15,0))+INDEX(Univ!$B$24:$B$27,MATCH($C52,Univ!$A$24:$A$27,0))</f>
        <v>6</v>
      </c>
      <c r="N52">
        <f>INDEX(Univ!$D$6:$D$11,MATCH(D52,Univ!$A$6:$A$11,0))+INDEX(Univ!$D$13:$D$15,MATCH(E52,Univ!$A$13:$A$15,0))+INDEX(Univ!$D$24:$D$27,MATCH($C52,Univ!$A$24:$A$27,0))</f>
        <v>10</v>
      </c>
      <c r="O52">
        <f>INDEX(Univ!$H$6:$H$11,MATCH($D52,Univ!$A$6:$A$11,0))+INDEX(Univ!$H$13:$H$15,MATCH($E52,Univ!$A$13:$A$15,0))+INDEX(Univ!$H$24:$H$27,MATCH($C52,Univ!$A$24:$A$27,0))</f>
        <v>2.2000000000000002</v>
      </c>
      <c r="P52" s="29">
        <f>(INDEX(Univ!$G$6:$G$11,MATCH(D52,Univ!$A$6:$A$11,0))+INDEX(Univ!$G$13:$G$15,MATCH(E52,Univ!$A$13:$A$15,0))+INDEX(Univ!$G$24:$G$27,MATCH($C52,Univ!$A$24:$A$27,0)))*AV52*(1+AZ52)</f>
        <v>8.0439294586889337E-2</v>
      </c>
      <c r="Q52" s="3">
        <f t="shared" si="45"/>
        <v>0.53799999999999992</v>
      </c>
      <c r="R52" s="3">
        <f t="shared" si="46"/>
        <v>8.9666666666666658E-2</v>
      </c>
      <c r="S52" s="71">
        <f>FLOOR((Q52-Univ!$F$1)/Univ!$F$2-IF(T52&lt;0,T52,0),0.1)</f>
        <v>0.70000000000000007</v>
      </c>
      <c r="T52" s="65">
        <f>((INDEX(Univ!$F$6:$F$11,MATCH(D52,Univ!$A$6:$A$11,0))+INDEX(Univ!$F$13:$F$15,MATCH(E52,Univ!$A$13:$A$15,0))+INDEX(Univ!$F$24:$F$27,MATCH($C52,Univ!$A$24:$A$27,0)))*Univ!$D$2+Univ!$D$1-R52)/Univ!$D$2</f>
        <v>-0.87882398762946534</v>
      </c>
      <c r="U52" s="12">
        <v>0.1</v>
      </c>
      <c r="V52" s="12">
        <v>0.45</v>
      </c>
      <c r="W52" s="12">
        <v>0.15</v>
      </c>
      <c r="X52" s="12">
        <v>0.65</v>
      </c>
      <c r="Y52" s="12">
        <v>0.45</v>
      </c>
      <c r="Z52" s="12">
        <v>0.85</v>
      </c>
      <c r="AA52" s="12">
        <v>0.05</v>
      </c>
      <c r="AB52" s="12">
        <v>0.01</v>
      </c>
      <c r="AC52" s="12">
        <v>0.1</v>
      </c>
      <c r="AD52" s="12">
        <v>0.05</v>
      </c>
      <c r="AE52" s="12">
        <v>0.15</v>
      </c>
      <c r="AF52" s="12">
        <v>0.05</v>
      </c>
      <c r="AG52" s="58">
        <f t="shared" si="47"/>
        <v>1</v>
      </c>
      <c r="AH52" s="60">
        <f t="shared" si="48"/>
        <v>5.5000000000000007E-2</v>
      </c>
      <c r="AI52" s="60">
        <f t="shared" si="49"/>
        <v>5.2499999999999998E-2</v>
      </c>
      <c r="AJ52" s="60">
        <f t="shared" si="50"/>
        <v>6.7500000000000018E-2</v>
      </c>
      <c r="AK52" s="60">
        <f t="shared" si="51"/>
        <v>4.9500000000000002E-2</v>
      </c>
      <c r="AL52" s="60">
        <f t="shared" si="52"/>
        <v>9.5000000000000001E-2</v>
      </c>
      <c r="AM52" s="60">
        <f t="shared" si="53"/>
        <v>0.14249999999999999</v>
      </c>
      <c r="AN52" s="81">
        <v>0.55000000000000004</v>
      </c>
      <c r="AO52" s="82">
        <f>0.001+INDEX(Univ!$C$6:$C$11,MATCH(D52,Univ!$A$6:$A$11,0))*0.01+INDEX(Univ!$C$13:$C$15,MATCH(E52,Univ!$A$13:$A$15,0))*0.01+INDEX(Univ!$C$24:$C$27,MATCH($C52,Univ!$A$24:$A$27,0))*0.01+BA52</f>
        <v>1.0999999999999999E-2</v>
      </c>
      <c r="AP52" s="83">
        <f>U52*Univ!$B$17*IF(V52&gt;Univ!$C$17,1,V52/Univ!$C$17)</f>
        <v>7.5000000000000011E-2</v>
      </c>
      <c r="AQ52" s="83">
        <f>W52*Univ!$B$18*IF(X52&gt;Univ!$C$18,1,X52/Univ!$C$18)</f>
        <v>0.11249999999999999</v>
      </c>
      <c r="AR52" s="83">
        <f>Y52*Univ!$B$19*IF(Z52&gt;Univ!$C$19,1,Z52/Univ!$C$19)</f>
        <v>0.67500000000000004</v>
      </c>
      <c r="AS52" s="83">
        <f>AA52*Univ!$B$20*IF(AB52&gt;Univ!$C$20,1,AB52/Univ!$C$20)</f>
        <v>1.25E-3</v>
      </c>
      <c r="AT52" s="83">
        <f>AC52*Univ!$B$21*IF(AD52&gt;Univ!$C$21,1,AD52/Univ!$C$21)</f>
        <v>4.5454545454545461E-3</v>
      </c>
      <c r="AU52" s="83">
        <f>AE52*Univ!$B$22*IF(AF52&gt;Univ!$C$22,1,AF52/Univ!$C$22)</f>
        <v>2.7272727272727271E-2</v>
      </c>
      <c r="AV52" s="83">
        <f t="shared" si="21"/>
        <v>0.94634464219869796</v>
      </c>
      <c r="AW52" s="21">
        <f t="shared" si="38"/>
        <v>0</v>
      </c>
      <c r="AX52" s="97">
        <f t="shared" si="39"/>
        <v>0</v>
      </c>
      <c r="AY52" s="22">
        <f t="shared" si="40"/>
        <v>0</v>
      </c>
      <c r="AZ52" s="98">
        <f t="shared" si="41"/>
        <v>0</v>
      </c>
      <c r="BA52" s="98">
        <f t="shared" si="42"/>
        <v>0</v>
      </c>
      <c r="BB52" s="98">
        <f t="shared" si="43"/>
        <v>0</v>
      </c>
      <c r="BC52" s="98">
        <f t="shared" si="44"/>
        <v>0</v>
      </c>
    </row>
    <row r="53" spans="1:55" x14ac:dyDescent="0.25">
      <c r="A53" t="str">
        <f>Stats!A53</f>
        <v>MIM</v>
      </c>
      <c r="B53" t="str">
        <f>Stats!B53</f>
        <v>The Empire of Mexico</v>
      </c>
      <c r="C53" t="s">
        <v>348</v>
      </c>
      <c r="D53" t="s">
        <v>223</v>
      </c>
      <c r="E53" t="s">
        <v>229</v>
      </c>
      <c r="F53" s="47" t="s">
        <v>233</v>
      </c>
      <c r="G53" s="58" t="str">
        <f t="shared" si="37"/>
        <v>Democrat</v>
      </c>
      <c r="H53" s="74">
        <f t="shared" si="8"/>
        <v>6</v>
      </c>
      <c r="I53" s="25">
        <f t="shared" si="9"/>
        <v>6</v>
      </c>
      <c r="J53" s="74">
        <f t="shared" si="10"/>
        <v>9</v>
      </c>
      <c r="K53" s="25">
        <f t="shared" si="11"/>
        <v>1.7962500000000001</v>
      </c>
      <c r="L53">
        <f>INDEX(Univ!$E$6:$E$11,MATCH($D53,Univ!$A$6:$A$11,0))+INDEX(Univ!$E$13:$E$15,MATCH($E53,Univ!$A$13:$A$15,0))+INDEX(Univ!$E$24:$E$27,MATCH($C53,Univ!$A$24:$A$27,0))</f>
        <v>6</v>
      </c>
      <c r="M53">
        <f>INDEX(Univ!$B$6:$B$11,MATCH($D53,Univ!$A$6:$A$11,0))+INDEX(Univ!$B$13:$B$15,MATCH($E53,Univ!$A$13:$A$15,0))+INDEX(Univ!$B$24:$B$27,MATCH($C53,Univ!$A$24:$A$27,0))</f>
        <v>7</v>
      </c>
      <c r="N53">
        <f>INDEX(Univ!$D$6:$D$11,MATCH(D53,Univ!$A$6:$A$11,0))+INDEX(Univ!$D$13:$D$15,MATCH(E53,Univ!$A$13:$A$15,0))+INDEX(Univ!$D$24:$D$27,MATCH($C53,Univ!$A$24:$A$27,0))</f>
        <v>10</v>
      </c>
      <c r="O53">
        <f>INDEX(Univ!$H$6:$H$11,MATCH($D53,Univ!$A$6:$A$11,0))+INDEX(Univ!$H$13:$H$15,MATCH($E53,Univ!$A$13:$A$15,0))+INDEX(Univ!$H$24:$H$27,MATCH($C53,Univ!$A$24:$A$27,0))</f>
        <v>1.5</v>
      </c>
      <c r="P53" s="29">
        <f>(INDEX(Univ!$G$6:$G$11,MATCH(D53,Univ!$A$6:$A$11,0))+INDEX(Univ!$G$13:$G$15,MATCH(E53,Univ!$A$13:$A$15,0))+INDEX(Univ!$G$24:$G$27,MATCH($C53,Univ!$A$24:$A$27,0)))*AV53*(1+AZ53)</f>
        <v>7.2057505444673084E-2</v>
      </c>
      <c r="Q53" s="3">
        <f t="shared" si="45"/>
        <v>0.52649999999999975</v>
      </c>
      <c r="R53" s="3">
        <f t="shared" si="46"/>
        <v>8.7749999999999953E-2</v>
      </c>
      <c r="S53" s="71">
        <f>FLOOR((Q53-Univ!$F$1)/Univ!$F$2-IF(T53&lt;0,T53,0),0.1)</f>
        <v>-0.30000000000000004</v>
      </c>
      <c r="T53" s="65">
        <f>((INDEX(Univ!$F$6:$F$11,MATCH(D53,Univ!$A$6:$A$11,0))+INDEX(Univ!$F$13:$F$15,MATCH(E53,Univ!$A$13:$A$15,0))+INDEX(Univ!$F$24:$F$27,MATCH($C53,Univ!$A$24:$A$27,0)))*Univ!$D$2+Univ!$D$1-R53)/Univ!$D$2</f>
        <v>1.22033488889016</v>
      </c>
      <c r="U53" s="12">
        <v>0.2</v>
      </c>
      <c r="V53" s="12">
        <v>0.85</v>
      </c>
      <c r="W53" s="12">
        <v>0.35</v>
      </c>
      <c r="X53" s="12">
        <v>0.8</v>
      </c>
      <c r="Y53" s="12">
        <v>0.3</v>
      </c>
      <c r="Z53" s="12">
        <v>0.25</v>
      </c>
      <c r="AA53" s="12">
        <v>0.05</v>
      </c>
      <c r="AB53" s="12">
        <v>0.01</v>
      </c>
      <c r="AC53" s="12">
        <v>0.05</v>
      </c>
      <c r="AD53" s="12">
        <v>0.01</v>
      </c>
      <c r="AE53" s="12">
        <v>0.05</v>
      </c>
      <c r="AF53" s="12">
        <v>0.01</v>
      </c>
      <c r="AG53" s="58">
        <f t="shared" si="47"/>
        <v>1.0000000000000002</v>
      </c>
      <c r="AH53" s="60">
        <f t="shared" si="48"/>
        <v>3.0000000000000006E-2</v>
      </c>
      <c r="AI53" s="60">
        <f t="shared" si="49"/>
        <v>6.9999999999999979E-2</v>
      </c>
      <c r="AJ53" s="60">
        <f t="shared" si="50"/>
        <v>0.22499999999999998</v>
      </c>
      <c r="AK53" s="60">
        <f t="shared" si="51"/>
        <v>4.9500000000000002E-2</v>
      </c>
      <c r="AL53" s="60">
        <f t="shared" si="52"/>
        <v>4.9500000000000002E-2</v>
      </c>
      <c r="AM53" s="60">
        <f t="shared" si="53"/>
        <v>4.9500000000000002E-2</v>
      </c>
      <c r="AN53" s="81">
        <v>0.55000000000000004</v>
      </c>
      <c r="AO53" s="82">
        <f>0.001+INDEX(Univ!$C$6:$C$11,MATCH(D53,Univ!$A$6:$A$11,0))*0.01+INDEX(Univ!$C$13:$C$15,MATCH(E53,Univ!$A$13:$A$15,0))*0.01+INDEX(Univ!$C$24:$C$27,MATCH($C53,Univ!$A$24:$A$27,0))*0.01+BA53</f>
        <v>3.6000000000000004E-2</v>
      </c>
      <c r="AP53" s="83">
        <f>U53*Univ!$B$17*IF(V53&gt;Univ!$C$17,1,V53/Univ!$C$17)</f>
        <v>0.15000000000000002</v>
      </c>
      <c r="AQ53" s="83">
        <f>W53*Univ!$B$18*IF(X53&gt;Univ!$C$18,1,X53/Univ!$C$18)</f>
        <v>0.26249999999999996</v>
      </c>
      <c r="AR53" s="83">
        <f>Y53*Univ!$B$19*IF(Z53&gt;Univ!$C$19,1,Z53/Univ!$C$19)</f>
        <v>0.22499999999999998</v>
      </c>
      <c r="AS53" s="83">
        <f>AA53*Univ!$B$20*IF(AB53&gt;Univ!$C$20,1,AB53/Univ!$C$20)</f>
        <v>1.25E-3</v>
      </c>
      <c r="AT53" s="83">
        <f>AC53*Univ!$B$21*IF(AD53&gt;Univ!$C$21,1,AD53/Univ!$C$21)</f>
        <v>4.5454545454545455E-4</v>
      </c>
      <c r="AU53" s="83">
        <f>AE53*Univ!$B$22*IF(AF53&gt;Univ!$C$22,1,AF53/Univ!$C$22)</f>
        <v>1.8181818181818182E-3</v>
      </c>
      <c r="AV53" s="83">
        <f t="shared" si="21"/>
        <v>0.80063894938525648</v>
      </c>
      <c r="AW53" s="21">
        <f t="shared" si="38"/>
        <v>0</v>
      </c>
      <c r="AX53" s="97">
        <f t="shared" si="39"/>
        <v>0</v>
      </c>
      <c r="AY53" s="22">
        <f t="shared" si="40"/>
        <v>0</v>
      </c>
      <c r="AZ53" s="98">
        <f t="shared" si="41"/>
        <v>0</v>
      </c>
      <c r="BA53" s="98">
        <f t="shared" si="42"/>
        <v>0</v>
      </c>
      <c r="BB53" s="98">
        <f t="shared" si="43"/>
        <v>0</v>
      </c>
      <c r="BC53" s="98">
        <f t="shared" si="44"/>
        <v>0</v>
      </c>
    </row>
    <row r="54" spans="1:55" x14ac:dyDescent="0.25">
      <c r="A54" t="str">
        <f>Stats!A54</f>
        <v>MAY</v>
      </c>
      <c r="B54" t="str">
        <f>Stats!B54</f>
        <v>The Mayan Kingdom</v>
      </c>
      <c r="C54" t="s">
        <v>346</v>
      </c>
      <c r="D54" t="s">
        <v>223</v>
      </c>
      <c r="E54" t="s">
        <v>229</v>
      </c>
      <c r="F54" s="88" t="s">
        <v>233</v>
      </c>
      <c r="G54" s="58" t="str">
        <f t="shared" ref="G54" si="54">INDEX($AH$2:$AM$2,MATCH(MAX(AH54:AM54),AH54:AM54,0))</f>
        <v>Democrat</v>
      </c>
      <c r="H54" s="74">
        <f t="shared" si="8"/>
        <v>9</v>
      </c>
      <c r="I54" s="25">
        <f t="shared" si="9"/>
        <v>5</v>
      </c>
      <c r="J54" s="74">
        <f t="shared" si="10"/>
        <v>11</v>
      </c>
      <c r="K54" s="25">
        <f t="shared" si="11"/>
        <v>2.2752499999999998</v>
      </c>
      <c r="L54">
        <f>INDEX(Univ!$E$6:$E$11,MATCH($D54,Univ!$A$6:$A$11,0))+INDEX(Univ!$E$13:$E$15,MATCH($E54,Univ!$A$13:$A$15,0))+INDEX(Univ!$E$24:$E$27,MATCH($C54,Univ!$A$24:$A$27,0))</f>
        <v>8</v>
      </c>
      <c r="M54">
        <f>INDEX(Univ!$B$6:$B$11,MATCH($D54,Univ!$A$6:$A$11,0))+INDEX(Univ!$B$13:$B$15,MATCH($E54,Univ!$A$13:$A$15,0))+INDEX(Univ!$B$24:$B$27,MATCH($C54,Univ!$A$24:$A$27,0))</f>
        <v>4</v>
      </c>
      <c r="N54">
        <f>INDEX(Univ!$D$6:$D$11,MATCH(D54,Univ!$A$6:$A$11,0))+INDEX(Univ!$D$13:$D$15,MATCH(E54,Univ!$A$13:$A$15,0))+INDEX(Univ!$D$24:$D$27,MATCH($C54,Univ!$A$24:$A$27,0))</f>
        <v>11</v>
      </c>
      <c r="O54">
        <f>INDEX(Univ!$H$6:$H$11,MATCH($D54,Univ!$A$6:$A$11,0))+INDEX(Univ!$H$13:$H$15,MATCH($E54,Univ!$A$13:$A$15,0))+INDEX(Univ!$H$24:$H$27,MATCH($C54,Univ!$A$24:$A$27,0))</f>
        <v>1.9</v>
      </c>
      <c r="P54" s="29">
        <f>(INDEX(Univ!$G$6:$G$11,MATCH(D54,Univ!$A$6:$A$11,0))+INDEX(Univ!$G$13:$G$15,MATCH(E54,Univ!$A$13:$A$15,0))+INDEX(Univ!$G$24:$G$27,MATCH($C54,Univ!$A$24:$A$27,0)))*AV54*(1+AZ54)</f>
        <v>0.10156431012372943</v>
      </c>
      <c r="Q54" s="3">
        <f t="shared" ref="Q54" si="55">U54*V54+W54*X54+Y54*Z54+AA54*AB54+AC54*AD54+AE54*AF54</f>
        <v>0.52469999999999983</v>
      </c>
      <c r="R54" s="3">
        <f t="shared" ref="R54" si="56">AVERAGE(U54*V54,W54*X54,Y54*Z54,AA54*AB54,AC54*AD54,AE54*AF54)</f>
        <v>8.7449999999999972E-2</v>
      </c>
      <c r="S54" s="71">
        <f>FLOOR((Q54-Univ!$F$1)/Univ!$F$2-IF(T54&lt;0,T54,0),0.1)</f>
        <v>0.5</v>
      </c>
      <c r="T54" s="65">
        <f>((INDEX(Univ!$F$6:$F$11,MATCH(D54,Univ!$A$6:$A$11,0))+INDEX(Univ!$F$13:$F$15,MATCH(E54,Univ!$A$13:$A$15,0))+INDEX(Univ!$F$24:$F$27,MATCH($C54,Univ!$A$24:$A$27,0)))*Univ!$D$2+Univ!$D$1-R54)/Univ!$D$2</f>
        <v>-0.76414459130676882</v>
      </c>
      <c r="U54" s="12">
        <v>0.35</v>
      </c>
      <c r="V54" s="12">
        <v>0.85</v>
      </c>
      <c r="W54" s="12">
        <v>0.25</v>
      </c>
      <c r="X54" s="12">
        <v>0.55000000000000004</v>
      </c>
      <c r="Y54" s="12">
        <v>0.25</v>
      </c>
      <c r="Z54" s="12">
        <v>0.35</v>
      </c>
      <c r="AA54" s="12">
        <v>0.03</v>
      </c>
      <c r="AB54" s="12">
        <v>0.01</v>
      </c>
      <c r="AC54" s="12">
        <v>7.0000000000000007E-2</v>
      </c>
      <c r="AD54" s="12">
        <v>0.02</v>
      </c>
      <c r="AE54" s="12">
        <v>0.05</v>
      </c>
      <c r="AF54" s="12">
        <v>0.01</v>
      </c>
      <c r="AG54" s="58">
        <f t="shared" ref="AG54" si="57">U54+W54+Y54+AA54+AC54+AE54</f>
        <v>1</v>
      </c>
      <c r="AH54" s="89">
        <f t="shared" ref="AH54" si="58">U54*(1-V54)</f>
        <v>5.2500000000000005E-2</v>
      </c>
      <c r="AI54" s="89">
        <f t="shared" ref="AI54" si="59">W54*(1-X54)</f>
        <v>0.11249999999999999</v>
      </c>
      <c r="AJ54" s="89">
        <f t="shared" ref="AJ54" si="60">Y54*(1-Z54)</f>
        <v>0.16250000000000001</v>
      </c>
      <c r="AK54" s="89">
        <f t="shared" ref="AK54" si="61">AA54*(1-AB54)</f>
        <v>2.9699999999999997E-2</v>
      </c>
      <c r="AL54" s="89">
        <f t="shared" ref="AL54" si="62">AC54*(1-AD54)</f>
        <v>6.8600000000000008E-2</v>
      </c>
      <c r="AM54" s="89">
        <f t="shared" ref="AM54" si="63">AE54*(1-AF54)</f>
        <v>4.9500000000000002E-2</v>
      </c>
      <c r="AN54" s="81">
        <v>0.55000000000000004</v>
      </c>
      <c r="AO54" s="82">
        <f>0.001+INDEX(Univ!$C$6:$C$11,MATCH(D54,Univ!$A$6:$A$11,0))*0.01+INDEX(Univ!$C$13:$C$15,MATCH(E54,Univ!$A$13:$A$15,0))*0.01+INDEX(Univ!$C$24:$C$27,MATCH($C54,Univ!$A$24:$A$27,0))*0.01+BA54</f>
        <v>2.1000000000000001E-2</v>
      </c>
      <c r="AP54" s="83">
        <f>U54*Univ!$B$17*IF(V54&gt;Univ!$C$17,1,V54/Univ!$C$17)</f>
        <v>0.26249999999999996</v>
      </c>
      <c r="AQ54" s="83">
        <f>W54*Univ!$B$18*IF(X54&gt;Univ!$C$18,1,X54/Univ!$C$18)</f>
        <v>0.1875</v>
      </c>
      <c r="AR54" s="83">
        <f>Y54*Univ!$B$19*IF(Z54&gt;Univ!$C$19,1,Z54/Univ!$C$19)</f>
        <v>0.26249999999999996</v>
      </c>
      <c r="AS54" s="83">
        <f>AA54*Univ!$B$20*IF(AB54&gt;Univ!$C$20,1,AB54/Univ!$C$20)</f>
        <v>7.5000000000000012E-4</v>
      </c>
      <c r="AT54" s="83">
        <f>AC54*Univ!$B$21*IF(AD54&gt;Univ!$C$21,1,AD54/Univ!$C$21)</f>
        <v>1.2727272727272728E-3</v>
      </c>
      <c r="AU54" s="83">
        <f>AE54*Univ!$B$22*IF(AF54&gt;Univ!$C$22,1,AF54/Univ!$C$22)</f>
        <v>1.8181818181818182E-3</v>
      </c>
      <c r="AV54" s="83">
        <f t="shared" si="21"/>
        <v>0.84636925103107863</v>
      </c>
      <c r="AW54" s="21">
        <f t="shared" si="38"/>
        <v>0</v>
      </c>
      <c r="AX54" s="97">
        <f t="shared" si="39"/>
        <v>0</v>
      </c>
      <c r="AY54" s="22">
        <f t="shared" si="40"/>
        <v>0</v>
      </c>
      <c r="AZ54" s="98">
        <f t="shared" si="41"/>
        <v>0</v>
      </c>
      <c r="BA54" s="98">
        <f t="shared" si="42"/>
        <v>0</v>
      </c>
      <c r="BB54" s="98">
        <f t="shared" si="43"/>
        <v>0</v>
      </c>
      <c r="BC54" s="98">
        <f t="shared" si="44"/>
        <v>0</v>
      </c>
    </row>
    <row r="55" spans="1:55" x14ac:dyDescent="0.25">
      <c r="A55" t="str">
        <f>Stats!A55</f>
        <v>OAX</v>
      </c>
      <c r="B55" t="str">
        <f>Stats!B55</f>
        <v>The Oaxaca Commune</v>
      </c>
      <c r="C55" t="s">
        <v>346</v>
      </c>
      <c r="D55" t="s">
        <v>224</v>
      </c>
      <c r="E55" t="s">
        <v>231</v>
      </c>
      <c r="F55" s="99" t="s">
        <v>234</v>
      </c>
      <c r="G55" s="58" t="str">
        <f t="shared" ref="G55" si="64">INDEX($AH$2:$AM$2,MATCH(MAX(AH55:AM55),AH55:AM55,0))</f>
        <v>Imperialist</v>
      </c>
      <c r="H55" s="74">
        <f t="shared" si="8"/>
        <v>9</v>
      </c>
      <c r="I55" s="25">
        <f t="shared" ref="I55" si="65">CEILING(M55-T55,0.5)+AX55</f>
        <v>7</v>
      </c>
      <c r="J55" s="74">
        <f t="shared" ref="J55" si="66">FLOOR(N55+S55,1)+AY55</f>
        <v>12</v>
      </c>
      <c r="K55" s="25">
        <f t="shared" si="11"/>
        <v>2.6345000000000001</v>
      </c>
      <c r="L55">
        <f>INDEX(Univ!$E$6:$E$11,MATCH($D55,Univ!$A$6:$A$11,0))+INDEX(Univ!$E$13:$E$15,MATCH($E55,Univ!$A$13:$A$15,0))+INDEX(Univ!$E$24:$E$27,MATCH($C55,Univ!$A$24:$A$27,0))</f>
        <v>5</v>
      </c>
      <c r="M55">
        <f>INDEX(Univ!$B$6:$B$11,MATCH($D55,Univ!$A$6:$A$11,0))+INDEX(Univ!$B$13:$B$15,MATCH($E55,Univ!$A$13:$A$15,0))+INDEX(Univ!$B$24:$B$27,MATCH($C55,Univ!$A$24:$A$27,0))</f>
        <v>4</v>
      </c>
      <c r="N55">
        <f>INDEX(Univ!$D$6:$D$11,MATCH(D55,Univ!$A$6:$A$11,0))+INDEX(Univ!$D$13:$D$15,MATCH(E55,Univ!$A$13:$A$15,0))+INDEX(Univ!$D$24:$D$27,MATCH($C55,Univ!$A$24:$A$27,0))</f>
        <v>9</v>
      </c>
      <c r="O55">
        <f>INDEX(Univ!$H$6:$H$11,MATCH($D55,Univ!$A$6:$A$11,0))+INDEX(Univ!$H$13:$H$15,MATCH($E55,Univ!$A$13:$A$15,0))+INDEX(Univ!$H$24:$H$27,MATCH($C55,Univ!$A$24:$A$27,0))</f>
        <v>2.2000000000000002</v>
      </c>
      <c r="P55" s="29">
        <f>(INDEX(Univ!$G$6:$G$11,MATCH(D55,Univ!$A$6:$A$11,0))+INDEX(Univ!$G$13:$G$15,MATCH(E55,Univ!$A$13:$A$15,0))+INDEX(Univ!$G$24:$G$27,MATCH($C55,Univ!$A$24:$A$27,0)))*AV55*(1+AZ55)</f>
        <v>0.11195297561923043</v>
      </c>
      <c r="Q55" s="3">
        <f t="shared" ref="Q55" si="67">U55*V55+W55*X55+Y55*Z55+AA55*AB55+AC55*AD55+AE55*AF55</f>
        <v>0.67300000000000004</v>
      </c>
      <c r="R55" s="3">
        <f t="shared" ref="R55" si="68">AVERAGE(U55*V55,W55*X55,Y55*Z55,AA55*AB55,AC55*AD55,AE55*AF55)</f>
        <v>0.11216666666666668</v>
      </c>
      <c r="S55" s="71">
        <f>FLOOR((Q55-Univ!$F$1)/Univ!$F$2-IF(T55&lt;0,T55,0),0.1)</f>
        <v>3.5</v>
      </c>
      <c r="T55" s="65">
        <f>((INDEX(Univ!$F$6:$F$11,MATCH(D55,Univ!$A$6:$A$11,0))+INDEX(Univ!$F$13:$F$15,MATCH(E55,Univ!$A$13:$A$15,0))+INDEX(Univ!$F$24:$F$27,MATCH($C55,Univ!$A$24:$A$27,0)))*Univ!$D$2+Univ!$D$1-R55)/Univ!$D$2</f>
        <v>-2.5428629728598353</v>
      </c>
      <c r="U55" s="12">
        <v>0.1</v>
      </c>
      <c r="V55" s="12">
        <v>0.45</v>
      </c>
      <c r="W55" s="12">
        <v>0.15</v>
      </c>
      <c r="X55" s="12">
        <v>0.35</v>
      </c>
      <c r="Y55" s="12">
        <v>0.25</v>
      </c>
      <c r="Z55" s="12">
        <v>0.75</v>
      </c>
      <c r="AA55" s="12">
        <v>0.05</v>
      </c>
      <c r="AB55" s="12">
        <v>0.01</v>
      </c>
      <c r="AC55" s="12">
        <v>0.05</v>
      </c>
      <c r="AD55" s="12">
        <v>0.55000000000000004</v>
      </c>
      <c r="AE55" s="12">
        <v>0.4</v>
      </c>
      <c r="AF55" s="12">
        <v>0.9</v>
      </c>
      <c r="AG55" s="58">
        <f t="shared" ref="AG55" si="69">U55+W55+Y55+AA55+AC55+AE55</f>
        <v>1</v>
      </c>
      <c r="AH55" s="100">
        <f t="shared" ref="AH55" si="70">U55*(1-V55)</f>
        <v>5.5000000000000007E-2</v>
      </c>
      <c r="AI55" s="100">
        <f t="shared" ref="AI55" si="71">W55*(1-X55)</f>
        <v>9.7500000000000003E-2</v>
      </c>
      <c r="AJ55" s="100">
        <f t="shared" ref="AJ55" si="72">Y55*(1-Z55)</f>
        <v>6.25E-2</v>
      </c>
      <c r="AK55" s="100">
        <f t="shared" ref="AK55" si="73">AA55*(1-AB55)</f>
        <v>4.9500000000000002E-2</v>
      </c>
      <c r="AL55" s="100">
        <f t="shared" ref="AL55" si="74">AC55*(1-AD55)</f>
        <v>2.2499999999999999E-2</v>
      </c>
      <c r="AM55" s="100">
        <f t="shared" ref="AM55" si="75">AE55*(1-AF55)</f>
        <v>3.9999999999999994E-2</v>
      </c>
      <c r="AN55" s="81">
        <v>0.55000000000000004</v>
      </c>
      <c r="AO55" s="82">
        <f>0.001+INDEX(Univ!$C$6:$C$11,MATCH(D55,Univ!$A$6:$A$11,0))*0.01+INDEX(Univ!$C$13:$C$15,MATCH(E55,Univ!$A$13:$A$15,0))*0.01+INDEX(Univ!$C$24:$C$27,MATCH($C55,Univ!$A$24:$A$27,0))*0.01+BA55</f>
        <v>9.9999999999999915E-4</v>
      </c>
      <c r="AP55" s="83">
        <f>U55*Univ!$B$17*IF(V55&gt;Univ!$C$17,1,V55/Univ!$C$17)</f>
        <v>7.5000000000000011E-2</v>
      </c>
      <c r="AQ55" s="83">
        <f>W55*Univ!$B$18*IF(X55&gt;Univ!$C$18,1,X55/Univ!$C$18)</f>
        <v>0.11249999999999999</v>
      </c>
      <c r="AR55" s="83">
        <f>Y55*Univ!$B$19*IF(Z55&gt;Univ!$C$19,1,Z55/Univ!$C$19)</f>
        <v>0.375</v>
      </c>
      <c r="AS55" s="83">
        <f>AA55*Univ!$B$20*IF(AB55&gt;Univ!$C$20,1,AB55/Univ!$C$20)</f>
        <v>1.25E-3</v>
      </c>
      <c r="AT55" s="83">
        <f>AC55*Univ!$B$21*IF(AD55&gt;Univ!$C$21,1,AD55/Univ!$C$21)</f>
        <v>2.5000000000000001E-2</v>
      </c>
      <c r="AU55" s="83">
        <f>AE55*Univ!$B$22*IF(AF55&gt;Univ!$C$22,1,AF55/Univ!$C$22)</f>
        <v>0.8</v>
      </c>
      <c r="AV55" s="83">
        <f t="shared" ref="AV55" si="76">SQRT(SUM(AP55:AU55))*(1+BB55)</f>
        <v>1.1784523749392675</v>
      </c>
      <c r="AW55" s="21">
        <f t="shared" si="38"/>
        <v>0</v>
      </c>
      <c r="AX55" s="97">
        <f t="shared" si="39"/>
        <v>0</v>
      </c>
      <c r="AY55" s="22">
        <f t="shared" si="40"/>
        <v>0</v>
      </c>
      <c r="AZ55" s="98">
        <f t="shared" si="41"/>
        <v>0</v>
      </c>
      <c r="BA55" s="98">
        <f t="shared" si="42"/>
        <v>0</v>
      </c>
      <c r="BB55" s="98">
        <f t="shared" si="43"/>
        <v>0</v>
      </c>
      <c r="BC55" s="98">
        <f t="shared" si="44"/>
        <v>0</v>
      </c>
    </row>
    <row r="56" spans="1:55" x14ac:dyDescent="0.25">
      <c r="A56" t="str">
        <f>Stats!A56</f>
        <v>HAI</v>
      </c>
      <c r="B56" t="str">
        <f>Stats!B56</f>
        <v>The Freeman Republic of Haiti</v>
      </c>
      <c r="C56" t="s">
        <v>347</v>
      </c>
      <c r="D56" t="s">
        <v>222</v>
      </c>
      <c r="E56" t="s">
        <v>231</v>
      </c>
      <c r="F56" s="47" t="s">
        <v>250</v>
      </c>
      <c r="G56" s="58" t="str">
        <f t="shared" si="37"/>
        <v>Socialist</v>
      </c>
      <c r="H56" s="74">
        <f t="shared" si="8"/>
        <v>6</v>
      </c>
      <c r="I56" s="25">
        <f t="shared" si="9"/>
        <v>7</v>
      </c>
      <c r="J56" s="74">
        <f t="shared" si="10"/>
        <v>12</v>
      </c>
      <c r="K56" s="25">
        <f t="shared" si="11"/>
        <v>2.2752499999999998</v>
      </c>
      <c r="L56">
        <f>INDEX(Univ!$E$6:$E$11,MATCH($D56,Univ!$A$6:$A$11,0))+INDEX(Univ!$E$13:$E$15,MATCH($E56,Univ!$A$13:$A$15,0))+INDEX(Univ!$E$24:$E$27,MATCH($C56,Univ!$A$24:$A$27,0))</f>
        <v>5</v>
      </c>
      <c r="M56">
        <f>INDEX(Univ!$B$6:$B$11,MATCH($D56,Univ!$A$6:$A$11,0))+INDEX(Univ!$B$13:$B$15,MATCH($E56,Univ!$A$13:$A$15,0))+INDEX(Univ!$B$24:$B$27,MATCH($C56,Univ!$A$24:$A$27,0))</f>
        <v>7</v>
      </c>
      <c r="N56">
        <f>INDEX(Univ!$D$6:$D$11,MATCH(D56,Univ!$A$6:$A$11,0))+INDEX(Univ!$D$13:$D$15,MATCH(E56,Univ!$A$13:$A$15,0))+INDEX(Univ!$D$24:$D$27,MATCH($C56,Univ!$A$24:$A$27,0))</f>
        <v>12</v>
      </c>
      <c r="O56">
        <f>INDEX(Univ!$H$6:$H$11,MATCH($D56,Univ!$A$6:$A$11,0))+INDEX(Univ!$H$13:$H$15,MATCH($E56,Univ!$A$13:$A$15,0))+INDEX(Univ!$H$24:$H$27,MATCH($C56,Univ!$A$24:$A$27,0))</f>
        <v>1.9</v>
      </c>
      <c r="P56" s="29">
        <f>(INDEX(Univ!$G$6:$G$11,MATCH(D56,Univ!$A$6:$A$11,0))+INDEX(Univ!$G$13:$G$15,MATCH(E56,Univ!$A$13:$A$15,0))+INDEX(Univ!$G$24:$G$27,MATCH($C56,Univ!$A$24:$A$27,0)))*AV56*(1+AZ56)</f>
        <v>0.10362286843953109</v>
      </c>
      <c r="Q56" s="3">
        <f t="shared" si="45"/>
        <v>0.64749999999999996</v>
      </c>
      <c r="R56" s="3">
        <f t="shared" si="46"/>
        <v>0.10791666666666666</v>
      </c>
      <c r="S56" s="71">
        <f>FLOOR((Q56-Univ!$F$1)/Univ!$F$2-IF(T56&lt;0,T56,0),0.1)</f>
        <v>0.8</v>
      </c>
      <c r="T56" s="65">
        <f>((INDEX(Univ!$F$6:$F$11,MATCH(D56,Univ!$A$6:$A$11,0))+INDEX(Univ!$F$13:$F$15,MATCH(E56,Univ!$A$13:$A$15,0))+INDEX(Univ!$F$24:$F$27,MATCH($C56,Univ!$A$24:$A$27,0)))*Univ!$D$2+Univ!$D$1-R56)/Univ!$D$2</f>
        <v>0.17701105768367928</v>
      </c>
      <c r="U56" s="12">
        <v>0</v>
      </c>
      <c r="V56" s="12">
        <v>0</v>
      </c>
      <c r="W56" s="12">
        <v>0.1</v>
      </c>
      <c r="X56" s="12">
        <v>0.25</v>
      </c>
      <c r="Y56" s="12">
        <v>0.55000000000000004</v>
      </c>
      <c r="Z56" s="12">
        <v>0.95</v>
      </c>
      <c r="AA56" s="12">
        <v>0.05</v>
      </c>
      <c r="AB56" s="12">
        <v>0.1</v>
      </c>
      <c r="AC56" s="12">
        <v>0.1</v>
      </c>
      <c r="AD56" s="12">
        <v>0.25</v>
      </c>
      <c r="AE56" s="12">
        <v>0.2</v>
      </c>
      <c r="AF56" s="12">
        <v>0.35</v>
      </c>
      <c r="AG56" s="58">
        <f t="shared" si="47"/>
        <v>1</v>
      </c>
      <c r="AH56" s="60">
        <f t="shared" si="48"/>
        <v>0</v>
      </c>
      <c r="AI56" s="60">
        <f t="shared" si="49"/>
        <v>7.5000000000000011E-2</v>
      </c>
      <c r="AJ56" s="60">
        <f t="shared" si="50"/>
        <v>2.7500000000000028E-2</v>
      </c>
      <c r="AK56" s="60">
        <f t="shared" si="51"/>
        <v>4.5000000000000005E-2</v>
      </c>
      <c r="AL56" s="60">
        <f t="shared" si="52"/>
        <v>7.5000000000000011E-2</v>
      </c>
      <c r="AM56" s="60">
        <f t="shared" si="53"/>
        <v>0.13</v>
      </c>
      <c r="AN56" s="81">
        <v>0.55000000000000004</v>
      </c>
      <c r="AO56" s="82">
        <f>0.001+INDEX(Univ!$C$6:$C$11,MATCH(D56,Univ!$A$6:$A$11,0))*0.01+INDEX(Univ!$C$13:$C$15,MATCH(E56,Univ!$A$13:$A$15,0))*0.01+INDEX(Univ!$C$24:$C$27,MATCH($C56,Univ!$A$24:$A$27,0))*0.01+BA56</f>
        <v>3.1E-2</v>
      </c>
      <c r="AP56" s="83">
        <f>U56*Univ!$B$17*IF(V56&gt;Univ!$C$17,1,V56/Univ!$C$17)</f>
        <v>0</v>
      </c>
      <c r="AQ56" s="83">
        <f>W56*Univ!$B$18*IF(X56&gt;Univ!$C$18,1,X56/Univ!$C$18)</f>
        <v>7.5000000000000011E-2</v>
      </c>
      <c r="AR56" s="83">
        <f>Y56*Univ!$B$19*IF(Z56&gt;Univ!$C$19,1,Z56/Univ!$C$19)</f>
        <v>0.82500000000000007</v>
      </c>
      <c r="AS56" s="83">
        <f>AA56*Univ!$B$20*IF(AB56&gt;Univ!$C$20,1,AB56/Univ!$C$20)</f>
        <v>1.2500000000000001E-2</v>
      </c>
      <c r="AT56" s="83">
        <f>AC56*Univ!$B$21*IF(AD56&gt;Univ!$C$21,1,AD56/Univ!$C$21)</f>
        <v>2.2727272727272728E-2</v>
      </c>
      <c r="AU56" s="83">
        <f>AE56*Univ!$B$22*IF(AF56&gt;Univ!$C$22,1,AF56/Univ!$C$22)</f>
        <v>0.25454545454545452</v>
      </c>
      <c r="AV56" s="83">
        <f t="shared" si="21"/>
        <v>1.0907670362055903</v>
      </c>
      <c r="AW56" s="21">
        <f t="shared" si="38"/>
        <v>0</v>
      </c>
      <c r="AX56" s="97">
        <f t="shared" si="39"/>
        <v>0</v>
      </c>
      <c r="AY56" s="22">
        <f t="shared" si="40"/>
        <v>0</v>
      </c>
      <c r="AZ56" s="98">
        <f t="shared" si="41"/>
        <v>0</v>
      </c>
      <c r="BA56" s="98">
        <f t="shared" si="42"/>
        <v>0</v>
      </c>
      <c r="BB56" s="98">
        <f t="shared" si="43"/>
        <v>0</v>
      </c>
      <c r="BC56" s="98">
        <f t="shared" si="44"/>
        <v>0</v>
      </c>
    </row>
    <row r="57" spans="1:55" x14ac:dyDescent="0.25">
      <c r="A57" t="str">
        <f>Stats!A57</f>
        <v>OMA</v>
      </c>
      <c r="B57" t="str">
        <f>Stats!B57</f>
        <v>The Sultanate of Oman</v>
      </c>
      <c r="C57" t="s">
        <v>348</v>
      </c>
      <c r="D57" t="s">
        <v>223</v>
      </c>
      <c r="E57" t="s">
        <v>230</v>
      </c>
      <c r="F57" s="47" t="s">
        <v>233</v>
      </c>
      <c r="G57" s="58" t="str">
        <f t="shared" si="37"/>
        <v>Democrat</v>
      </c>
      <c r="H57" s="74">
        <f t="shared" si="8"/>
        <v>7</v>
      </c>
      <c r="I57" s="25">
        <f t="shared" si="9"/>
        <v>8</v>
      </c>
      <c r="J57" s="74">
        <f t="shared" si="10"/>
        <v>12</v>
      </c>
      <c r="K57" s="25">
        <f t="shared" si="11"/>
        <v>1.7962500000000001</v>
      </c>
      <c r="L57">
        <f>INDEX(Univ!$E$6:$E$11,MATCH($D57,Univ!$A$6:$A$11,0))+INDEX(Univ!$E$13:$E$15,MATCH($E57,Univ!$A$13:$A$15,0))+INDEX(Univ!$E$24:$E$27,MATCH($C57,Univ!$A$24:$A$27,0))</f>
        <v>5</v>
      </c>
      <c r="M57">
        <f>INDEX(Univ!$B$6:$B$11,MATCH($D57,Univ!$A$6:$A$11,0))+INDEX(Univ!$B$13:$B$15,MATCH($E57,Univ!$A$13:$A$15,0))+INDEX(Univ!$B$24:$B$27,MATCH($C57,Univ!$A$24:$A$27,0))</f>
        <v>9</v>
      </c>
      <c r="N57">
        <f>INDEX(Univ!$D$6:$D$11,MATCH(D57,Univ!$A$6:$A$11,0))+INDEX(Univ!$D$13:$D$15,MATCH(E57,Univ!$A$13:$A$15,0))+INDEX(Univ!$D$24:$D$27,MATCH($C57,Univ!$A$24:$A$27,0))</f>
        <v>11</v>
      </c>
      <c r="O57">
        <f>INDEX(Univ!$H$6:$H$11,MATCH($D57,Univ!$A$6:$A$11,0))+INDEX(Univ!$H$13:$H$15,MATCH($E57,Univ!$A$13:$A$15,0))+INDEX(Univ!$H$24:$H$27,MATCH($C57,Univ!$A$24:$A$27,0))</f>
        <v>1.5</v>
      </c>
      <c r="P57" s="29">
        <f>(INDEX(Univ!$G$6:$G$11,MATCH(D57,Univ!$A$6:$A$11,0))+INDEX(Univ!$G$13:$G$15,MATCH(E57,Univ!$A$13:$A$15,0))+INDEX(Univ!$G$24:$G$27,MATCH($C57,Univ!$A$24:$A$27,0)))*AV57*(1+AZ57)</f>
        <v>6.6189809707317554E-2</v>
      </c>
      <c r="Q57" s="3">
        <f t="shared" si="45"/>
        <v>0.73049999999999993</v>
      </c>
      <c r="R57" s="3">
        <f t="shared" si="46"/>
        <v>0.12174999999999998</v>
      </c>
      <c r="S57" s="71">
        <f>FLOOR((Q57-Univ!$F$1)/Univ!$F$2-IF(T57&lt;0,T57,0),0.1)</f>
        <v>1.5</v>
      </c>
      <c r="T57" s="65">
        <f>((INDEX(Univ!$F$6:$F$11,MATCH(D57,Univ!$A$6:$A$11,0))+INDEX(Univ!$F$13:$F$15,MATCH(E57,Univ!$A$13:$A$15,0))+INDEX(Univ!$F$24:$F$27,MATCH($C57,Univ!$A$24:$A$27,0)))*Univ!$D$2+Univ!$D$1-R57)/Univ!$D$2</f>
        <v>1.4613426445420465</v>
      </c>
      <c r="U57" s="12">
        <v>0.45</v>
      </c>
      <c r="V57" s="12">
        <v>0.9</v>
      </c>
      <c r="W57" s="12">
        <v>0.35</v>
      </c>
      <c r="X57" s="12">
        <v>0.85</v>
      </c>
      <c r="Y57" s="12">
        <v>0.1</v>
      </c>
      <c r="Z57" s="12">
        <v>0.25</v>
      </c>
      <c r="AA57" s="12">
        <v>0</v>
      </c>
      <c r="AB57" s="12">
        <v>0</v>
      </c>
      <c r="AC57" s="12">
        <v>0.05</v>
      </c>
      <c r="AD57" s="12">
        <v>0.01</v>
      </c>
      <c r="AE57" s="12">
        <v>0.05</v>
      </c>
      <c r="AF57" s="12">
        <v>0.05</v>
      </c>
      <c r="AG57" s="58">
        <f t="shared" si="47"/>
        <v>1</v>
      </c>
      <c r="AH57" s="60">
        <f t="shared" si="48"/>
        <v>4.4999999999999991E-2</v>
      </c>
      <c r="AI57" s="60">
        <f t="shared" si="49"/>
        <v>5.2500000000000005E-2</v>
      </c>
      <c r="AJ57" s="60">
        <f t="shared" si="50"/>
        <v>7.5000000000000011E-2</v>
      </c>
      <c r="AK57" s="60">
        <f t="shared" si="51"/>
        <v>0</v>
      </c>
      <c r="AL57" s="60">
        <f t="shared" si="52"/>
        <v>4.9500000000000002E-2</v>
      </c>
      <c r="AM57" s="60">
        <f t="shared" si="53"/>
        <v>4.7500000000000001E-2</v>
      </c>
      <c r="AN57" s="81">
        <v>0.55000000000000004</v>
      </c>
      <c r="AO57" s="82">
        <f>0.001+INDEX(Univ!$C$6:$C$11,MATCH(D57,Univ!$A$6:$A$11,0))*0.01+INDEX(Univ!$C$13:$C$15,MATCH(E57,Univ!$A$13:$A$15,0))*0.01+INDEX(Univ!$C$24:$C$27,MATCH($C57,Univ!$A$24:$A$27,0))*0.01+BA57</f>
        <v>4.1000000000000002E-2</v>
      </c>
      <c r="AP57" s="83">
        <f>U57*Univ!$B$17*IF(V57&gt;Univ!$C$17,1,V57/Univ!$C$17)</f>
        <v>0.33750000000000002</v>
      </c>
      <c r="AQ57" s="83">
        <f>W57*Univ!$B$18*IF(X57&gt;Univ!$C$18,1,X57/Univ!$C$18)</f>
        <v>0.26249999999999996</v>
      </c>
      <c r="AR57" s="83">
        <f>Y57*Univ!$B$19*IF(Z57&gt;Univ!$C$19,1,Z57/Univ!$C$19)</f>
        <v>7.5000000000000011E-2</v>
      </c>
      <c r="AS57" s="83">
        <f>AA57*Univ!$B$20*IF(AB57&gt;Univ!$C$20,1,AB57/Univ!$C$20)</f>
        <v>0</v>
      </c>
      <c r="AT57" s="83">
        <f>AC57*Univ!$B$21*IF(AD57&gt;Univ!$C$21,1,AD57/Univ!$C$21)</f>
        <v>4.5454545454545455E-4</v>
      </c>
      <c r="AU57" s="83">
        <f>AE57*Univ!$B$22*IF(AF57&gt;Univ!$C$22,1,AF57/Univ!$C$22)</f>
        <v>9.0909090909090922E-3</v>
      </c>
      <c r="AV57" s="83">
        <f t="shared" si="21"/>
        <v>0.82737262134146938</v>
      </c>
      <c r="AW57" s="21">
        <f t="shared" si="38"/>
        <v>0</v>
      </c>
      <c r="AX57" s="97">
        <f t="shared" si="39"/>
        <v>0</v>
      </c>
      <c r="AY57" s="22">
        <f t="shared" si="40"/>
        <v>0</v>
      </c>
      <c r="AZ57" s="98">
        <f t="shared" si="41"/>
        <v>0</v>
      </c>
      <c r="BA57" s="98">
        <f t="shared" si="42"/>
        <v>0</v>
      </c>
      <c r="BB57" s="98">
        <f t="shared" si="43"/>
        <v>0</v>
      </c>
      <c r="BC57" s="98">
        <f t="shared" si="44"/>
        <v>0</v>
      </c>
    </row>
    <row r="58" spans="1:55" x14ac:dyDescent="0.25">
      <c r="A58" t="str">
        <f>Stats!A58</f>
        <v>YEM</v>
      </c>
      <c r="B58" t="str">
        <f>Stats!B58</f>
        <v>The Sultanate of Yemen</v>
      </c>
      <c r="C58" t="s">
        <v>348</v>
      </c>
      <c r="D58" t="s">
        <v>223</v>
      </c>
      <c r="E58" t="s">
        <v>230</v>
      </c>
      <c r="F58" s="47" t="s">
        <v>233</v>
      </c>
      <c r="G58" s="58" t="str">
        <f t="shared" si="37"/>
        <v>Democrat</v>
      </c>
      <c r="H58" s="74">
        <f t="shared" si="8"/>
        <v>7</v>
      </c>
      <c r="I58" s="25">
        <f t="shared" si="9"/>
        <v>8</v>
      </c>
      <c r="J58" s="74">
        <f t="shared" si="10"/>
        <v>12</v>
      </c>
      <c r="K58" s="25">
        <f t="shared" si="11"/>
        <v>1.7962500000000001</v>
      </c>
      <c r="L58">
        <f>INDEX(Univ!$E$6:$E$11,MATCH($D58,Univ!$A$6:$A$11,0))+INDEX(Univ!$E$13:$E$15,MATCH($E58,Univ!$A$13:$A$15,0))+INDEX(Univ!$E$24:$E$27,MATCH($C58,Univ!$A$24:$A$27,0))</f>
        <v>5</v>
      </c>
      <c r="M58">
        <f>INDEX(Univ!$B$6:$B$11,MATCH($D58,Univ!$A$6:$A$11,0))+INDEX(Univ!$B$13:$B$15,MATCH($E58,Univ!$A$13:$A$15,0))+INDEX(Univ!$B$24:$B$27,MATCH($C58,Univ!$A$24:$A$27,0))</f>
        <v>9</v>
      </c>
      <c r="N58">
        <f>INDEX(Univ!$D$6:$D$11,MATCH(D58,Univ!$A$6:$A$11,0))+INDEX(Univ!$D$13:$D$15,MATCH(E58,Univ!$A$13:$A$15,0))+INDEX(Univ!$D$24:$D$27,MATCH($C58,Univ!$A$24:$A$27,0))</f>
        <v>11</v>
      </c>
      <c r="O58">
        <f>INDEX(Univ!$H$6:$H$11,MATCH($D58,Univ!$A$6:$A$11,0))+INDEX(Univ!$H$13:$H$15,MATCH($E58,Univ!$A$13:$A$15,0))+INDEX(Univ!$H$24:$H$27,MATCH($C58,Univ!$A$24:$A$27,0))</f>
        <v>1.5</v>
      </c>
      <c r="P58" s="29">
        <f>(INDEX(Univ!$G$6:$G$11,MATCH(D58,Univ!$A$6:$A$11,0))+INDEX(Univ!$G$13:$G$15,MATCH(E58,Univ!$A$13:$A$15,0))+INDEX(Univ!$G$24:$G$27,MATCH($C58,Univ!$A$24:$A$27,0)))*AV58*(1+AZ58)</f>
        <v>6.6189809707317554E-2</v>
      </c>
      <c r="Q58" s="3">
        <f t="shared" si="45"/>
        <v>0.73049999999999993</v>
      </c>
      <c r="R58" s="3">
        <f t="shared" si="46"/>
        <v>0.12174999999999998</v>
      </c>
      <c r="S58" s="71">
        <f>FLOOR((Q58-Univ!$F$1)/Univ!$F$2-IF(T58&lt;0,T58,0),0.1)</f>
        <v>1.5</v>
      </c>
      <c r="T58" s="65">
        <f>((INDEX(Univ!$F$6:$F$11,MATCH(D58,Univ!$A$6:$A$11,0))+INDEX(Univ!$F$13:$F$15,MATCH(E58,Univ!$A$13:$A$15,0))+INDEX(Univ!$F$24:$F$27,MATCH($C58,Univ!$A$24:$A$27,0)))*Univ!$D$2+Univ!$D$1-R58)/Univ!$D$2</f>
        <v>1.4613426445420465</v>
      </c>
      <c r="U58" s="12">
        <v>0.45</v>
      </c>
      <c r="V58" s="12">
        <v>0.9</v>
      </c>
      <c r="W58" s="12">
        <v>0.35</v>
      </c>
      <c r="X58" s="12">
        <v>0.85</v>
      </c>
      <c r="Y58" s="12">
        <v>0.1</v>
      </c>
      <c r="Z58" s="12">
        <v>0.25</v>
      </c>
      <c r="AA58" s="12">
        <v>0</v>
      </c>
      <c r="AB58" s="12">
        <v>0</v>
      </c>
      <c r="AC58" s="12">
        <v>0.05</v>
      </c>
      <c r="AD58" s="12">
        <v>0.01</v>
      </c>
      <c r="AE58" s="12">
        <v>0.05</v>
      </c>
      <c r="AF58" s="12">
        <v>0.05</v>
      </c>
      <c r="AG58" s="58">
        <f t="shared" si="47"/>
        <v>1</v>
      </c>
      <c r="AH58" s="60">
        <f t="shared" si="48"/>
        <v>4.4999999999999991E-2</v>
      </c>
      <c r="AI58" s="60">
        <f t="shared" si="49"/>
        <v>5.2500000000000005E-2</v>
      </c>
      <c r="AJ58" s="60">
        <f t="shared" si="50"/>
        <v>7.5000000000000011E-2</v>
      </c>
      <c r="AK58" s="60">
        <f t="shared" si="51"/>
        <v>0</v>
      </c>
      <c r="AL58" s="60">
        <f t="shared" si="52"/>
        <v>4.9500000000000002E-2</v>
      </c>
      <c r="AM58" s="60">
        <f t="shared" si="53"/>
        <v>4.7500000000000001E-2</v>
      </c>
      <c r="AN58" s="81">
        <v>0.55000000000000004</v>
      </c>
      <c r="AO58" s="82">
        <f>0.001+INDEX(Univ!$C$6:$C$11,MATCH(D58,Univ!$A$6:$A$11,0))*0.01+INDEX(Univ!$C$13:$C$15,MATCH(E58,Univ!$A$13:$A$15,0))*0.01+INDEX(Univ!$C$24:$C$27,MATCH($C58,Univ!$A$24:$A$27,0))*0.01+BA58</f>
        <v>4.1000000000000002E-2</v>
      </c>
      <c r="AP58" s="83">
        <f>U58*Univ!$B$17*IF(V58&gt;Univ!$C$17,1,V58/Univ!$C$17)</f>
        <v>0.33750000000000002</v>
      </c>
      <c r="AQ58" s="83">
        <f>W58*Univ!$B$18*IF(X58&gt;Univ!$C$18,1,X58/Univ!$C$18)</f>
        <v>0.26249999999999996</v>
      </c>
      <c r="AR58" s="83">
        <f>Y58*Univ!$B$19*IF(Z58&gt;Univ!$C$19,1,Z58/Univ!$C$19)</f>
        <v>7.5000000000000011E-2</v>
      </c>
      <c r="AS58" s="83">
        <f>AA58*Univ!$B$20*IF(AB58&gt;Univ!$C$20,1,AB58/Univ!$C$20)</f>
        <v>0</v>
      </c>
      <c r="AT58" s="83">
        <f>AC58*Univ!$B$21*IF(AD58&gt;Univ!$C$21,1,AD58/Univ!$C$21)</f>
        <v>4.5454545454545455E-4</v>
      </c>
      <c r="AU58" s="83">
        <f>AE58*Univ!$B$22*IF(AF58&gt;Univ!$C$22,1,AF58/Univ!$C$22)</f>
        <v>9.0909090909090922E-3</v>
      </c>
      <c r="AV58" s="83">
        <f t="shared" si="21"/>
        <v>0.82737262134146938</v>
      </c>
      <c r="AW58" s="21">
        <f t="shared" si="38"/>
        <v>0</v>
      </c>
      <c r="AX58" s="97">
        <f t="shared" si="39"/>
        <v>0</v>
      </c>
      <c r="AY58" s="22">
        <f t="shared" si="40"/>
        <v>0</v>
      </c>
      <c r="AZ58" s="98">
        <f t="shared" si="41"/>
        <v>0</v>
      </c>
      <c r="BA58" s="98">
        <f t="shared" si="42"/>
        <v>0</v>
      </c>
      <c r="BB58" s="98">
        <f t="shared" si="43"/>
        <v>0</v>
      </c>
      <c r="BC58" s="98">
        <f t="shared" si="44"/>
        <v>0</v>
      </c>
    </row>
    <row r="59" spans="1:55" x14ac:dyDescent="0.25">
      <c r="A59" t="str">
        <f>Stats!A59</f>
        <v>ABU</v>
      </c>
      <c r="B59" t="str">
        <f>Stats!B59</f>
        <v>The Sultanate of Abu Dhabi</v>
      </c>
      <c r="C59" t="s">
        <v>348</v>
      </c>
      <c r="D59" t="s">
        <v>223</v>
      </c>
      <c r="E59" t="s">
        <v>230</v>
      </c>
      <c r="F59" s="47" t="s">
        <v>233</v>
      </c>
      <c r="G59" s="58" t="str">
        <f t="shared" si="37"/>
        <v>Democrat</v>
      </c>
      <c r="H59" s="74">
        <f t="shared" si="8"/>
        <v>7</v>
      </c>
      <c r="I59" s="25">
        <f t="shared" si="9"/>
        <v>8</v>
      </c>
      <c r="J59" s="74">
        <f t="shared" si="10"/>
        <v>12</v>
      </c>
      <c r="K59" s="25">
        <f t="shared" si="11"/>
        <v>1.7962500000000001</v>
      </c>
      <c r="L59">
        <f>INDEX(Univ!$E$6:$E$11,MATCH($D59,Univ!$A$6:$A$11,0))+INDEX(Univ!$E$13:$E$15,MATCH($E59,Univ!$A$13:$A$15,0))+INDEX(Univ!$E$24:$E$27,MATCH($C59,Univ!$A$24:$A$27,0))</f>
        <v>5</v>
      </c>
      <c r="M59">
        <f>INDEX(Univ!$B$6:$B$11,MATCH($D59,Univ!$A$6:$A$11,0))+INDEX(Univ!$B$13:$B$15,MATCH($E59,Univ!$A$13:$A$15,0))+INDEX(Univ!$B$24:$B$27,MATCH($C59,Univ!$A$24:$A$27,0))</f>
        <v>9</v>
      </c>
      <c r="N59">
        <f>INDEX(Univ!$D$6:$D$11,MATCH(D59,Univ!$A$6:$A$11,0))+INDEX(Univ!$D$13:$D$15,MATCH(E59,Univ!$A$13:$A$15,0))+INDEX(Univ!$D$24:$D$27,MATCH($C59,Univ!$A$24:$A$27,0))</f>
        <v>11</v>
      </c>
      <c r="O59">
        <f>INDEX(Univ!$H$6:$H$11,MATCH($D59,Univ!$A$6:$A$11,0))+INDEX(Univ!$H$13:$H$15,MATCH($E59,Univ!$A$13:$A$15,0))+INDEX(Univ!$H$24:$H$27,MATCH($C59,Univ!$A$24:$A$27,0))</f>
        <v>1.5</v>
      </c>
      <c r="P59" s="29">
        <f>(INDEX(Univ!$G$6:$G$11,MATCH(D59,Univ!$A$6:$A$11,0))+INDEX(Univ!$G$13:$G$15,MATCH(E59,Univ!$A$13:$A$15,0))+INDEX(Univ!$G$24:$G$27,MATCH($C59,Univ!$A$24:$A$27,0)))*AV59*(1+AZ59)</f>
        <v>6.6189809707317554E-2</v>
      </c>
      <c r="Q59" s="3">
        <f t="shared" si="45"/>
        <v>0.73049999999999993</v>
      </c>
      <c r="R59" s="3">
        <f t="shared" si="46"/>
        <v>0.12174999999999998</v>
      </c>
      <c r="S59" s="71">
        <f>FLOOR((Q59-Univ!$F$1)/Univ!$F$2-IF(T59&lt;0,T59,0),0.1)</f>
        <v>1.5</v>
      </c>
      <c r="T59" s="65">
        <f>((INDEX(Univ!$F$6:$F$11,MATCH(D59,Univ!$A$6:$A$11,0))+INDEX(Univ!$F$13:$F$15,MATCH(E59,Univ!$A$13:$A$15,0))+INDEX(Univ!$F$24:$F$27,MATCH($C59,Univ!$A$24:$A$27,0)))*Univ!$D$2+Univ!$D$1-R59)/Univ!$D$2</f>
        <v>1.4613426445420465</v>
      </c>
      <c r="U59" s="12">
        <v>0.45</v>
      </c>
      <c r="V59" s="12">
        <v>0.9</v>
      </c>
      <c r="W59" s="12">
        <v>0.35</v>
      </c>
      <c r="X59" s="12">
        <v>0.85</v>
      </c>
      <c r="Y59" s="12">
        <v>0.1</v>
      </c>
      <c r="Z59" s="12">
        <v>0.25</v>
      </c>
      <c r="AA59" s="12">
        <v>0</v>
      </c>
      <c r="AB59" s="12">
        <v>0</v>
      </c>
      <c r="AC59" s="12">
        <v>0.05</v>
      </c>
      <c r="AD59" s="12">
        <v>0.01</v>
      </c>
      <c r="AE59" s="12">
        <v>0.05</v>
      </c>
      <c r="AF59" s="12">
        <v>0.05</v>
      </c>
      <c r="AG59" s="58">
        <f t="shared" si="47"/>
        <v>1</v>
      </c>
      <c r="AH59" s="60">
        <f t="shared" si="48"/>
        <v>4.4999999999999991E-2</v>
      </c>
      <c r="AI59" s="60">
        <f t="shared" si="49"/>
        <v>5.2500000000000005E-2</v>
      </c>
      <c r="AJ59" s="60">
        <f t="shared" si="50"/>
        <v>7.5000000000000011E-2</v>
      </c>
      <c r="AK59" s="60">
        <f t="shared" si="51"/>
        <v>0</v>
      </c>
      <c r="AL59" s="60">
        <f t="shared" si="52"/>
        <v>4.9500000000000002E-2</v>
      </c>
      <c r="AM59" s="60">
        <f t="shared" si="53"/>
        <v>4.7500000000000001E-2</v>
      </c>
      <c r="AN59" s="81">
        <v>0.55000000000000004</v>
      </c>
      <c r="AO59" s="82">
        <f>0.001+INDEX(Univ!$C$6:$C$11,MATCH(D59,Univ!$A$6:$A$11,0))*0.01+INDEX(Univ!$C$13:$C$15,MATCH(E59,Univ!$A$13:$A$15,0))*0.01+INDEX(Univ!$C$24:$C$27,MATCH($C59,Univ!$A$24:$A$27,0))*0.01+BA59</f>
        <v>4.1000000000000002E-2</v>
      </c>
      <c r="AP59" s="83">
        <f>U59*Univ!$B$17*IF(V59&gt;Univ!$C$17,1,V59/Univ!$C$17)</f>
        <v>0.33750000000000002</v>
      </c>
      <c r="AQ59" s="83">
        <f>W59*Univ!$B$18*IF(X59&gt;Univ!$C$18,1,X59/Univ!$C$18)</f>
        <v>0.26249999999999996</v>
      </c>
      <c r="AR59" s="83">
        <f>Y59*Univ!$B$19*IF(Z59&gt;Univ!$C$19,1,Z59/Univ!$C$19)</f>
        <v>7.5000000000000011E-2</v>
      </c>
      <c r="AS59" s="83">
        <f>AA59*Univ!$B$20*IF(AB59&gt;Univ!$C$20,1,AB59/Univ!$C$20)</f>
        <v>0</v>
      </c>
      <c r="AT59" s="83">
        <f>AC59*Univ!$B$21*IF(AD59&gt;Univ!$C$21,1,AD59/Univ!$C$21)</f>
        <v>4.5454545454545455E-4</v>
      </c>
      <c r="AU59" s="83">
        <f>AE59*Univ!$B$22*IF(AF59&gt;Univ!$C$22,1,AF59/Univ!$C$22)</f>
        <v>9.0909090909090922E-3</v>
      </c>
      <c r="AV59" s="83">
        <f t="shared" si="21"/>
        <v>0.82737262134146938</v>
      </c>
      <c r="AW59" s="21">
        <f t="shared" si="38"/>
        <v>0</v>
      </c>
      <c r="AX59" s="97">
        <f t="shared" si="39"/>
        <v>0</v>
      </c>
      <c r="AY59" s="22">
        <f t="shared" si="40"/>
        <v>0</v>
      </c>
      <c r="AZ59" s="98">
        <f t="shared" si="41"/>
        <v>0</v>
      </c>
      <c r="BA59" s="98">
        <f t="shared" si="42"/>
        <v>0</v>
      </c>
      <c r="BB59" s="98">
        <f t="shared" si="43"/>
        <v>0</v>
      </c>
      <c r="BC59" s="98">
        <f t="shared" si="44"/>
        <v>0</v>
      </c>
    </row>
    <row r="60" spans="1:55" x14ac:dyDescent="0.25">
      <c r="A60" t="str">
        <f>Stats!A60</f>
        <v>SIA</v>
      </c>
      <c r="B60" t="s">
        <v>484</v>
      </c>
      <c r="C60" t="s">
        <v>348</v>
      </c>
      <c r="D60" t="s">
        <v>223</v>
      </c>
      <c r="E60" t="s">
        <v>230</v>
      </c>
      <c r="F60" s="47" t="s">
        <v>233</v>
      </c>
      <c r="G60" s="58" t="str">
        <f t="shared" si="37"/>
        <v>Monarchist</v>
      </c>
      <c r="H60" s="74">
        <f t="shared" si="8"/>
        <v>5</v>
      </c>
      <c r="I60" s="25">
        <f t="shared" si="9"/>
        <v>6</v>
      </c>
      <c r="J60" s="74">
        <f t="shared" si="10"/>
        <v>10</v>
      </c>
      <c r="K60" s="25">
        <f t="shared" si="11"/>
        <v>1.7962500000000001</v>
      </c>
      <c r="L60">
        <f>INDEX(Univ!$E$6:$E$11,MATCH($D60,Univ!$A$6:$A$11,0))+INDEX(Univ!$E$13:$E$15,MATCH($E60,Univ!$A$13:$A$15,0))+INDEX(Univ!$E$24:$E$27,MATCH($C60,Univ!$A$24:$A$27,0))</f>
        <v>5</v>
      </c>
      <c r="M60">
        <f>INDEX(Univ!$B$6:$B$11,MATCH($D60,Univ!$A$6:$A$11,0))+INDEX(Univ!$B$13:$B$15,MATCH($E60,Univ!$A$13:$A$15,0))+INDEX(Univ!$B$24:$B$27,MATCH($C60,Univ!$A$24:$A$27,0))</f>
        <v>9</v>
      </c>
      <c r="N60">
        <f>INDEX(Univ!$D$6:$D$11,MATCH(D60,Univ!$A$6:$A$11,0))+INDEX(Univ!$D$13:$D$15,MATCH(E60,Univ!$A$13:$A$15,0))+INDEX(Univ!$D$24:$D$27,MATCH($C60,Univ!$A$24:$A$27,0))</f>
        <v>11</v>
      </c>
      <c r="O60">
        <f>INDEX(Univ!$H$6:$H$11,MATCH($D60,Univ!$A$6:$A$11,0))+INDEX(Univ!$H$13:$H$15,MATCH($E60,Univ!$A$13:$A$15,0))+INDEX(Univ!$H$24:$H$27,MATCH($C60,Univ!$A$24:$A$27,0))</f>
        <v>1.5</v>
      </c>
      <c r="P60" s="29">
        <f>(INDEX(Univ!$G$6:$G$11,MATCH(D60,Univ!$A$6:$A$11,0))+INDEX(Univ!$G$13:$G$15,MATCH(E60,Univ!$A$13:$A$15,0))+INDEX(Univ!$G$24:$G$27,MATCH($C60,Univ!$A$24:$A$27,0)))*AV60*(1+AZ60)</f>
        <v>8.139242761293751E-2</v>
      </c>
      <c r="Q60" s="3">
        <f t="shared" si="45"/>
        <v>0.51400000000000001</v>
      </c>
      <c r="R60" s="3">
        <f t="shared" si="46"/>
        <v>8.5666666666666669E-2</v>
      </c>
      <c r="S60" s="71">
        <f>FLOOR((Q60-Univ!$F$1)/Univ!$F$2-IF(T60&lt;0,T60,0),0.1)</f>
        <v>-0.4</v>
      </c>
      <c r="T60" s="65">
        <f>((INDEX(Univ!$F$6:$F$11,MATCH(D60,Univ!$A$6:$A$11,0))+INDEX(Univ!$F$13:$F$15,MATCH(E60,Univ!$A$13:$A$15,0))+INDEX(Univ!$F$24:$F$27,MATCH($C60,Univ!$A$24:$A$27,0)))*Univ!$D$2+Univ!$D$1-R60)/Univ!$D$2</f>
        <v>3.3281162764114884</v>
      </c>
      <c r="U60" s="12">
        <v>0.15</v>
      </c>
      <c r="V60" s="12">
        <v>0.25</v>
      </c>
      <c r="W60" s="12">
        <v>0.2</v>
      </c>
      <c r="X60" s="12">
        <v>0.55000000000000004</v>
      </c>
      <c r="Y60" s="12">
        <v>0.35</v>
      </c>
      <c r="Z60" s="12">
        <v>0.85</v>
      </c>
      <c r="AA60" s="12">
        <v>0.05</v>
      </c>
      <c r="AB60" s="12">
        <v>0.01</v>
      </c>
      <c r="AC60" s="12">
        <v>0.1</v>
      </c>
      <c r="AD60" s="12">
        <v>0.01</v>
      </c>
      <c r="AE60" s="12">
        <v>0.15</v>
      </c>
      <c r="AF60" s="12">
        <v>0.45</v>
      </c>
      <c r="AG60" s="58">
        <f t="shared" si="47"/>
        <v>1</v>
      </c>
      <c r="AH60" s="60">
        <f t="shared" si="48"/>
        <v>0.11249999999999999</v>
      </c>
      <c r="AI60" s="60">
        <f t="shared" si="49"/>
        <v>0.09</v>
      </c>
      <c r="AJ60" s="60">
        <f t="shared" si="50"/>
        <v>5.2500000000000005E-2</v>
      </c>
      <c r="AK60" s="60">
        <f t="shared" si="51"/>
        <v>4.9500000000000002E-2</v>
      </c>
      <c r="AL60" s="60">
        <f t="shared" si="52"/>
        <v>9.9000000000000005E-2</v>
      </c>
      <c r="AM60" s="60">
        <f t="shared" si="53"/>
        <v>8.2500000000000004E-2</v>
      </c>
      <c r="AN60" s="81">
        <v>0.55000000000000004</v>
      </c>
      <c r="AO60" s="82">
        <f>0.001+INDEX(Univ!$C$6:$C$11,MATCH(D60,Univ!$A$6:$A$11,0))*0.01+INDEX(Univ!$C$13:$C$15,MATCH(E60,Univ!$A$13:$A$15,0))*0.01+INDEX(Univ!$C$24:$C$27,MATCH($C60,Univ!$A$24:$A$27,0))*0.01+BA60</f>
        <v>4.1000000000000002E-2</v>
      </c>
      <c r="AP60" s="83">
        <f>U60*Univ!$B$17*IF(V60&gt;Univ!$C$17,1,V60/Univ!$C$17)</f>
        <v>0.11249999999999999</v>
      </c>
      <c r="AQ60" s="83">
        <f>W60*Univ!$B$18*IF(X60&gt;Univ!$C$18,1,X60/Univ!$C$18)</f>
        <v>0.15000000000000002</v>
      </c>
      <c r="AR60" s="83">
        <f>Y60*Univ!$B$19*IF(Z60&gt;Univ!$C$19,1,Z60/Univ!$C$19)</f>
        <v>0.52499999999999991</v>
      </c>
      <c r="AS60" s="83">
        <f>AA60*Univ!$B$20*IF(AB60&gt;Univ!$C$20,1,AB60/Univ!$C$20)</f>
        <v>1.25E-3</v>
      </c>
      <c r="AT60" s="83">
        <f>AC60*Univ!$B$21*IF(AD60&gt;Univ!$C$21,1,AD60/Univ!$C$21)</f>
        <v>9.0909090909090909E-4</v>
      </c>
      <c r="AU60" s="83">
        <f>AE60*Univ!$B$22*IF(AF60&gt;Univ!$C$22,1,AF60/Univ!$C$22)</f>
        <v>0.24545454545454543</v>
      </c>
      <c r="AV60" s="83">
        <f t="shared" si="21"/>
        <v>1.0174053451617189</v>
      </c>
      <c r="AW60" s="21">
        <f t="shared" si="38"/>
        <v>0</v>
      </c>
      <c r="AX60" s="97">
        <f t="shared" si="39"/>
        <v>0</v>
      </c>
      <c r="AY60" s="22">
        <f t="shared" si="40"/>
        <v>0</v>
      </c>
      <c r="AZ60" s="98">
        <f t="shared" si="41"/>
        <v>0</v>
      </c>
      <c r="BA60" s="98">
        <f t="shared" si="42"/>
        <v>0</v>
      </c>
      <c r="BB60" s="98">
        <f t="shared" si="43"/>
        <v>0</v>
      </c>
      <c r="BC60" s="98">
        <f t="shared" si="44"/>
        <v>0</v>
      </c>
    </row>
  </sheetData>
  <mergeCells count="9">
    <mergeCell ref="AW1:BB1"/>
    <mergeCell ref="AH1:AM1"/>
    <mergeCell ref="AP1:AU1"/>
    <mergeCell ref="U1:V1"/>
    <mergeCell ref="W1:X1"/>
    <mergeCell ref="Y1:Z1"/>
    <mergeCell ref="AA1:AB1"/>
    <mergeCell ref="AC1:AD1"/>
    <mergeCell ref="AE1:A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K3" sqref="K3"/>
    </sheetView>
  </sheetViews>
  <sheetFormatPr defaultColWidth="8.85546875" defaultRowHeight="15" x14ac:dyDescent="0.25"/>
  <cols>
    <col min="1" max="1" width="12" bestFit="1" customWidth="1"/>
    <col min="2" max="2" width="8.7109375" customWidth="1"/>
    <col min="3" max="3" width="9" bestFit="1" customWidth="1"/>
    <col min="4" max="4" width="8" bestFit="1" customWidth="1"/>
    <col min="5" max="5" width="11" bestFit="1" customWidth="1"/>
    <col min="7" max="7" width="8.85546875" style="3" bestFit="1" customWidth="1"/>
    <col min="8" max="8" width="8.85546875" style="25" customWidth="1"/>
    <col min="10" max="10" width="10" customWidth="1"/>
  </cols>
  <sheetData>
    <row r="1" spans="1:11" x14ac:dyDescent="0.25">
      <c r="A1" t="s">
        <v>216</v>
      </c>
      <c r="B1">
        <f>AVERAGE(Stats!R:R)</f>
        <v>16.840964285714282</v>
      </c>
      <c r="C1" t="s">
        <v>258</v>
      </c>
      <c r="D1" s="3">
        <f>AVERAGE(Govt!R:R)</f>
        <v>9.2008908045977028E-2</v>
      </c>
      <c r="E1" t="s">
        <v>261</v>
      </c>
      <c r="F1" s="3">
        <f>AVERAGE(Govt!Q:Q)</f>
        <v>0.552053448275862</v>
      </c>
      <c r="K1" s="5" t="s">
        <v>479</v>
      </c>
    </row>
    <row r="2" spans="1:11" x14ac:dyDescent="0.25">
      <c r="A2" t="s">
        <v>217</v>
      </c>
      <c r="B2">
        <f>_xlfn.STDEV.P(Stats!R:R)</f>
        <v>5.6831970180615103</v>
      </c>
      <c r="C2" t="s">
        <v>259</v>
      </c>
      <c r="D2" s="3">
        <f>_xlfn.STDEV.P(Govt!R:R)</f>
        <v>1.9329249522984961E-2</v>
      </c>
      <c r="E2" t="s">
        <v>262</v>
      </c>
      <c r="F2" s="3">
        <f>_xlfn.STDEV.P(Govt!Q:Q)</f>
        <v>0.11597549713791014</v>
      </c>
      <c r="J2" s="133">
        <v>1930</v>
      </c>
      <c r="K2">
        <v>5</v>
      </c>
    </row>
    <row r="3" spans="1:11" x14ac:dyDescent="0.25">
      <c r="A3" t="s">
        <v>218</v>
      </c>
      <c r="B3">
        <f>B1-B2</f>
        <v>11.157767267652773</v>
      </c>
      <c r="D3" s="3">
        <f>D1-D2</f>
        <v>7.2679658522992074E-2</v>
      </c>
      <c r="J3" s="5" t="s">
        <v>472</v>
      </c>
      <c r="K3" s="3">
        <f>INDEX(K6:K25,K2)</f>
        <v>5.0000000000000001E-3</v>
      </c>
    </row>
    <row r="4" spans="1:11" x14ac:dyDescent="0.25">
      <c r="A4" t="s">
        <v>219</v>
      </c>
      <c r="B4">
        <f>B1+B2</f>
        <v>22.524161303775792</v>
      </c>
      <c r="D4" s="3">
        <f>D1+D2</f>
        <v>0.11133815756896198</v>
      </c>
      <c r="J4" s="132" t="s">
        <v>469</v>
      </c>
      <c r="K4" s="6"/>
    </row>
    <row r="5" spans="1:11" x14ac:dyDescent="0.25">
      <c r="A5" s="6" t="s">
        <v>221</v>
      </c>
      <c r="B5" s="6" t="s">
        <v>241</v>
      </c>
      <c r="C5" s="6" t="s">
        <v>245</v>
      </c>
      <c r="D5" s="6" t="s">
        <v>240</v>
      </c>
      <c r="E5" s="6" t="s">
        <v>242</v>
      </c>
      <c r="F5" s="6" t="s">
        <v>260</v>
      </c>
      <c r="G5" s="62" t="s">
        <v>263</v>
      </c>
      <c r="H5" s="104" t="s">
        <v>433</v>
      </c>
      <c r="I5" s="101" t="s">
        <v>369</v>
      </c>
      <c r="J5" s="6" t="s">
        <v>470</v>
      </c>
      <c r="K5" s="6" t="s">
        <v>471</v>
      </c>
    </row>
    <row r="6" spans="1:11" x14ac:dyDescent="0.25">
      <c r="A6" t="s">
        <v>222</v>
      </c>
      <c r="B6">
        <v>6</v>
      </c>
      <c r="C6">
        <v>3</v>
      </c>
      <c r="D6">
        <v>12</v>
      </c>
      <c r="E6">
        <v>6</v>
      </c>
      <c r="F6" t="str">
        <f>"+1.5"</f>
        <v>+1.5</v>
      </c>
      <c r="G6" s="3">
        <v>9.5000000000000001E-2</v>
      </c>
      <c r="H6" s="25">
        <v>1.7</v>
      </c>
      <c r="I6">
        <f>COUNTIF(Govt!D:D,A6)</f>
        <v>14</v>
      </c>
      <c r="J6" t="s">
        <v>475</v>
      </c>
      <c r="K6" s="3">
        <v>-0.01</v>
      </c>
    </row>
    <row r="7" spans="1:11" x14ac:dyDescent="0.25">
      <c r="A7" t="s">
        <v>223</v>
      </c>
      <c r="B7">
        <v>6</v>
      </c>
      <c r="C7">
        <v>2</v>
      </c>
      <c r="D7">
        <v>11</v>
      </c>
      <c r="E7">
        <v>5</v>
      </c>
      <c r="F7" t="str">
        <f>"+1"</f>
        <v>+1</v>
      </c>
      <c r="G7" s="3">
        <v>0.09</v>
      </c>
      <c r="H7" s="25">
        <v>1.7</v>
      </c>
      <c r="I7">
        <f>COUNTIF(Govt!D:D,A7)</f>
        <v>29</v>
      </c>
      <c r="J7" t="s">
        <v>473</v>
      </c>
      <c r="K7" s="3">
        <v>-5.0000000000000001E-3</v>
      </c>
    </row>
    <row r="8" spans="1:11" x14ac:dyDescent="0.25">
      <c r="A8" t="s">
        <v>224</v>
      </c>
      <c r="B8">
        <v>5</v>
      </c>
      <c r="C8">
        <v>1</v>
      </c>
      <c r="D8">
        <v>10</v>
      </c>
      <c r="E8">
        <v>5</v>
      </c>
      <c r="F8" t="str">
        <f>"-0.5"</f>
        <v>-0.5</v>
      </c>
      <c r="G8" s="3">
        <v>8.5000000000000006E-2</v>
      </c>
      <c r="H8" s="25">
        <v>2</v>
      </c>
      <c r="I8">
        <f>COUNTIF(Govt!D:D,A8)</f>
        <v>7</v>
      </c>
      <c r="J8" t="s">
        <v>476</v>
      </c>
      <c r="K8" s="3">
        <v>0</v>
      </c>
    </row>
    <row r="9" spans="1:11" x14ac:dyDescent="0.25">
      <c r="A9" t="s">
        <v>225</v>
      </c>
      <c r="B9">
        <v>5</v>
      </c>
      <c r="C9">
        <v>0</v>
      </c>
      <c r="D9">
        <v>9</v>
      </c>
      <c r="E9">
        <v>4</v>
      </c>
      <c r="F9" t="str">
        <f>"-1.0"</f>
        <v>-1.0</v>
      </c>
      <c r="G9" s="3">
        <v>0.08</v>
      </c>
      <c r="H9" s="25">
        <v>2</v>
      </c>
      <c r="I9">
        <f>COUNTIF(Govt!D:D,A9)</f>
        <v>4</v>
      </c>
      <c r="J9" t="s">
        <v>476</v>
      </c>
      <c r="K9" s="3">
        <v>2.5000000000000001E-3</v>
      </c>
    </row>
    <row r="10" spans="1:11" x14ac:dyDescent="0.25">
      <c r="A10" t="s">
        <v>226</v>
      </c>
      <c r="B10">
        <v>7</v>
      </c>
      <c r="C10">
        <v>-1</v>
      </c>
      <c r="D10">
        <v>8</v>
      </c>
      <c r="E10">
        <v>3</v>
      </c>
      <c r="F10" t="str">
        <f>"+1.5"</f>
        <v>+1.5</v>
      </c>
      <c r="G10" s="3">
        <v>7.4999999999999997E-2</v>
      </c>
      <c r="H10" s="25">
        <v>2.2999999999999998</v>
      </c>
      <c r="I10">
        <f>COUNTIF(Govt!D:D,A10)</f>
        <v>3</v>
      </c>
      <c r="J10" t="s">
        <v>476</v>
      </c>
      <c r="K10" s="3">
        <v>5.0000000000000001E-3</v>
      </c>
    </row>
    <row r="11" spans="1:11" x14ac:dyDescent="0.25">
      <c r="A11" t="s">
        <v>227</v>
      </c>
      <c r="B11">
        <v>4</v>
      </c>
      <c r="C11">
        <v>-2</v>
      </c>
      <c r="D11">
        <v>5</v>
      </c>
      <c r="E11">
        <v>2</v>
      </c>
      <c r="F11" t="str">
        <f>"-1.5"</f>
        <v>-1.5</v>
      </c>
      <c r="G11" s="3">
        <v>7.0000000000000007E-2</v>
      </c>
      <c r="H11" s="25">
        <v>2.6</v>
      </c>
      <c r="I11">
        <f>COUNTIF(Govt!D:D,A11)</f>
        <v>1</v>
      </c>
      <c r="J11" t="s">
        <v>476</v>
      </c>
      <c r="K11" s="3">
        <v>7.4999999999999997E-3</v>
      </c>
    </row>
    <row r="12" spans="1:11" x14ac:dyDescent="0.25">
      <c r="A12" s="6" t="s">
        <v>228</v>
      </c>
      <c r="B12" s="6" t="s">
        <v>244</v>
      </c>
      <c r="C12" s="6" t="s">
        <v>245</v>
      </c>
      <c r="D12" s="6" t="s">
        <v>243</v>
      </c>
      <c r="E12" s="6" t="s">
        <v>220</v>
      </c>
      <c r="F12" s="6" t="s">
        <v>260</v>
      </c>
      <c r="G12" s="76" t="s">
        <v>263</v>
      </c>
      <c r="H12" s="104" t="s">
        <v>433</v>
      </c>
      <c r="I12" s="101" t="s">
        <v>369</v>
      </c>
      <c r="J12" t="s">
        <v>476</v>
      </c>
      <c r="K12" s="3">
        <v>0.01</v>
      </c>
    </row>
    <row r="13" spans="1:11" x14ac:dyDescent="0.25">
      <c r="A13" t="s">
        <v>230</v>
      </c>
      <c r="B13" t="str">
        <f>"+1"</f>
        <v>+1</v>
      </c>
      <c r="C13" t="str">
        <f>"+1.0"</f>
        <v>+1.0</v>
      </c>
      <c r="D13" t="str">
        <f>"+1"</f>
        <v>+1</v>
      </c>
      <c r="E13" t="str">
        <f>"+1"</f>
        <v>+1</v>
      </c>
      <c r="F13" t="str">
        <f>"+1.0"</f>
        <v>+1.0</v>
      </c>
      <c r="G13" s="61" t="str">
        <f>"+0.00%"</f>
        <v>+0.00%</v>
      </c>
      <c r="H13" s="25" t="str">
        <f>"+0.0"</f>
        <v>+0.0</v>
      </c>
      <c r="I13">
        <f>COUNTIF(Govt!E:E,A13)</f>
        <v>21</v>
      </c>
      <c r="J13" t="s">
        <v>476</v>
      </c>
      <c r="K13" s="3">
        <v>1.2999999999999999E-2</v>
      </c>
    </row>
    <row r="14" spans="1:11" x14ac:dyDescent="0.25">
      <c r="A14" t="s">
        <v>231</v>
      </c>
      <c r="B14" t="str">
        <f>"+0"</f>
        <v>+0</v>
      </c>
      <c r="C14" t="str">
        <f>"-0.5"</f>
        <v>-0.5</v>
      </c>
      <c r="D14" t="str">
        <f>"-1"</f>
        <v>-1</v>
      </c>
      <c r="E14" t="str">
        <f>"-1"</f>
        <v>-1</v>
      </c>
      <c r="F14" t="str">
        <f>"+0.0"</f>
        <v>+0.0</v>
      </c>
      <c r="G14" s="61" t="str">
        <f>"-1.00%"</f>
        <v>-1.00%</v>
      </c>
      <c r="H14" s="25" t="str">
        <f>"+0.0"</f>
        <v>+0.0</v>
      </c>
      <c r="I14">
        <f>COUNTIF(Govt!E:E,A14)</f>
        <v>21</v>
      </c>
      <c r="J14" t="s">
        <v>476</v>
      </c>
      <c r="K14" s="3">
        <v>1.6E-2</v>
      </c>
    </row>
    <row r="15" spans="1:11" x14ac:dyDescent="0.25">
      <c r="A15" t="s">
        <v>229</v>
      </c>
      <c r="B15" t="str">
        <f>"-1"</f>
        <v>-1</v>
      </c>
      <c r="C15" t="str">
        <f>"+0.5"</f>
        <v>+0.5</v>
      </c>
      <c r="D15" t="str">
        <f>"+0"</f>
        <v>+0</v>
      </c>
      <c r="E15" t="str">
        <f>"+2"</f>
        <v>+2</v>
      </c>
      <c r="F15" t="str">
        <f>"-1.0"</f>
        <v>-1.0</v>
      </c>
      <c r="G15" s="61" t="str">
        <f>"+1.00%"</f>
        <v>+1.00%</v>
      </c>
      <c r="H15" s="25" t="str">
        <f>"+0.0"</f>
        <v>+0.0</v>
      </c>
      <c r="I15">
        <f>COUNTIF(Govt!E:E,A15)</f>
        <v>16</v>
      </c>
      <c r="J15" t="s">
        <v>474</v>
      </c>
      <c r="K15" s="3">
        <v>1.9E-2</v>
      </c>
    </row>
    <row r="16" spans="1:11" x14ac:dyDescent="0.25">
      <c r="A16" s="6" t="s">
        <v>238</v>
      </c>
      <c r="B16" s="62" t="s">
        <v>264</v>
      </c>
      <c r="C16" s="6" t="s">
        <v>266</v>
      </c>
      <c r="J16" t="s">
        <v>474</v>
      </c>
      <c r="K16" s="3">
        <v>2.1999999999999999E-2</v>
      </c>
    </row>
    <row r="17" spans="1:11" x14ac:dyDescent="0.25">
      <c r="A17" s="54" t="s">
        <v>233</v>
      </c>
      <c r="B17" s="3">
        <v>0.75</v>
      </c>
      <c r="C17" s="12">
        <v>0.25</v>
      </c>
      <c r="J17" t="s">
        <v>474</v>
      </c>
      <c r="K17" s="3">
        <v>2.5999999999999999E-2</v>
      </c>
    </row>
    <row r="18" spans="1:11" x14ac:dyDescent="0.25">
      <c r="A18" s="54" t="s">
        <v>237</v>
      </c>
      <c r="B18" s="3">
        <v>0.75</v>
      </c>
      <c r="C18" s="12">
        <v>0.25</v>
      </c>
      <c r="J18" t="s">
        <v>474</v>
      </c>
      <c r="K18" s="3">
        <v>0.03</v>
      </c>
    </row>
    <row r="19" spans="1:11" x14ac:dyDescent="0.25">
      <c r="A19" s="54" t="s">
        <v>250</v>
      </c>
      <c r="B19" s="3">
        <v>1.5</v>
      </c>
      <c r="C19" s="12">
        <v>0.5</v>
      </c>
      <c r="J19" t="s">
        <v>474</v>
      </c>
      <c r="K19" s="3">
        <v>3.4000000000000002E-2</v>
      </c>
    </row>
    <row r="20" spans="1:11" x14ac:dyDescent="0.25">
      <c r="A20" s="54" t="s">
        <v>236</v>
      </c>
      <c r="B20" s="3">
        <v>2.25</v>
      </c>
      <c r="C20" s="12">
        <v>0.9</v>
      </c>
      <c r="J20" t="s">
        <v>474</v>
      </c>
      <c r="K20" s="3">
        <v>3.7999999999999999E-2</v>
      </c>
    </row>
    <row r="21" spans="1:11" x14ac:dyDescent="0.25">
      <c r="A21" s="54" t="s">
        <v>235</v>
      </c>
      <c r="B21" s="3">
        <v>0.5</v>
      </c>
      <c r="C21" s="12">
        <v>0.55000000000000004</v>
      </c>
      <c r="J21" t="s">
        <v>474</v>
      </c>
      <c r="K21" s="3">
        <v>4.2000000000000003E-2</v>
      </c>
    </row>
    <row r="22" spans="1:11" x14ac:dyDescent="0.25">
      <c r="A22" s="54" t="s">
        <v>234</v>
      </c>
      <c r="B22" s="3">
        <v>2</v>
      </c>
      <c r="C22" s="12">
        <v>0.55000000000000004</v>
      </c>
      <c r="J22" t="s">
        <v>474</v>
      </c>
      <c r="K22" s="3">
        <v>4.5999999999999999E-2</v>
      </c>
    </row>
    <row r="23" spans="1:11" x14ac:dyDescent="0.25">
      <c r="A23" s="6" t="s">
        <v>345</v>
      </c>
      <c r="B23" s="6" t="s">
        <v>244</v>
      </c>
      <c r="C23" s="6" t="s">
        <v>245</v>
      </c>
      <c r="D23" s="6" t="s">
        <v>243</v>
      </c>
      <c r="E23" s="6" t="s">
        <v>220</v>
      </c>
      <c r="F23" s="6" t="s">
        <v>260</v>
      </c>
      <c r="G23" s="62" t="s">
        <v>263</v>
      </c>
      <c r="H23" s="104" t="s">
        <v>433</v>
      </c>
      <c r="I23" s="101" t="s">
        <v>369</v>
      </c>
      <c r="J23" t="s">
        <v>474</v>
      </c>
      <c r="K23" s="3">
        <v>0.05</v>
      </c>
    </row>
    <row r="24" spans="1:11" x14ac:dyDescent="0.25">
      <c r="A24" s="54" t="s">
        <v>346</v>
      </c>
      <c r="B24" t="str">
        <f>"-1"</f>
        <v>-1</v>
      </c>
      <c r="C24" t="str">
        <f>"-0.5"</f>
        <v>-0.5</v>
      </c>
      <c r="D24" t="str">
        <f>"+0"</f>
        <v>+0</v>
      </c>
      <c r="E24" t="str">
        <f>"+1"</f>
        <v>+1</v>
      </c>
      <c r="F24" t="str">
        <f>"-1.0"</f>
        <v>-1.0</v>
      </c>
      <c r="G24" s="3" t="str">
        <f>"+2.00%"</f>
        <v>+2.00%</v>
      </c>
      <c r="H24" s="25" t="str">
        <f>"+0.2"</f>
        <v>+0.2</v>
      </c>
      <c r="I24">
        <f>COUNTIF(Govt!C:C,A24)</f>
        <v>18</v>
      </c>
      <c r="J24" t="s">
        <v>474</v>
      </c>
      <c r="K24" s="3">
        <v>5.5E-2</v>
      </c>
    </row>
    <row r="25" spans="1:11" x14ac:dyDescent="0.25">
      <c r="A25" s="54" t="s">
        <v>347</v>
      </c>
      <c r="B25" t="str">
        <f>"+1"</f>
        <v>+1</v>
      </c>
      <c r="C25" t="str">
        <f>"+0.5"</f>
        <v>+0.5</v>
      </c>
      <c r="D25" t="str">
        <f>"+1"</f>
        <v>+1</v>
      </c>
      <c r="E25" t="str">
        <f>"+0"</f>
        <v>+0</v>
      </c>
      <c r="F25" t="str">
        <f>"-0.5"</f>
        <v>-0.5</v>
      </c>
      <c r="G25" s="3" t="str">
        <f>"+1.00%"</f>
        <v>+1.00%</v>
      </c>
      <c r="H25" s="25" t="str">
        <f>"+0.2"</f>
        <v>+0.2</v>
      </c>
      <c r="I25">
        <f>COUNTIF(Govt!C:C,A25)</f>
        <v>16</v>
      </c>
      <c r="J25" t="s">
        <v>474</v>
      </c>
      <c r="K25" s="3">
        <v>0.06</v>
      </c>
    </row>
    <row r="26" spans="1:11" x14ac:dyDescent="0.25">
      <c r="A26" s="54" t="s">
        <v>348</v>
      </c>
      <c r="B26" t="str">
        <f>"+2"</f>
        <v>+2</v>
      </c>
      <c r="C26" t="str">
        <f>"+1.0"</f>
        <v>+1.0</v>
      </c>
      <c r="D26" t="str">
        <f>"-1"</f>
        <v>-1</v>
      </c>
      <c r="E26" t="str">
        <f>"-1"</f>
        <v>-1</v>
      </c>
      <c r="F26" t="str">
        <f>"+1.0"</f>
        <v>+1.0</v>
      </c>
      <c r="G26" s="3" t="str">
        <f>"-1.00%"</f>
        <v>-1.00%</v>
      </c>
      <c r="H26" s="25" t="str">
        <f>"-0.2"</f>
        <v>-0.2</v>
      </c>
      <c r="I26">
        <f>COUNTIF(Govt!C:C,A26)</f>
        <v>23</v>
      </c>
      <c r="J26" s="5" t="s">
        <v>477</v>
      </c>
      <c r="K26" s="3">
        <f>AVERAGE(K6:K25)</f>
        <v>2.3049999999999998E-2</v>
      </c>
    </row>
    <row r="27" spans="1:11" x14ac:dyDescent="0.25">
      <c r="A27" s="54" t="s">
        <v>349</v>
      </c>
      <c r="B27" t="str">
        <f>"-1"</f>
        <v>-1</v>
      </c>
      <c r="C27" t="str">
        <f>"-1.0"</f>
        <v>-1.0</v>
      </c>
      <c r="D27" t="str">
        <f>"+1"</f>
        <v>+1</v>
      </c>
      <c r="E27" t="str">
        <f>"+1"</f>
        <v>+1</v>
      </c>
      <c r="F27" t="str">
        <f>"+0.5"</f>
        <v>+0.5</v>
      </c>
      <c r="G27" s="3" t="str">
        <f>"-2.00%"</f>
        <v>-2.00%</v>
      </c>
      <c r="H27" s="25" t="str">
        <f>"+0.0"</f>
        <v>+0.0</v>
      </c>
      <c r="I27">
        <f>COUNTIF(Govt!C:C,A27)</f>
        <v>1</v>
      </c>
      <c r="J27" s="5" t="s">
        <v>478</v>
      </c>
      <c r="K27" s="3">
        <f>MEDIAN(K6:K25)</f>
        <v>2.0499999999999997E-2</v>
      </c>
    </row>
    <row r="28" spans="1:11" x14ac:dyDescent="0.25">
      <c r="A28" s="102" t="s">
        <v>365</v>
      </c>
      <c r="B28" s="102" t="s">
        <v>244</v>
      </c>
      <c r="C28" s="102" t="s">
        <v>245</v>
      </c>
      <c r="D28" s="102" t="s">
        <v>243</v>
      </c>
      <c r="E28" s="102" t="s">
        <v>220</v>
      </c>
      <c r="F28" s="102" t="s">
        <v>260</v>
      </c>
      <c r="G28" s="103" t="s">
        <v>263</v>
      </c>
      <c r="H28" s="105"/>
      <c r="I28" s="101"/>
    </row>
    <row r="29" spans="1:11" x14ac:dyDescent="0.25">
      <c r="A29" s="54" t="s">
        <v>366</v>
      </c>
    </row>
    <row r="30" spans="1:11" x14ac:dyDescent="0.25">
      <c r="A30" s="54" t="s">
        <v>467</v>
      </c>
      <c r="C30" s="5" t="s">
        <v>370</v>
      </c>
    </row>
    <row r="31" spans="1:11" x14ac:dyDescent="0.25">
      <c r="A31" s="54" t="s">
        <v>367</v>
      </c>
    </row>
    <row r="32" spans="1:11" x14ac:dyDescent="0.25">
      <c r="A32" s="54" t="s">
        <v>368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P166"/>
  <sheetViews>
    <sheetView workbookViewId="0">
      <selection activeCell="O3" sqref="O3"/>
    </sheetView>
  </sheetViews>
  <sheetFormatPr defaultColWidth="8.85546875" defaultRowHeight="15" x14ac:dyDescent="0.25"/>
  <cols>
    <col min="1" max="1" width="4.28515625" customWidth="1"/>
    <col min="2" max="2" width="15.7109375" customWidth="1"/>
    <col min="3" max="3" width="11.42578125" style="1" bestFit="1" customWidth="1"/>
    <col min="4" max="4" width="6.140625" style="19" customWidth="1"/>
    <col min="5" max="5" width="5" style="13" customWidth="1"/>
    <col min="6" max="6" width="4" style="2" bestFit="1" customWidth="1"/>
    <col min="7" max="7" width="5.28515625" style="37" bestFit="1" customWidth="1"/>
    <col min="8" max="8" width="3.85546875" style="8" bestFit="1" customWidth="1"/>
    <col min="9" max="9" width="4.5703125" style="146" bestFit="1" customWidth="1"/>
    <col min="10" max="10" width="8" style="11" customWidth="1"/>
    <col min="11" max="11" width="7.28515625" style="8" bestFit="1" customWidth="1"/>
    <col min="12" max="12" width="11" customWidth="1"/>
    <col min="13" max="13" width="6" style="25" customWidth="1"/>
    <col min="14" max="14" width="6" style="3" customWidth="1"/>
    <col min="15" max="15" width="7.7109375" style="28" customWidth="1"/>
    <col min="16" max="16" width="7.28515625" style="1" bestFit="1" customWidth="1"/>
    <col min="17" max="17" width="10.42578125" style="1" customWidth="1"/>
  </cols>
  <sheetData>
    <row r="1" spans="1:16" s="5" customFormat="1" x14ac:dyDescent="0.25">
      <c r="A1" s="5" t="s">
        <v>33</v>
      </c>
      <c r="B1" s="5" t="s">
        <v>21</v>
      </c>
      <c r="C1" s="4" t="s">
        <v>10</v>
      </c>
      <c r="D1" s="109" t="s">
        <v>186</v>
      </c>
      <c r="E1" s="7" t="s">
        <v>39</v>
      </c>
      <c r="F1" s="4" t="s">
        <v>22</v>
      </c>
      <c r="G1" s="36" t="s">
        <v>35</v>
      </c>
      <c r="H1" s="7" t="s">
        <v>46</v>
      </c>
      <c r="I1" s="127" t="s">
        <v>45</v>
      </c>
      <c r="J1" s="10" t="s">
        <v>38</v>
      </c>
      <c r="K1" s="7" t="s">
        <v>47</v>
      </c>
      <c r="L1" s="4" t="s">
        <v>444</v>
      </c>
      <c r="M1" s="18" t="s">
        <v>445</v>
      </c>
      <c r="N1" s="116" t="s">
        <v>449</v>
      </c>
      <c r="O1" s="127" t="s">
        <v>456</v>
      </c>
      <c r="P1" s="4" t="s">
        <v>465</v>
      </c>
    </row>
    <row r="2" spans="1:16" x14ac:dyDescent="0.25">
      <c r="B2" t="s">
        <v>2</v>
      </c>
      <c r="C2" s="1">
        <v>6684000</v>
      </c>
      <c r="D2" s="19">
        <v>34</v>
      </c>
      <c r="E2" s="13">
        <f>(C2/1000000+F2*0.15)*I2*(1-G2)*10</f>
        <v>182.74056000000002</v>
      </c>
      <c r="F2" s="2">
        <f>(C2*(D2/100)^2/100000)*(1-G2)*10</f>
        <v>77.267040000000009</v>
      </c>
      <c r="G2" s="37">
        <v>0</v>
      </c>
      <c r="H2" s="8" t="s">
        <v>44</v>
      </c>
      <c r="I2" s="146">
        <f>IF(H2="P",1,IF(H2="A",0.75,IF(H2="C",0.25,IF(H2="S",0.1,0))))</f>
        <v>1</v>
      </c>
      <c r="J2" s="11">
        <f>C2*(I2)*(1-G2)*(INDEX(Stats!Q:Q,MATCH(K2,Stats!A:A,0)))</f>
        <v>214032.73937924035</v>
      </c>
      <c r="K2" s="8" t="s">
        <v>24</v>
      </c>
      <c r="L2" s="1">
        <f>C2*(1+SUMIFS(Stats!S:S,Stats!A:A,K2)*(125-D2)/100*IF(H2="S",0.5,1))</f>
        <v>6790442.7000000002</v>
      </c>
      <c r="M2" s="25">
        <f>D2*(1+SUMIFS(Stats!T:T,Stats!A:A,K2)*SQRT(I2))</f>
        <v>34.141611650485437</v>
      </c>
      <c r="N2" s="3">
        <f>(L2-C2)/L2</f>
        <v>1.5675369736939268E-2</v>
      </c>
      <c r="O2" s="28">
        <f>E2/C2*1000000/I2</f>
        <v>27.340000000000003</v>
      </c>
      <c r="P2" s="1">
        <f>ROUND(J2/E2*I2/1000,0.1)</f>
        <v>1</v>
      </c>
    </row>
    <row r="3" spans="1:16" x14ac:dyDescent="0.25">
      <c r="B3" t="s">
        <v>97</v>
      </c>
      <c r="C3" s="1">
        <v>8076000</v>
      </c>
      <c r="D3" s="19">
        <v>24</v>
      </c>
      <c r="E3" s="13">
        <f t="shared" ref="E3:E75" si="0">(C3/1000000+F3*0.15)*I3*(1-G3)*10</f>
        <v>150.53664000000001</v>
      </c>
      <c r="F3" s="2">
        <f t="shared" ref="F3:F75" si="1">(C3*(D3/100)^2/100000)*(1-G3)*10</f>
        <v>46.517759999999996</v>
      </c>
      <c r="G3" s="37">
        <v>0</v>
      </c>
      <c r="H3" s="8" t="s">
        <v>44</v>
      </c>
      <c r="I3" s="146">
        <f t="shared" ref="I3:I66" si="2">IF(H3="P",1,IF(H3="A",0.75,IF(H3="C",0.25,IF(H3="S",0.1,0))))</f>
        <v>1</v>
      </c>
      <c r="J3" s="11">
        <f>C3*(I3)*(1-G3)*(INDEX(Stats!Q:Q,MATCH(K3,Stats!A:A,0)))</f>
        <v>760433.21519695129</v>
      </c>
      <c r="K3" s="8" t="s">
        <v>89</v>
      </c>
      <c r="L3" s="1">
        <f>C3*(1+SUMIFS(Stats!S:S,Stats!A:A,K3)*(125-D3)/100*IF(H3="S",0.5,1))</f>
        <v>8402270.4000000004</v>
      </c>
      <c r="M3" s="25">
        <f>D3*(1+SUMIFS(Stats!T:T,Stats!A:A,K3)*SQRT(I3))</f>
        <v>24.073112582781459</v>
      </c>
      <c r="N3" s="3">
        <f t="shared" ref="N3:N66" si="3">(L3-C3)/L3</f>
        <v>3.8831218762014653E-2</v>
      </c>
      <c r="O3" s="28">
        <f t="shared" ref="O3:O66" si="4">E3/C3*1000000/I3</f>
        <v>18.64</v>
      </c>
      <c r="P3" s="1">
        <f t="shared" ref="P3:P66" si="5">ROUND(J3/E3*I3/1000,0.1)</f>
        <v>5</v>
      </c>
    </row>
    <row r="4" spans="1:16" x14ac:dyDescent="0.25">
      <c r="B4" t="s">
        <v>99</v>
      </c>
      <c r="C4" s="1">
        <v>3542000</v>
      </c>
      <c r="D4" s="19">
        <v>18</v>
      </c>
      <c r="E4" s="13">
        <f t="shared" si="0"/>
        <v>52.634119999999996</v>
      </c>
      <c r="F4" s="2">
        <f t="shared" si="1"/>
        <v>11.47608</v>
      </c>
      <c r="G4" s="37">
        <v>0</v>
      </c>
      <c r="H4" s="8" t="s">
        <v>44</v>
      </c>
      <c r="I4" s="146">
        <f t="shared" si="2"/>
        <v>1</v>
      </c>
      <c r="J4" s="11">
        <f>C4*(I4)*(1-G4)*(INDEX(Stats!Q:Q,MATCH(K4,Stats!A:A,0)))</f>
        <v>240059.15244372582</v>
      </c>
      <c r="K4" s="8" t="s">
        <v>66</v>
      </c>
      <c r="L4" s="1">
        <f>C4*(1+SUMIFS(Stats!S:S,Stats!A:A,K4)*(125-D4)/100*IF(H4="S",0.5,1))</f>
        <v>3665173.05</v>
      </c>
      <c r="M4" s="25">
        <f>D4*(1+SUMIFS(Stats!T:T,Stats!A:A,K4)*SQRT(I4))</f>
        <v>18.064528301886792</v>
      </c>
      <c r="N4" s="3">
        <f t="shared" si="3"/>
        <v>3.3606339542412551E-2</v>
      </c>
      <c r="O4" s="28">
        <f t="shared" si="4"/>
        <v>14.859999999999998</v>
      </c>
      <c r="P4" s="1">
        <f t="shared" si="5"/>
        <v>5</v>
      </c>
    </row>
    <row r="5" spans="1:16" x14ac:dyDescent="0.25">
      <c r="B5" t="s">
        <v>6</v>
      </c>
      <c r="C5" s="1">
        <v>3449000</v>
      </c>
      <c r="D5" s="19">
        <v>19</v>
      </c>
      <c r="E5" s="13">
        <f t="shared" si="0"/>
        <v>13.291583750000001</v>
      </c>
      <c r="F5" s="2">
        <f t="shared" si="1"/>
        <v>12.450889999999999</v>
      </c>
      <c r="G5" s="37">
        <v>0</v>
      </c>
      <c r="H5" s="8" t="s">
        <v>215</v>
      </c>
      <c r="I5" s="146">
        <f t="shared" si="2"/>
        <v>0.25</v>
      </c>
      <c r="J5" s="11">
        <f>C5*(I5)*(1-G5)*(INDEX(Stats!Q:Q,MATCH(K5,Stats!A:A,0)))</f>
        <v>45723.055506345634</v>
      </c>
      <c r="K5" s="8" t="s">
        <v>27</v>
      </c>
      <c r="L5" s="1">
        <f>C5*(1+SUMIFS(Stats!S:S,Stats!A:A,K5)*(125-D5)/100*IF(H5="S",0.5,1))</f>
        <v>3549538.35</v>
      </c>
      <c r="M5" s="25">
        <f>D5*(1+SUMIFS(Stats!T:T,Stats!A:A,K5)*SQRT(I5))</f>
        <v>19.034055461113475</v>
      </c>
      <c r="N5" s="3">
        <f t="shared" si="3"/>
        <v>2.8324345333527692E-2</v>
      </c>
      <c r="O5" s="28">
        <f t="shared" si="4"/>
        <v>15.415000000000001</v>
      </c>
      <c r="P5" s="1">
        <f t="shared" si="5"/>
        <v>1</v>
      </c>
    </row>
    <row r="6" spans="1:16" x14ac:dyDescent="0.25">
      <c r="B6" t="s">
        <v>4</v>
      </c>
      <c r="C6" s="1">
        <v>41610000</v>
      </c>
      <c r="D6" s="19">
        <v>36</v>
      </c>
      <c r="E6" s="13">
        <f t="shared" si="0"/>
        <v>1224.9983999999999</v>
      </c>
      <c r="F6" s="2">
        <f t="shared" si="1"/>
        <v>539.26560000000006</v>
      </c>
      <c r="G6" s="37">
        <v>0</v>
      </c>
      <c r="H6" s="8" t="s">
        <v>44</v>
      </c>
      <c r="I6" s="146">
        <f t="shared" si="2"/>
        <v>1</v>
      </c>
      <c r="J6" s="11">
        <f>C6*(I6)*(1-G6)*(INDEX(Stats!Q:Q,MATCH(K6,Stats!A:A,0)))</f>
        <v>4804242.6424058676</v>
      </c>
      <c r="K6" s="8" t="s">
        <v>28</v>
      </c>
      <c r="L6" s="1">
        <f>C6*(1+SUMIFS(Stats!S:S,Stats!A:A,K6)*(125-D6)/100*IF(H6="S",0.5,1))</f>
        <v>43091316</v>
      </c>
      <c r="M6" s="25">
        <f>D6*(1+SUMIFS(Stats!T:T,Stats!A:A,K6)*SQRT(I6))</f>
        <v>36.110426409903717</v>
      </c>
      <c r="N6" s="3">
        <f t="shared" si="3"/>
        <v>3.4376207029741215E-2</v>
      </c>
      <c r="O6" s="28">
        <f t="shared" si="4"/>
        <v>29.439999999999998</v>
      </c>
      <c r="P6" s="1">
        <f t="shared" si="5"/>
        <v>4</v>
      </c>
    </row>
    <row r="7" spans="1:16" x14ac:dyDescent="0.25">
      <c r="A7" t="s">
        <v>34</v>
      </c>
      <c r="B7" t="s">
        <v>100</v>
      </c>
      <c r="C7" s="1">
        <v>65084000</v>
      </c>
      <c r="D7" s="19">
        <v>38</v>
      </c>
      <c r="E7" s="13">
        <f t="shared" si="0"/>
        <v>2060.55944</v>
      </c>
      <c r="F7" s="2">
        <f t="shared" si="1"/>
        <v>939.81295999999998</v>
      </c>
      <c r="G7" s="37">
        <v>0</v>
      </c>
      <c r="H7" s="8" t="s">
        <v>44</v>
      </c>
      <c r="I7" s="146">
        <f t="shared" si="2"/>
        <v>1</v>
      </c>
      <c r="J7" s="11">
        <f>C7*(I7)*(1-G7)*(INDEX(Stats!Q:Q,MATCH(K7,Stats!A:A,0)))</f>
        <v>5384033.8694094168</v>
      </c>
      <c r="K7" s="8" t="s">
        <v>54</v>
      </c>
      <c r="L7" s="1">
        <f>C7*(1+SUMIFS(Stats!S:S,Stats!A:A,K7)*(125-D7)/100*IF(H7="S",0.5,1))</f>
        <v>67207365.5</v>
      </c>
      <c r="M7" s="25">
        <f>D7*(1+SUMIFS(Stats!T:T,Stats!A:A,K7)*SQRT(I7))</f>
        <v>38.152848131974771</v>
      </c>
      <c r="N7" s="3">
        <f t="shared" si="3"/>
        <v>3.1594237985716013E-2</v>
      </c>
      <c r="O7" s="28">
        <f t="shared" si="4"/>
        <v>31.66</v>
      </c>
      <c r="P7" s="1">
        <f t="shared" si="5"/>
        <v>3</v>
      </c>
    </row>
    <row r="8" spans="1:16" x14ac:dyDescent="0.25">
      <c r="A8" t="s">
        <v>36</v>
      </c>
      <c r="B8" t="s">
        <v>182</v>
      </c>
      <c r="C8" s="1">
        <f>((990718+10631278+6045425+3994366+17571856+7790559+657831)/80000000)*C7</f>
        <v>38791717.947149999</v>
      </c>
      <c r="D8" s="19">
        <v>38</v>
      </c>
      <c r="E8" s="13">
        <f t="shared" si="0"/>
        <v>1228.1457902067689</v>
      </c>
      <c r="F8" s="2">
        <f t="shared" si="1"/>
        <v>560.15240715684604</v>
      </c>
      <c r="G8" s="37">
        <v>0</v>
      </c>
      <c r="H8" s="8" t="s">
        <v>44</v>
      </c>
      <c r="I8" s="146">
        <f t="shared" si="2"/>
        <v>1</v>
      </c>
      <c r="J8" s="11">
        <f>C8*(I8)*(1-G8)*(INDEX(Stats!Q:Q,MATCH(K8,Stats!A:A,0)))</f>
        <v>5895207.8209561324</v>
      </c>
      <c r="K8" s="8" t="s">
        <v>55</v>
      </c>
      <c r="L8" s="1">
        <f>C8*(1+SUMIFS(Stats!S:S,Stats!A:A,K8)*(125-D8)/100*IF(H8="S",0.5,1))</f>
        <v>39719809.799035564</v>
      </c>
      <c r="M8" s="25">
        <f>D8*(1+SUMIFS(Stats!T:T,Stats!A:A,K8)*SQRT(I8))</f>
        <v>38.124759967453215</v>
      </c>
      <c r="N8" s="3">
        <f t="shared" si="3"/>
        <v>2.3365969187196349E-2</v>
      </c>
      <c r="O8" s="28">
        <f t="shared" si="4"/>
        <v>31.66</v>
      </c>
      <c r="P8" s="1">
        <f t="shared" si="5"/>
        <v>5</v>
      </c>
    </row>
    <row r="9" spans="1:16" x14ac:dyDescent="0.25">
      <c r="A9" t="s">
        <v>36</v>
      </c>
      <c r="B9" t="s">
        <v>183</v>
      </c>
      <c r="C9" s="1">
        <f>((80000000-C10-C8)/80000000)*C7</f>
        <v>25182707.523467105</v>
      </c>
      <c r="D9" s="19">
        <v>38</v>
      </c>
      <c r="E9" s="13">
        <f t="shared" si="0"/>
        <v>797.28452019296856</v>
      </c>
      <c r="F9" s="2">
        <f t="shared" si="1"/>
        <v>363.63829663886497</v>
      </c>
      <c r="G9" s="37">
        <v>0</v>
      </c>
      <c r="H9" s="8" t="s">
        <v>44</v>
      </c>
      <c r="I9" s="146">
        <f t="shared" si="2"/>
        <v>1</v>
      </c>
      <c r="J9" s="11">
        <f>C9*(I9)*(1-G9)*(INDEX(Stats!Q:Q,MATCH(K9,Stats!A:A,0)))</f>
        <v>3308879.1868813159</v>
      </c>
      <c r="K9" s="8" t="s">
        <v>56</v>
      </c>
      <c r="L9" s="1">
        <f>C9*(1+SUMIFS(Stats!S:S,Stats!A:A,K9)*(125-D9)/100*IF(H9="S",0.5,1))</f>
        <v>25785203.800966054</v>
      </c>
      <c r="M9" s="25">
        <f>D9*(1+SUMIFS(Stats!T:T,Stats!A:A,K9)*SQRT(I9))</f>
        <v>38.130476190476195</v>
      </c>
      <c r="N9" s="3">
        <f t="shared" si="3"/>
        <v>2.3365969187196283E-2</v>
      </c>
      <c r="O9" s="28">
        <f t="shared" si="4"/>
        <v>31.66</v>
      </c>
      <c r="P9" s="1">
        <f t="shared" si="5"/>
        <v>4</v>
      </c>
    </row>
    <row r="10" spans="1:16" x14ac:dyDescent="0.25">
      <c r="A10" t="s">
        <v>36</v>
      </c>
      <c r="B10" t="s">
        <v>184</v>
      </c>
      <c r="C10" s="1">
        <f>(12604244/80000000)*C7</f>
        <v>10254182.7062</v>
      </c>
      <c r="D10" s="19">
        <v>38</v>
      </c>
      <c r="E10" s="13">
        <f t="shared" si="0"/>
        <v>324.64742447829201</v>
      </c>
      <c r="F10" s="2">
        <f t="shared" si="1"/>
        <v>148.070398277528</v>
      </c>
      <c r="G10" s="37">
        <v>0</v>
      </c>
      <c r="H10" s="8" t="s">
        <v>44</v>
      </c>
      <c r="I10" s="146">
        <f t="shared" si="2"/>
        <v>1</v>
      </c>
      <c r="J10" s="11">
        <f>C10*(I10)*(1-G10)*(INDEX(Stats!Q:Q,MATCH(K10,Stats!A:A,0)))</f>
        <v>926725.6462248012</v>
      </c>
      <c r="K10" s="8" t="s">
        <v>57</v>
      </c>
      <c r="L10" s="1">
        <f>C10*(1+SUMIFS(Stats!S:S,Stats!A:A,K10)*(125-D10)/100*IF(H10="S",0.5,1))</f>
        <v>10637791.681238942</v>
      </c>
      <c r="M10" s="25">
        <f>D10*(1+SUMIFS(Stats!T:T,Stats!A:A,K10)*SQRT(I10))</f>
        <v>38.467984615384609</v>
      </c>
      <c r="N10" s="3">
        <f t="shared" si="3"/>
        <v>3.6060959504920907E-2</v>
      </c>
      <c r="O10" s="28">
        <f t="shared" si="4"/>
        <v>31.66</v>
      </c>
      <c r="P10" s="1">
        <f t="shared" si="5"/>
        <v>3</v>
      </c>
    </row>
    <row r="11" spans="1:16" x14ac:dyDescent="0.25">
      <c r="B11" t="s">
        <v>185</v>
      </c>
      <c r="C11" s="1">
        <v>1874410</v>
      </c>
      <c r="D11" s="19">
        <v>30</v>
      </c>
      <c r="E11" s="13">
        <f t="shared" si="0"/>
        <v>44.04863499999999</v>
      </c>
      <c r="F11" s="2">
        <f t="shared" si="1"/>
        <v>16.869689999999999</v>
      </c>
      <c r="G11" s="37">
        <v>0</v>
      </c>
      <c r="H11" s="8" t="s">
        <v>44</v>
      </c>
      <c r="I11" s="146">
        <f t="shared" si="2"/>
        <v>1</v>
      </c>
      <c r="J11" s="11">
        <f>C11*(I11)*(1-G11)*(INDEX(Stats!Q:Q,MATCH(K11,Stats!A:A,0)))</f>
        <v>211184.27395483427</v>
      </c>
      <c r="K11" s="8" t="s">
        <v>74</v>
      </c>
      <c r="L11" s="1">
        <f>C11*(1+SUMIFS(Stats!S:S,Stats!A:A,K11)*(125-D11)/100*IF(H11="S",0.5,1))</f>
        <v>1941185.85625</v>
      </c>
      <c r="M11" s="25">
        <f>D11*(1+SUMIFS(Stats!T:T,Stats!A:A,K11)*SQRT(I11))</f>
        <v>30.096666666666668</v>
      </c>
      <c r="N11" s="3">
        <f t="shared" si="3"/>
        <v>3.4399517199758575E-2</v>
      </c>
      <c r="O11" s="28">
        <f t="shared" si="4"/>
        <v>23.499999999999996</v>
      </c>
      <c r="P11" s="1">
        <f t="shared" si="5"/>
        <v>5</v>
      </c>
    </row>
    <row r="12" spans="1:16" x14ac:dyDescent="0.25">
      <c r="B12" t="s">
        <v>3</v>
      </c>
      <c r="C12" s="1">
        <v>40791000</v>
      </c>
      <c r="D12" s="19">
        <v>36</v>
      </c>
      <c r="E12" s="13">
        <f t="shared" si="0"/>
        <v>1200.8870399999998</v>
      </c>
      <c r="F12" s="2">
        <f t="shared" si="1"/>
        <v>528.65135999999995</v>
      </c>
      <c r="G12" s="37">
        <v>0</v>
      </c>
      <c r="H12" s="8" t="s">
        <v>44</v>
      </c>
      <c r="I12" s="146">
        <f t="shared" si="2"/>
        <v>1</v>
      </c>
      <c r="J12" s="11">
        <f>C12*(I12)*(1-G12)*(INDEX(Stats!Q:Q,MATCH(K12,Stats!A:A,0)))</f>
        <v>2759668.8087546681</v>
      </c>
      <c r="K12" s="8" t="s">
        <v>26</v>
      </c>
      <c r="L12" s="1">
        <f>C12*(1+SUMIFS(Stats!S:S,Stats!A:A,K12)*(125-D12)/100*IF(H12="S",0.5,1))</f>
        <v>42152399.625</v>
      </c>
      <c r="M12" s="25">
        <f>D12*(1+SUMIFS(Stats!T:T,Stats!A:A,K12)*SQRT(I12))</f>
        <v>36.134593262119964</v>
      </c>
      <c r="N12" s="3">
        <f t="shared" si="3"/>
        <v>3.2297084794967942E-2</v>
      </c>
      <c r="O12" s="28">
        <f t="shared" si="4"/>
        <v>29.439999999999998</v>
      </c>
      <c r="P12" s="1">
        <f t="shared" si="5"/>
        <v>2</v>
      </c>
    </row>
    <row r="13" spans="1:16" x14ac:dyDescent="0.25">
      <c r="B13" t="s">
        <v>8</v>
      </c>
      <c r="C13" s="1">
        <v>7884000</v>
      </c>
      <c r="D13" s="19">
        <v>36</v>
      </c>
      <c r="E13" s="13">
        <f t="shared" si="0"/>
        <v>232.10496000000001</v>
      </c>
      <c r="F13" s="2">
        <f t="shared" si="1"/>
        <v>102.17663999999999</v>
      </c>
      <c r="G13" s="37">
        <v>0</v>
      </c>
      <c r="H13" s="8" t="s">
        <v>44</v>
      </c>
      <c r="I13" s="146">
        <f t="shared" si="2"/>
        <v>1</v>
      </c>
      <c r="J13" s="11">
        <f>C13*(I13)*(1-G13)*(INDEX(Stats!Q:Q,MATCH(K13,Stats!A:A,0)))</f>
        <v>734975.92696737044</v>
      </c>
      <c r="K13" s="8" t="s">
        <v>30</v>
      </c>
      <c r="L13" s="1">
        <f>C13*(1+SUMIFS(Stats!S:S,Stats!A:A,K13)*(125-D13)/100*IF(H13="S",0.5,1))</f>
        <v>8147128.4999999991</v>
      </c>
      <c r="M13" s="25">
        <f>D13*(1+SUMIFS(Stats!T:T,Stats!A:A,K13)*SQRT(I13))</f>
        <v>36.116652360515026</v>
      </c>
      <c r="N13" s="3">
        <f t="shared" si="3"/>
        <v>3.2297084794967831E-2</v>
      </c>
      <c r="O13" s="28">
        <f t="shared" si="4"/>
        <v>29.439999999999998</v>
      </c>
      <c r="P13" s="1">
        <f t="shared" si="5"/>
        <v>3</v>
      </c>
    </row>
    <row r="14" spans="1:16" x14ac:dyDescent="0.25">
      <c r="B14" t="s">
        <v>101</v>
      </c>
      <c r="C14" s="1">
        <v>2807000</v>
      </c>
      <c r="D14" s="19">
        <v>20</v>
      </c>
      <c r="E14" s="13">
        <f t="shared" si="0"/>
        <v>44.911999999999999</v>
      </c>
      <c r="F14" s="2">
        <f t="shared" si="1"/>
        <v>11.228000000000002</v>
      </c>
      <c r="G14" s="37">
        <v>0</v>
      </c>
      <c r="H14" s="8" t="s">
        <v>44</v>
      </c>
      <c r="I14" s="146">
        <f t="shared" si="2"/>
        <v>1</v>
      </c>
      <c r="J14" s="11">
        <f>C14*(I14)*(1-G14)*(INDEX(Stats!Q:Q,MATCH(K14,Stats!A:A,0)))</f>
        <v>207324.50935933963</v>
      </c>
      <c r="K14" s="8" t="s">
        <v>64</v>
      </c>
      <c r="L14" s="1">
        <f>C14*(1+SUMIFS(Stats!S:S,Stats!A:A,K14)*(125-D14)/100*IF(H14="S",0.5,1))</f>
        <v>2902788.875</v>
      </c>
      <c r="M14" s="25">
        <f>D14*(1+SUMIFS(Stats!T:T,Stats!A:A,K14)*SQRT(I14))</f>
        <v>20.071111111111112</v>
      </c>
      <c r="N14" s="3">
        <f t="shared" si="3"/>
        <v>3.299891212377614E-2</v>
      </c>
      <c r="O14" s="28">
        <f t="shared" si="4"/>
        <v>16</v>
      </c>
      <c r="P14" s="1">
        <f t="shared" si="5"/>
        <v>5</v>
      </c>
    </row>
    <row r="15" spans="1:16" x14ac:dyDescent="0.25">
      <c r="B15" t="s">
        <v>12</v>
      </c>
      <c r="C15" s="1">
        <v>6152000</v>
      </c>
      <c r="D15" s="19">
        <v>22</v>
      </c>
      <c r="E15" s="13">
        <f t="shared" si="0"/>
        <v>106.18352</v>
      </c>
      <c r="F15" s="2">
        <f t="shared" si="1"/>
        <v>29.775679999999998</v>
      </c>
      <c r="G15" s="37">
        <v>0</v>
      </c>
      <c r="H15" s="8" t="s">
        <v>44</v>
      </c>
      <c r="I15" s="146">
        <f t="shared" si="2"/>
        <v>1</v>
      </c>
      <c r="J15" s="11">
        <f>C15*(I15)*(1-G15)*(INDEX(Stats!Q:Q,MATCH(K15,Stats!A:A,0)))</f>
        <v>799672.60886167432</v>
      </c>
      <c r="K15" s="8" t="s">
        <v>62</v>
      </c>
      <c r="L15" s="1">
        <f>C15*(1+SUMIFS(Stats!S:S,Stats!A:A,K15)*(125-D15)/100*IF(H15="S",0.5,1))</f>
        <v>6278731.1999999993</v>
      </c>
      <c r="M15" s="25">
        <f>D15*(1+SUMIFS(Stats!T:T,Stats!A:A,K15)*SQRT(I15))</f>
        <v>22.079158878504671</v>
      </c>
      <c r="N15" s="3">
        <f t="shared" si="3"/>
        <v>2.0184205369390439E-2</v>
      </c>
      <c r="O15" s="28">
        <f t="shared" si="4"/>
        <v>17.260000000000002</v>
      </c>
      <c r="P15" s="1">
        <f t="shared" si="5"/>
        <v>8</v>
      </c>
    </row>
    <row r="16" spans="1:16" x14ac:dyDescent="0.25">
      <c r="B16" t="s">
        <v>11</v>
      </c>
      <c r="C16" s="1">
        <v>4051000</v>
      </c>
      <c r="D16" s="19">
        <v>32</v>
      </c>
      <c r="E16" s="13">
        <f t="shared" si="0"/>
        <v>102.73336</v>
      </c>
      <c r="F16" s="2">
        <f t="shared" si="1"/>
        <v>41.482239999999997</v>
      </c>
      <c r="G16" s="37">
        <v>0</v>
      </c>
      <c r="H16" s="8" t="s">
        <v>44</v>
      </c>
      <c r="I16" s="146">
        <f t="shared" si="2"/>
        <v>1</v>
      </c>
      <c r="J16" s="11">
        <f>C16*(I16)*(1-G16)*(INDEX(Stats!Q:Q,MATCH(K16,Stats!A:A,0)))</f>
        <v>354438.56146438589</v>
      </c>
      <c r="K16" s="8" t="s">
        <v>61</v>
      </c>
      <c r="L16" s="1">
        <f>C16*(1+SUMIFS(Stats!S:S,Stats!A:A,K16)*(125-D16)/100*IF(H16="S",0.5,1))</f>
        <v>4211115.7750000004</v>
      </c>
      <c r="M16" s="25">
        <f>D16*(1+SUMIFS(Stats!T:T,Stats!A:A,K16)*SQRT(I16))</f>
        <v>32.102524271844658</v>
      </c>
      <c r="N16" s="3">
        <f t="shared" si="3"/>
        <v>3.802217358889886E-2</v>
      </c>
      <c r="O16" s="28">
        <f t="shared" si="4"/>
        <v>25.36</v>
      </c>
      <c r="P16" s="1">
        <f t="shared" si="5"/>
        <v>3</v>
      </c>
    </row>
    <row r="17" spans="1:16" x14ac:dyDescent="0.25">
      <c r="B17" t="s">
        <v>53</v>
      </c>
      <c r="C17" s="1">
        <v>45866000</v>
      </c>
      <c r="D17" s="19">
        <v>40</v>
      </c>
      <c r="E17" s="13">
        <f t="shared" si="0"/>
        <v>1559.4440000000004</v>
      </c>
      <c r="F17" s="2">
        <f t="shared" si="1"/>
        <v>733.85600000000022</v>
      </c>
      <c r="G17" s="37">
        <v>0</v>
      </c>
      <c r="H17" s="8" t="s">
        <v>44</v>
      </c>
      <c r="I17" s="146">
        <f t="shared" si="2"/>
        <v>1</v>
      </c>
      <c r="J17" s="11">
        <f>C17*(I17)*(1-G17)*(INDEX(Stats!Q:Q,MATCH(K17,Stats!A:A,0)))</f>
        <v>3623749.1388163823</v>
      </c>
      <c r="K17" s="8" t="s">
        <v>23</v>
      </c>
      <c r="L17" s="1">
        <f>C17*(1+SUMIFS(Stats!S:S,Stats!A:A,K17)*(125-D17)/100*IF(H17="S",0.5,1))</f>
        <v>47409229.05760476</v>
      </c>
      <c r="M17" s="25">
        <f>D17*(1+SUMIFS(Stats!T:T,Stats!A:A,K17)*SQRT(I17))</f>
        <v>40.137444444444448</v>
      </c>
      <c r="N17" s="3">
        <f t="shared" si="3"/>
        <v>3.2551237138440992E-2</v>
      </c>
      <c r="O17" s="28">
        <f t="shared" si="4"/>
        <v>34.000000000000007</v>
      </c>
      <c r="P17" s="1">
        <f t="shared" si="5"/>
        <v>2</v>
      </c>
    </row>
    <row r="18" spans="1:16" x14ac:dyDescent="0.25">
      <c r="B18" t="s">
        <v>5</v>
      </c>
      <c r="C18" s="1">
        <v>2927000</v>
      </c>
      <c r="D18" s="19">
        <v>22</v>
      </c>
      <c r="E18" s="13">
        <f t="shared" si="0"/>
        <v>37.890014999999998</v>
      </c>
      <c r="F18" s="2">
        <f t="shared" si="1"/>
        <v>14.166679999999998</v>
      </c>
      <c r="G18" s="37">
        <v>0</v>
      </c>
      <c r="H18" s="8" t="s">
        <v>214</v>
      </c>
      <c r="I18" s="146">
        <f t="shared" si="2"/>
        <v>0.75</v>
      </c>
      <c r="J18" s="11">
        <f>C18*(I18)*(1-G18)*(INDEX(Stats!Q:Q,MATCH(K18,Stats!A:A,0)))</f>
        <v>173440.79049811763</v>
      </c>
      <c r="K18" s="8" t="s">
        <v>23</v>
      </c>
      <c r="L18" s="1">
        <f>C18*(1+SUMIFS(Stats!S:S,Stats!A:A,K18)*(125-D18)/100*IF(H18="S",0.5,1))</f>
        <v>3046338.4923128346</v>
      </c>
      <c r="M18" s="25">
        <f>D18*(1+SUMIFS(Stats!T:T,Stats!A:A,K18)*SQRT(I18))</f>
        <v>22.06546670927386</v>
      </c>
      <c r="N18" s="3">
        <f t="shared" si="3"/>
        <v>3.9174403177445555E-2</v>
      </c>
      <c r="O18" s="28">
        <f t="shared" si="4"/>
        <v>17.259999999999998</v>
      </c>
      <c r="P18" s="1">
        <f t="shared" si="5"/>
        <v>3</v>
      </c>
    </row>
    <row r="19" spans="1:16" x14ac:dyDescent="0.25">
      <c r="B19" t="s">
        <v>17</v>
      </c>
      <c r="C19" s="1">
        <v>6351000</v>
      </c>
      <c r="D19" s="19">
        <v>18</v>
      </c>
      <c r="E19" s="13">
        <f t="shared" si="0"/>
        <v>94.375859999999989</v>
      </c>
      <c r="F19" s="2">
        <f t="shared" si="1"/>
        <v>20.57724</v>
      </c>
      <c r="G19" s="37">
        <v>0</v>
      </c>
      <c r="H19" s="8" t="s">
        <v>44</v>
      </c>
      <c r="I19" s="146">
        <f t="shared" si="2"/>
        <v>1</v>
      </c>
      <c r="J19" s="11">
        <f>C19*(I19)*(1-G19)*(INDEX(Stats!Q:Q,MATCH(K19,Stats!A:A,0)))</f>
        <v>374182.33601395192</v>
      </c>
      <c r="K19" s="8" t="s">
        <v>94</v>
      </c>
      <c r="L19" s="1">
        <f>C19*(1+SUMIFS(Stats!S:S,Stats!A:A,K19)*(125-D19)/100*IF(H19="S",0.5,1))</f>
        <v>6537878.1749999998</v>
      </c>
      <c r="M19" s="25">
        <f>D19*(1+SUMIFS(Stats!T:T,Stats!A:A,K19)*SQRT(I19))</f>
        <v>18.076736842105262</v>
      </c>
      <c r="N19" s="3">
        <f t="shared" si="3"/>
        <v>2.8583918206765885E-2</v>
      </c>
      <c r="O19" s="28">
        <f t="shared" si="4"/>
        <v>14.859999999999998</v>
      </c>
      <c r="P19" s="1">
        <f t="shared" si="5"/>
        <v>4</v>
      </c>
    </row>
    <row r="20" spans="1:16" x14ac:dyDescent="0.25">
      <c r="B20" t="s">
        <v>102</v>
      </c>
      <c r="C20" s="1">
        <v>6784000</v>
      </c>
      <c r="D20" s="19">
        <v>22</v>
      </c>
      <c r="E20" s="13">
        <f t="shared" si="0"/>
        <v>117.09183999999999</v>
      </c>
      <c r="F20" s="2">
        <f t="shared" si="1"/>
        <v>32.834559999999996</v>
      </c>
      <c r="G20" s="37">
        <v>0</v>
      </c>
      <c r="H20" s="8" t="s">
        <v>44</v>
      </c>
      <c r="I20" s="146">
        <f t="shared" si="2"/>
        <v>1</v>
      </c>
      <c r="J20" s="11">
        <f>C20*(I20)*(1-G20)*(INDEX(Stats!Q:Q,MATCH(K20,Stats!A:A,0)))</f>
        <v>605701.06998569693</v>
      </c>
      <c r="K20" s="8" t="s">
        <v>70</v>
      </c>
      <c r="L20" s="1">
        <f>C20*(1+SUMIFS(Stats!S:S,Stats!A:A,K20)*(125-D20)/100*IF(H20="S",0.5,1))</f>
        <v>7046031.9999999991</v>
      </c>
      <c r="M20" s="25">
        <f>D20*(1+SUMIFS(Stats!T:T,Stats!A:A,K20)*SQRT(I20))</f>
        <v>22.071374045801527</v>
      </c>
      <c r="N20" s="3">
        <f t="shared" si="3"/>
        <v>3.7188590684799488E-2</v>
      </c>
      <c r="O20" s="28">
        <f t="shared" si="4"/>
        <v>17.259999999999998</v>
      </c>
      <c r="P20" s="1">
        <f t="shared" si="5"/>
        <v>5</v>
      </c>
    </row>
    <row r="21" spans="1:16" x14ac:dyDescent="0.25">
      <c r="B21" t="s">
        <v>103</v>
      </c>
      <c r="C21" s="1">
        <v>23445000</v>
      </c>
      <c r="D21" s="19">
        <v>24</v>
      </c>
      <c r="E21" s="13">
        <f t="shared" si="0"/>
        <v>437.01480000000004</v>
      </c>
      <c r="F21" s="2">
        <f t="shared" si="1"/>
        <v>135.04320000000001</v>
      </c>
      <c r="G21" s="37">
        <v>0</v>
      </c>
      <c r="H21" s="8" t="s">
        <v>44</v>
      </c>
      <c r="I21" s="146">
        <f t="shared" si="2"/>
        <v>1</v>
      </c>
      <c r="J21" s="11">
        <f>C21*(I21)*(1-G21)*(INDEX(Stats!Q:Q,MATCH(K21,Stats!A:A,0)))</f>
        <v>2037738.0902763058</v>
      </c>
      <c r="K21" s="8" t="s">
        <v>68</v>
      </c>
      <c r="L21" s="1">
        <f>C21*(1+SUMIFS(Stats!S:S,Stats!A:A,K21)*(125-D21)/100*IF(H21="S",0.5,1))</f>
        <v>24036986.25</v>
      </c>
      <c r="M21" s="25">
        <f>D21*(1+SUMIFS(Stats!T:T,Stats!A:A,K21)*SQRT(I21))</f>
        <v>24.089999999999996</v>
      </c>
      <c r="N21" s="3">
        <f t="shared" si="3"/>
        <v>2.4628139478176055E-2</v>
      </c>
      <c r="O21" s="28">
        <f t="shared" si="4"/>
        <v>18.64</v>
      </c>
      <c r="P21" s="1">
        <f t="shared" si="5"/>
        <v>5</v>
      </c>
    </row>
    <row r="22" spans="1:16" x14ac:dyDescent="0.25">
      <c r="B22" t="s">
        <v>20</v>
      </c>
      <c r="C22" s="1">
        <v>6469000</v>
      </c>
      <c r="D22" s="19">
        <v>16</v>
      </c>
      <c r="E22" s="13">
        <f t="shared" si="0"/>
        <v>89.530960000000007</v>
      </c>
      <c r="F22" s="2">
        <f t="shared" si="1"/>
        <v>16.560639999999999</v>
      </c>
      <c r="G22" s="37">
        <v>0</v>
      </c>
      <c r="H22" s="8" t="s">
        <v>44</v>
      </c>
      <c r="I22" s="146">
        <f t="shared" si="2"/>
        <v>1</v>
      </c>
      <c r="J22" s="11">
        <f>C22*(I22)*(1-G22)*(INDEX(Stats!Q:Q,MATCH(K22,Stats!A:A,0)))</f>
        <v>663563.58920740837</v>
      </c>
      <c r="K22" s="8" t="s">
        <v>177</v>
      </c>
      <c r="L22" s="1">
        <f>C22*(1+SUMIFS(Stats!S:S,Stats!A:A,K22)*(125-D22)/100*IF(H22="S",0.5,1))</f>
        <v>6662908.2750000004</v>
      </c>
      <c r="M22" s="25">
        <f>D22*(1+SUMIFS(Stats!T:T,Stats!A:A,K22)*SQRT(I22))</f>
        <v>16.054890510948905</v>
      </c>
      <c r="N22" s="3">
        <f t="shared" si="3"/>
        <v>2.9102648122527299E-2</v>
      </c>
      <c r="O22" s="28">
        <f t="shared" si="4"/>
        <v>13.840000000000002</v>
      </c>
      <c r="P22" s="1">
        <f t="shared" si="5"/>
        <v>7</v>
      </c>
    </row>
    <row r="23" spans="1:16" x14ac:dyDescent="0.25">
      <c r="B23" t="s">
        <v>104</v>
      </c>
      <c r="C23" s="1">
        <v>1493000</v>
      </c>
      <c r="D23" s="19">
        <v>12</v>
      </c>
      <c r="E23" s="13">
        <f t="shared" si="0"/>
        <v>18.154880000000002</v>
      </c>
      <c r="F23" s="2">
        <f t="shared" si="1"/>
        <v>2.1499200000000003</v>
      </c>
      <c r="G23" s="37">
        <v>0</v>
      </c>
      <c r="H23" s="8" t="s">
        <v>44</v>
      </c>
      <c r="I23" s="146">
        <f t="shared" si="2"/>
        <v>1</v>
      </c>
      <c r="J23" s="11">
        <f>C23*(I23)*(1-G23)*(INDEX(Stats!Q:Q,MATCH(K23,Stats!A:A,0)))</f>
        <v>153145.83995774627</v>
      </c>
      <c r="K23" s="8" t="s">
        <v>177</v>
      </c>
      <c r="L23" s="1">
        <f>C23*(1+SUMIFS(Stats!S:S,Stats!A:A,K23)*(125-D23)/100*IF(H23="S",0.5,1))</f>
        <v>1539394.9749999999</v>
      </c>
      <c r="M23" s="25">
        <f>D23*(1+SUMIFS(Stats!T:T,Stats!A:A,K23)*SQRT(I23))</f>
        <v>12.041167883211678</v>
      </c>
      <c r="N23" s="3">
        <f t="shared" si="3"/>
        <v>3.0138447736585514E-2</v>
      </c>
      <c r="O23" s="28">
        <f t="shared" si="4"/>
        <v>12.160000000000002</v>
      </c>
      <c r="P23" s="1">
        <f t="shared" si="5"/>
        <v>8</v>
      </c>
    </row>
    <row r="24" spans="1:16" x14ac:dyDescent="0.25">
      <c r="B24" t="s">
        <v>105</v>
      </c>
      <c r="C24" s="1">
        <v>10488000</v>
      </c>
      <c r="D24" s="19">
        <v>18</v>
      </c>
      <c r="E24" s="13">
        <f t="shared" si="0"/>
        <v>15.585167999999998</v>
      </c>
      <c r="F24" s="2">
        <f t="shared" si="1"/>
        <v>33.98111999999999</v>
      </c>
      <c r="G24" s="37">
        <v>0</v>
      </c>
      <c r="H24" s="8" t="s">
        <v>432</v>
      </c>
      <c r="I24" s="146">
        <f t="shared" si="2"/>
        <v>0.1</v>
      </c>
      <c r="J24" s="11">
        <f>C24*(I24)*(1-G24)*(INDEX(Stats!Q:Q,MATCH(K24,Stats!A:A,0)))</f>
        <v>59754.768606888196</v>
      </c>
      <c r="K24" s="8" t="s">
        <v>58</v>
      </c>
      <c r="L24" s="1">
        <f>C24*(1+SUMIFS(Stats!S:S,Stats!A:A,K24)*(125-D24)/100*IF(H24="S",0.5,1))</f>
        <v>10703057.673336159</v>
      </c>
      <c r="M24" s="25">
        <f>D24*(1+SUMIFS(Stats!T:T,Stats!A:A,K24)*SQRT(I24))</f>
        <v>18.023621465817367</v>
      </c>
      <c r="N24" s="3">
        <f t="shared" si="3"/>
        <v>2.0093106091721696E-2</v>
      </c>
      <c r="O24" s="28">
        <f t="shared" si="4"/>
        <v>14.859999999999998</v>
      </c>
      <c r="P24" s="1">
        <f t="shared" si="5"/>
        <v>0</v>
      </c>
    </row>
    <row r="25" spans="1:16" x14ac:dyDescent="0.25">
      <c r="B25" t="s">
        <v>106</v>
      </c>
      <c r="C25" s="1">
        <v>123668000</v>
      </c>
      <c r="D25" s="19">
        <v>19</v>
      </c>
      <c r="E25" s="13">
        <f t="shared" si="0"/>
        <v>1906.3422200000002</v>
      </c>
      <c r="F25" s="2">
        <f t="shared" si="1"/>
        <v>446.44148000000001</v>
      </c>
      <c r="G25" s="37">
        <v>0</v>
      </c>
      <c r="H25" s="8" t="s">
        <v>44</v>
      </c>
      <c r="I25" s="146">
        <f t="shared" si="2"/>
        <v>1</v>
      </c>
      <c r="J25" s="11">
        <f>C25*(I25)*(1-G25)*(INDEX(Stats!Q:Q,MATCH(K25,Stats!A:A,0)))</f>
        <v>7045912.2083110688</v>
      </c>
      <c r="K25" s="8" t="s">
        <v>58</v>
      </c>
      <c r="L25" s="1">
        <f>C25*(1+SUMIFS(Stats!S:S,Stats!A:A,K25)*(125-D25)/100*IF(H25="S",0.5,1))</f>
        <v>128692255.13215004</v>
      </c>
      <c r="M25" s="25">
        <f>D25*(1+SUMIFS(Stats!T:T,Stats!A:A,K25)*SQRT(I25))</f>
        <v>19.07884750219106</v>
      </c>
      <c r="N25" s="3">
        <f t="shared" si="3"/>
        <v>3.9040850803265428E-2</v>
      </c>
      <c r="O25" s="28">
        <f t="shared" si="4"/>
        <v>15.415000000000001</v>
      </c>
      <c r="P25" s="1">
        <f t="shared" si="5"/>
        <v>4</v>
      </c>
    </row>
    <row r="26" spans="1:16" x14ac:dyDescent="0.25">
      <c r="B26" t="s">
        <v>16</v>
      </c>
      <c r="C26" s="1">
        <v>982000</v>
      </c>
      <c r="D26" s="19">
        <v>16</v>
      </c>
      <c r="E26" s="13">
        <f t="shared" si="0"/>
        <v>13.59088</v>
      </c>
      <c r="F26" s="2">
        <f t="shared" si="1"/>
        <v>2.5139200000000002</v>
      </c>
      <c r="G26" s="37">
        <v>0</v>
      </c>
      <c r="H26" s="8" t="s">
        <v>44</v>
      </c>
      <c r="I26" s="146">
        <f t="shared" si="2"/>
        <v>1</v>
      </c>
      <c r="J26" s="11">
        <f>C26*(I26)*(1-G26)*(INDEX(Stats!Q:Q,MATCH(K26,Stats!A:A,0)))</f>
        <v>66436.095467065868</v>
      </c>
      <c r="K26" s="8" t="s">
        <v>26</v>
      </c>
      <c r="L26" s="1">
        <f>C26*(1+SUMIFS(Stats!S:S,Stats!A:A,K26)*(125-D26)/100*IF(H26="S",0.5,1))</f>
        <v>1022139.25</v>
      </c>
      <c r="M26" s="25">
        <f>D26*(1+SUMIFS(Stats!T:T,Stats!A:A,K26)*SQRT(I26))</f>
        <v>16.059819227608873</v>
      </c>
      <c r="N26" s="3">
        <f t="shared" si="3"/>
        <v>3.9269845082262521E-2</v>
      </c>
      <c r="O26" s="28">
        <f t="shared" si="4"/>
        <v>13.84</v>
      </c>
      <c r="P26" s="1">
        <f t="shared" si="5"/>
        <v>5</v>
      </c>
    </row>
    <row r="27" spans="1:16" x14ac:dyDescent="0.25">
      <c r="A27" t="s">
        <v>34</v>
      </c>
      <c r="B27" t="s">
        <v>15</v>
      </c>
      <c r="C27" s="1">
        <v>6027000</v>
      </c>
      <c r="D27" s="19">
        <v>16</v>
      </c>
      <c r="E27" s="13">
        <f t="shared" si="0"/>
        <v>83.413679999999999</v>
      </c>
      <c r="F27" s="2">
        <f t="shared" si="1"/>
        <v>15.429120000000001</v>
      </c>
      <c r="G27" s="37">
        <v>0</v>
      </c>
      <c r="H27" s="8" t="s">
        <v>44</v>
      </c>
      <c r="I27" s="146">
        <f t="shared" si="2"/>
        <v>1</v>
      </c>
      <c r="J27" s="11" t="e">
        <f>C27*(I27)*(1-G27)*(INDEX(Stats!Q:Q,MATCH(K27,Stats!A:A,0)))</f>
        <v>#N/A</v>
      </c>
      <c r="L27" s="1">
        <f>C27*(1+SUMIFS(Stats!S:S,Stats!A:A,K27)*(125-D27)/100*IF(H27="S",0.5,1))</f>
        <v>6027000</v>
      </c>
      <c r="M27" s="25">
        <f>D27*(1+SUMIFS(Stats!T:T,Stats!A:A,K27)*SQRT(I27))</f>
        <v>16</v>
      </c>
      <c r="N27" s="3">
        <f t="shared" si="3"/>
        <v>0</v>
      </c>
      <c r="O27" s="28">
        <f t="shared" si="4"/>
        <v>13.84</v>
      </c>
      <c r="P27" s="1" t="e">
        <f t="shared" si="5"/>
        <v>#N/A</v>
      </c>
    </row>
    <row r="28" spans="1:16" x14ac:dyDescent="0.25">
      <c r="A28" t="s">
        <v>36</v>
      </c>
      <c r="B28" t="s">
        <v>108</v>
      </c>
      <c r="C28" s="1">
        <v>5500000</v>
      </c>
      <c r="D28" s="19">
        <v>16</v>
      </c>
      <c r="E28" s="13">
        <f t="shared" si="0"/>
        <v>76.12</v>
      </c>
      <c r="F28" s="2">
        <f t="shared" si="1"/>
        <v>14.079999999999998</v>
      </c>
      <c r="G28" s="37">
        <v>0</v>
      </c>
      <c r="H28" s="8" t="s">
        <v>44</v>
      </c>
      <c r="I28" s="146">
        <f t="shared" si="2"/>
        <v>1</v>
      </c>
      <c r="J28" s="11">
        <f>C28*(I28)*(1-G28)*(INDEX(Stats!Q:Q,MATCH(K28,Stats!A:A,0)))</f>
        <v>310525.36128310033</v>
      </c>
      <c r="K28" s="8" t="s">
        <v>144</v>
      </c>
      <c r="L28" s="1">
        <f>C28*(1+SUMIFS(Stats!S:S,Stats!A:A,K28)*(125-D28)/100*IF(H28="S",0.5,1))</f>
        <v>5664862.5000000009</v>
      </c>
      <c r="M28" s="25">
        <f>D28*(1+SUMIFS(Stats!T:T,Stats!A:A,K28)*SQRT(I28))</f>
        <v>16.067532467532466</v>
      </c>
      <c r="N28" s="3">
        <f t="shared" si="3"/>
        <v>2.9102648122527407E-2</v>
      </c>
      <c r="O28" s="28">
        <f t="shared" si="4"/>
        <v>13.840000000000002</v>
      </c>
      <c r="P28" s="1">
        <f t="shared" si="5"/>
        <v>4</v>
      </c>
    </row>
    <row r="29" spans="1:16" x14ac:dyDescent="0.25">
      <c r="A29" t="s">
        <v>36</v>
      </c>
      <c r="B29" t="s">
        <v>109</v>
      </c>
      <c r="C29" s="1">
        <v>527000</v>
      </c>
      <c r="D29" s="19">
        <v>20</v>
      </c>
      <c r="E29" s="13">
        <f t="shared" si="0"/>
        <v>6.3240000000000007</v>
      </c>
      <c r="F29" s="2">
        <f t="shared" si="1"/>
        <v>2.1080000000000005</v>
      </c>
      <c r="G29" s="37">
        <v>0</v>
      </c>
      <c r="H29" s="8" t="s">
        <v>214</v>
      </c>
      <c r="I29" s="146">
        <f t="shared" si="2"/>
        <v>0.75</v>
      </c>
      <c r="J29" s="11">
        <f>C29*(I29)*(1-G29)*(INDEX(Stats!Q:Q,MATCH(K29,Stats!A:A,0)))</f>
        <v>54718.194951123543</v>
      </c>
      <c r="K29" s="8" t="s">
        <v>59</v>
      </c>
      <c r="L29" s="1">
        <f>C29*(1+SUMIFS(Stats!S:S,Stats!A:A,K29)*(125-D29)/100*IF(H29="S",0.5,1))</f>
        <v>542217.125</v>
      </c>
      <c r="M29" s="25">
        <f>D29*(1+SUMIFS(Stats!T:T,Stats!A:A,K29)*SQRT(I29))</f>
        <v>20.053641872025455</v>
      </c>
      <c r="N29" s="3">
        <f t="shared" si="3"/>
        <v>2.8064633701858827E-2</v>
      </c>
      <c r="O29" s="28">
        <f t="shared" si="4"/>
        <v>16.000000000000004</v>
      </c>
      <c r="P29" s="1">
        <f t="shared" si="5"/>
        <v>6</v>
      </c>
    </row>
    <row r="30" spans="1:16" x14ac:dyDescent="0.25">
      <c r="B30" t="s">
        <v>107</v>
      </c>
      <c r="C30" s="1">
        <v>13964000</v>
      </c>
      <c r="D30" s="19">
        <v>38</v>
      </c>
      <c r="E30" s="13">
        <f t="shared" si="0"/>
        <v>331.57517999999993</v>
      </c>
      <c r="F30" s="2">
        <f t="shared" si="1"/>
        <v>201.64016000000001</v>
      </c>
      <c r="G30" s="37">
        <v>0</v>
      </c>
      <c r="H30" s="8" t="s">
        <v>214</v>
      </c>
      <c r="I30" s="146">
        <f t="shared" si="2"/>
        <v>0.75</v>
      </c>
      <c r="J30" s="11">
        <f>C30*(I30)*(1-G30)*(INDEX(Stats!Q:Q,MATCH(K30,Stats!A:A,0)))</f>
        <v>335362.78867725673</v>
      </c>
      <c r="K30" s="8" t="s">
        <v>24</v>
      </c>
      <c r="L30" s="1">
        <f>C30*(1+SUMIFS(Stats!S:S,Stats!A:A,K30)*(125-D30)/100*IF(H30="S",0.5,1))</f>
        <v>14176601.9</v>
      </c>
      <c r="M30" s="25">
        <f>D30*(1+SUMIFS(Stats!T:T,Stats!A:A,K30)*SQRT(I30))</f>
        <v>38.13706743817955</v>
      </c>
      <c r="N30" s="3">
        <f t="shared" si="3"/>
        <v>1.4996675613780222E-2</v>
      </c>
      <c r="O30" s="28">
        <f t="shared" si="4"/>
        <v>31.659999999999993</v>
      </c>
      <c r="P30" s="1">
        <f t="shared" si="5"/>
        <v>1</v>
      </c>
    </row>
    <row r="31" spans="1:16" x14ac:dyDescent="0.25">
      <c r="B31" t="s">
        <v>110</v>
      </c>
      <c r="C31" s="1">
        <v>8649000</v>
      </c>
      <c r="D31" s="19">
        <v>28</v>
      </c>
      <c r="E31" s="13">
        <f t="shared" si="0"/>
        <v>188.20223999999999</v>
      </c>
      <c r="F31" s="2">
        <f t="shared" si="1"/>
        <v>67.808160000000001</v>
      </c>
      <c r="G31" s="37">
        <v>0</v>
      </c>
      <c r="H31" s="8" t="s">
        <v>44</v>
      </c>
      <c r="I31" s="146">
        <f t="shared" si="2"/>
        <v>1</v>
      </c>
      <c r="J31" s="11">
        <f>C31*(I31)*(1-G31)*(INDEX(Stats!Q:Q,MATCH(K31,Stats!A:A,0)))</f>
        <v>508562.26975768746</v>
      </c>
      <c r="K31" s="8" t="s">
        <v>145</v>
      </c>
      <c r="L31" s="1">
        <f>C31*(1+SUMIFS(Stats!S:S,Stats!A:A,K31)*(125-D31)/100*IF(H31="S",0.5,1))</f>
        <v>8879712.0749999993</v>
      </c>
      <c r="M31" s="25">
        <f>D31*(1+SUMIFS(Stats!T:T,Stats!A:A,K31)*SQRT(I31))</f>
        <v>28.104444444444447</v>
      </c>
      <c r="N31" s="3">
        <f t="shared" si="3"/>
        <v>2.5981931964837866E-2</v>
      </c>
      <c r="O31" s="28">
        <f t="shared" si="4"/>
        <v>21.759999999999998</v>
      </c>
      <c r="P31" s="1">
        <f t="shared" si="5"/>
        <v>3</v>
      </c>
    </row>
    <row r="32" spans="1:16" x14ac:dyDescent="0.25">
      <c r="A32" t="s">
        <v>34</v>
      </c>
      <c r="B32" t="s">
        <v>111</v>
      </c>
      <c r="C32" s="1">
        <v>28204000</v>
      </c>
      <c r="D32" s="19">
        <v>20</v>
      </c>
      <c r="E32" s="13">
        <f t="shared" si="0"/>
        <v>112.816</v>
      </c>
      <c r="F32" s="2">
        <f t="shared" si="1"/>
        <v>112.81600000000003</v>
      </c>
      <c r="G32" s="37">
        <v>0</v>
      </c>
      <c r="H32" s="8" t="s">
        <v>215</v>
      </c>
      <c r="I32" s="146">
        <f t="shared" si="2"/>
        <v>0.25</v>
      </c>
      <c r="J32" s="11">
        <f>C32*(I32)*(1-G32)*(INDEX(Stats!Q:Q,MATCH(K32,Stats!A:A,0)))</f>
        <v>373897.66816496733</v>
      </c>
      <c r="K32" s="8" t="s">
        <v>27</v>
      </c>
      <c r="L32" s="1">
        <f>C32*(1+SUMIFS(Stats!S:S,Stats!A:A,K32)*(125-D32)/100*IF(H32="S",0.5,1))</f>
        <v>29018390.5</v>
      </c>
      <c r="M32" s="25">
        <f>D32*(1+SUMIFS(Stats!T:T,Stats!A:A,K32)*SQRT(I32))</f>
        <v>20.035847853803656</v>
      </c>
      <c r="N32" s="3">
        <f t="shared" si="3"/>
        <v>2.8064633701858827E-2</v>
      </c>
      <c r="O32" s="28">
        <f t="shared" si="4"/>
        <v>16</v>
      </c>
      <c r="P32" s="1">
        <f t="shared" si="5"/>
        <v>1</v>
      </c>
    </row>
    <row r="33" spans="1:17" x14ac:dyDescent="0.25">
      <c r="B33" t="s">
        <v>13</v>
      </c>
      <c r="C33" s="1">
        <v>14141000</v>
      </c>
      <c r="D33" s="19">
        <v>18</v>
      </c>
      <c r="E33" s="13">
        <f t="shared" si="0"/>
        <v>210.13525999999999</v>
      </c>
      <c r="F33" s="2">
        <f t="shared" si="1"/>
        <v>45.816839999999999</v>
      </c>
      <c r="G33" s="37">
        <v>0</v>
      </c>
      <c r="H33" s="8" t="s">
        <v>44</v>
      </c>
      <c r="I33" s="146">
        <f t="shared" si="2"/>
        <v>1</v>
      </c>
      <c r="J33" s="11">
        <f>C33*(I33)*(1-G33)*(INDEX(Stats!Q:Q,MATCH(K33,Stats!A:A,0)))</f>
        <v>798388.93343714939</v>
      </c>
      <c r="K33" s="8" t="s">
        <v>25</v>
      </c>
      <c r="L33" s="1">
        <f>C33*(1+SUMIFS(Stats!S:S,Stats!A:A,K33)*(125-D33)/100*IF(H33="S",0.5,1))</f>
        <v>14481444.575000001</v>
      </c>
      <c r="M33" s="25">
        <f>D33*(1+SUMIFS(Stats!T:T,Stats!A:A,K33)*SQRT(I33))</f>
        <v>18.06995260663507</v>
      </c>
      <c r="N33" s="3">
        <f t="shared" si="3"/>
        <v>2.3509020335424728E-2</v>
      </c>
      <c r="O33" s="28">
        <f t="shared" si="4"/>
        <v>14.859999999999998</v>
      </c>
      <c r="P33" s="1">
        <f t="shared" si="5"/>
        <v>4</v>
      </c>
    </row>
    <row r="34" spans="1:17" x14ac:dyDescent="0.25">
      <c r="B34" t="s">
        <v>98</v>
      </c>
      <c r="C34" s="1">
        <v>10207000</v>
      </c>
      <c r="D34" s="19">
        <v>18</v>
      </c>
      <c r="E34" s="13">
        <f t="shared" si="0"/>
        <v>151.67601999999999</v>
      </c>
      <c r="F34" s="2">
        <f t="shared" si="1"/>
        <v>33.070679999999996</v>
      </c>
      <c r="G34" s="37">
        <v>0</v>
      </c>
      <c r="H34" s="8" t="s">
        <v>44</v>
      </c>
      <c r="I34" s="146">
        <f t="shared" si="2"/>
        <v>1</v>
      </c>
      <c r="J34" s="11">
        <f>C34*(I34)*(1-G34)*(INDEX(Stats!Q:Q,MATCH(K34,Stats!A:A,0)))</f>
        <v>576278.61138483731</v>
      </c>
      <c r="K34" s="8" t="s">
        <v>92</v>
      </c>
      <c r="L34" s="1">
        <f>C34*(1+SUMIFS(Stats!S:S,Stats!A:A,K34)*(125-D34)/100*IF(H34="S",0.5,1))</f>
        <v>10452733.525</v>
      </c>
      <c r="M34" s="25">
        <f>D34*(1+SUMIFS(Stats!T:T,Stats!A:A,K34)*SQRT(I34))</f>
        <v>18.069906976744186</v>
      </c>
      <c r="N34" s="3">
        <f t="shared" si="3"/>
        <v>2.3509020335424687E-2</v>
      </c>
      <c r="O34" s="28">
        <f t="shared" si="4"/>
        <v>14.86</v>
      </c>
      <c r="P34" s="1">
        <f t="shared" si="5"/>
        <v>4</v>
      </c>
    </row>
    <row r="35" spans="1:17" x14ac:dyDescent="0.25">
      <c r="B35" t="s">
        <v>14</v>
      </c>
      <c r="C35" s="1">
        <v>4200000</v>
      </c>
      <c r="D35" s="19">
        <v>18</v>
      </c>
      <c r="E35" s="13">
        <f t="shared" si="0"/>
        <v>62.411999999999999</v>
      </c>
      <c r="F35" s="2">
        <f t="shared" si="1"/>
        <v>13.608000000000001</v>
      </c>
      <c r="G35" s="37">
        <v>0</v>
      </c>
      <c r="H35" s="8" t="s">
        <v>44</v>
      </c>
      <c r="I35" s="146">
        <f t="shared" si="2"/>
        <v>1</v>
      </c>
      <c r="J35" s="11">
        <f>C35*(I35)*(1-G35)*(INDEX(Stats!Q:Q,MATCH(K35,Stats!A:A,0)))</f>
        <v>237128.45770709479</v>
      </c>
      <c r="K35" s="8" t="s">
        <v>92</v>
      </c>
      <c r="L35" s="1">
        <f>C35*(1+SUMIFS(Stats!S:S,Stats!A:A,K35)*(125-D35)/100*IF(H35="S",0.5,1))</f>
        <v>4301115</v>
      </c>
      <c r="M35" s="25">
        <f>D35*(1+SUMIFS(Stats!T:T,Stats!A:A,K35)*SQRT(I35))</f>
        <v>18.069906976744186</v>
      </c>
      <c r="N35" s="3">
        <f t="shared" si="3"/>
        <v>2.3509020335424652E-2</v>
      </c>
      <c r="O35" s="28">
        <f t="shared" si="4"/>
        <v>14.86</v>
      </c>
      <c r="P35" s="1">
        <f t="shared" si="5"/>
        <v>4</v>
      </c>
    </row>
    <row r="36" spans="1:17" x14ac:dyDescent="0.25">
      <c r="A36" t="s">
        <v>34</v>
      </c>
      <c r="B36" t="s">
        <v>112</v>
      </c>
      <c r="C36" s="1">
        <v>174212000</v>
      </c>
      <c r="D36" s="19">
        <v>8</v>
      </c>
      <c r="E36" s="13">
        <f t="shared" si="0"/>
        <v>1909.3635199999999</v>
      </c>
      <c r="F36" s="2">
        <f t="shared" si="1"/>
        <v>111.49568000000001</v>
      </c>
      <c r="G36" s="37">
        <v>0</v>
      </c>
      <c r="H36" s="8" t="s">
        <v>44</v>
      </c>
      <c r="I36" s="146">
        <f t="shared" si="2"/>
        <v>1</v>
      </c>
      <c r="J36" s="11" t="e">
        <f>C36*(I36)*(1-G36)*(INDEX(Stats!Q:Q,MATCH(K36,Stats!A:A,0)))</f>
        <v>#N/A</v>
      </c>
      <c r="L36" s="1">
        <f>C36*(1+SUMIFS(Stats!S:S,Stats!A:A,K36)*(125-D36)/100*IF(H36="S",0.5,1))</f>
        <v>174212000</v>
      </c>
      <c r="M36" s="25">
        <f>D36*(1+SUMIFS(Stats!T:T,Stats!A:A,K36)*SQRT(I36))</f>
        <v>8</v>
      </c>
      <c r="N36" s="3">
        <f t="shared" si="3"/>
        <v>0</v>
      </c>
      <c r="O36" s="28">
        <f t="shared" si="4"/>
        <v>10.96</v>
      </c>
      <c r="P36" s="1" t="e">
        <f t="shared" si="5"/>
        <v>#N/A</v>
      </c>
    </row>
    <row r="37" spans="1:17" x14ac:dyDescent="0.25">
      <c r="A37" t="s">
        <v>36</v>
      </c>
      <c r="B37" t="s">
        <v>202</v>
      </c>
      <c r="C37" s="1">
        <f>(3/5)*C36</f>
        <v>104527200</v>
      </c>
      <c r="D37" s="19">
        <v>14</v>
      </c>
      <c r="E37" s="13">
        <f t="shared" si="0"/>
        <v>1352.581968</v>
      </c>
      <c r="F37" s="2">
        <f t="shared" si="1"/>
        <v>204.87331200000003</v>
      </c>
      <c r="G37" s="37">
        <v>0</v>
      </c>
      <c r="H37" s="8" t="s">
        <v>44</v>
      </c>
      <c r="I37" s="146">
        <f t="shared" si="2"/>
        <v>1</v>
      </c>
      <c r="J37" s="11">
        <f>C37*(I37)*(1-G37)*(INDEX(Stats!Q:Q,MATCH(K37,Stats!A:A,0)))</f>
        <v>5542827.4485623557</v>
      </c>
      <c r="K37" s="8" t="s">
        <v>27</v>
      </c>
      <c r="L37" s="1">
        <f>C37*(1+SUMIFS(Stats!S:S,Stats!A:A,K37)*(125-D37)/100*IF(H37="S",0.5,1))</f>
        <v>107717892.77999999</v>
      </c>
      <c r="M37" s="25">
        <f>D37*(1+SUMIFS(Stats!T:T,Stats!A:A,K37)*SQRT(I37))</f>
        <v>14.050186995325117</v>
      </c>
      <c r="N37" s="3">
        <f t="shared" si="3"/>
        <v>2.9620824337109601E-2</v>
      </c>
      <c r="O37" s="28">
        <f t="shared" si="4"/>
        <v>12.94</v>
      </c>
      <c r="P37" s="1">
        <f t="shared" si="5"/>
        <v>4</v>
      </c>
    </row>
    <row r="38" spans="1:17" x14ac:dyDescent="0.25">
      <c r="A38" t="s">
        <v>36</v>
      </c>
      <c r="B38" t="s">
        <v>203</v>
      </c>
      <c r="C38" s="1">
        <f>(2/5)*C36</f>
        <v>69684800</v>
      </c>
      <c r="D38" s="19">
        <v>8</v>
      </c>
      <c r="E38" s="13">
        <f t="shared" si="0"/>
        <v>763.74540799999988</v>
      </c>
      <c r="F38" s="2">
        <f t="shared" si="1"/>
        <v>44.598272000000001</v>
      </c>
      <c r="G38" s="37">
        <v>0</v>
      </c>
      <c r="H38" s="8" t="s">
        <v>44</v>
      </c>
      <c r="I38" s="146">
        <f t="shared" si="2"/>
        <v>1</v>
      </c>
      <c r="J38" s="11">
        <f>C38*(I38)*(1-G38)*(INDEX(Stats!Q:Q,MATCH(K38,Stats!A:A,0)))</f>
        <v>3695218.2990415706</v>
      </c>
      <c r="K38" s="8" t="s">
        <v>27</v>
      </c>
      <c r="L38" s="1">
        <f>C38*(1+SUMIFS(Stats!S:S,Stats!A:A,K38)*(125-D38)/100*IF(H38="S",0.5,1))</f>
        <v>71926908.439999998</v>
      </c>
      <c r="M38" s="25">
        <f>D38*(1+SUMIFS(Stats!T:T,Stats!A:A,K38)*SQRT(I38))</f>
        <v>8.0286782830429235</v>
      </c>
      <c r="N38" s="3">
        <f t="shared" si="3"/>
        <v>3.1172039625063548E-2</v>
      </c>
      <c r="O38" s="28">
        <f t="shared" si="4"/>
        <v>10.959999999999999</v>
      </c>
      <c r="P38" s="1">
        <f t="shared" si="5"/>
        <v>5</v>
      </c>
    </row>
    <row r="39" spans="1:17" x14ac:dyDescent="0.25">
      <c r="B39" t="s">
        <v>342</v>
      </c>
      <c r="C39" s="1">
        <f>Q39*1000/(2.71^(0.015*20))</f>
        <v>2139217.9311213107</v>
      </c>
      <c r="D39" s="19">
        <v>18</v>
      </c>
      <c r="E39" s="13">
        <f>(C39/1000000+F39*0.15)*I39*(1-G39)*10</f>
        <v>31.788778456462676</v>
      </c>
      <c r="F39" s="2">
        <f t="shared" si="1"/>
        <v>6.9310660968330451</v>
      </c>
      <c r="G39" s="37">
        <v>0</v>
      </c>
      <c r="H39" s="39" t="s">
        <v>44</v>
      </c>
      <c r="I39" s="146">
        <f t="shared" si="2"/>
        <v>1</v>
      </c>
      <c r="J39" s="11" t="e">
        <f>C39*(I39)*(1-G39)*(INDEX(Stats!Q:Q,MATCH(K39,Stats!A:A,0)))</f>
        <v>#N/A</v>
      </c>
      <c r="K39" s="39" t="s">
        <v>83</v>
      </c>
      <c r="L39" s="1">
        <f>C39*(1+SUMIFS(Stats!S:S,Stats!A:A,K39)*(125-D39)/100*IF(H39="S",0.5,1))</f>
        <v>2139217.9311213107</v>
      </c>
      <c r="M39" s="25">
        <f>D39*(1+SUMIFS(Stats!T:T,Stats!A:A,K39)*SQRT(I39))</f>
        <v>18</v>
      </c>
      <c r="N39" s="3">
        <f t="shared" si="3"/>
        <v>0</v>
      </c>
      <c r="O39" s="28">
        <f t="shared" si="4"/>
        <v>14.86</v>
      </c>
      <c r="P39" s="1" t="e">
        <f t="shared" si="5"/>
        <v>#N/A</v>
      </c>
      <c r="Q39" s="39">
        <v>2885</v>
      </c>
    </row>
    <row r="40" spans="1:17" x14ac:dyDescent="0.25">
      <c r="B40" t="s">
        <v>113</v>
      </c>
      <c r="C40" s="1">
        <v>11896000</v>
      </c>
      <c r="D40" s="19">
        <v>20</v>
      </c>
      <c r="E40" s="13">
        <f t="shared" si="0"/>
        <v>190.33600000000004</v>
      </c>
      <c r="F40" s="2">
        <f t="shared" si="1"/>
        <v>47.58400000000001</v>
      </c>
      <c r="G40" s="37">
        <v>0</v>
      </c>
      <c r="H40" s="8" t="s">
        <v>44</v>
      </c>
      <c r="I40" s="146">
        <f t="shared" si="2"/>
        <v>1</v>
      </c>
      <c r="J40" s="11">
        <f>C40*(I40)*(1-G40)*(INDEX(Stats!Q:Q,MATCH(K40,Stats!A:A,0)))</f>
        <v>969870.60062257806</v>
      </c>
      <c r="K40" s="8" t="s">
        <v>162</v>
      </c>
      <c r="L40" s="1">
        <f>C40*(1+SUMIFS(Stats!S:S,Stats!A:A,K40)*(125-D40)/100*IF(H40="S",0.5,1))</f>
        <v>12333178</v>
      </c>
      <c r="M40" s="25">
        <f>D40*(1+SUMIFS(Stats!T:T,Stats!A:A,K40)*SQRT(I40))</f>
        <v>20.074869109947645</v>
      </c>
      <c r="N40" s="3">
        <f t="shared" si="3"/>
        <v>3.5447311309380274E-2</v>
      </c>
      <c r="O40" s="28">
        <f t="shared" si="4"/>
        <v>16.000000000000004</v>
      </c>
      <c r="P40" s="1">
        <f t="shared" si="5"/>
        <v>5</v>
      </c>
    </row>
    <row r="41" spans="1:17" x14ac:dyDescent="0.25">
      <c r="B41" t="s">
        <v>175</v>
      </c>
      <c r="C41" s="1">
        <f>(2/5)*33568000</f>
        <v>13427200</v>
      </c>
      <c r="D41" s="19">
        <v>18</v>
      </c>
      <c r="E41" s="13">
        <f t="shared" si="0"/>
        <v>199.52819199999999</v>
      </c>
      <c r="F41" s="2">
        <f t="shared" si="1"/>
        <v>43.504128000000001</v>
      </c>
      <c r="G41" s="37">
        <v>0</v>
      </c>
      <c r="H41" s="8" t="s">
        <v>44</v>
      </c>
      <c r="I41" s="146">
        <f t="shared" si="2"/>
        <v>1</v>
      </c>
      <c r="J41" s="11">
        <f>C41*(I41)*(1-G41)*(INDEX(Stats!Q:Q,MATCH(K41,Stats!A:A,0)))</f>
        <v>1143639.6405727111</v>
      </c>
      <c r="K41" s="8" t="s">
        <v>86</v>
      </c>
      <c r="L41" s="1">
        <f>C41*(1+SUMIFS(Stats!S:S,Stats!A:A,K41)*(125-D41)/100*IF(H41="S",0.5,1))</f>
        <v>13714542.080000002</v>
      </c>
      <c r="M41" s="25">
        <f>D41*(1+SUMIFS(Stats!T:T,Stats!A:A,K41)*SQRT(I41))</f>
        <v>18.067499999999999</v>
      </c>
      <c r="N41" s="3">
        <f t="shared" si="3"/>
        <v>2.095163501076967E-2</v>
      </c>
      <c r="O41" s="28">
        <f t="shared" si="4"/>
        <v>14.86</v>
      </c>
      <c r="P41" s="1">
        <f t="shared" si="5"/>
        <v>6</v>
      </c>
    </row>
    <row r="42" spans="1:17" x14ac:dyDescent="0.25">
      <c r="B42" t="s">
        <v>174</v>
      </c>
      <c r="C42" s="1">
        <f>(3/5)*33568000</f>
        <v>20140800</v>
      </c>
      <c r="D42" s="19">
        <v>22</v>
      </c>
      <c r="E42" s="13">
        <f t="shared" si="0"/>
        <v>347.63020799999998</v>
      </c>
      <c r="F42" s="2">
        <f t="shared" si="1"/>
        <v>97.481471999999997</v>
      </c>
      <c r="G42" s="37">
        <v>0</v>
      </c>
      <c r="H42" s="8" t="s">
        <v>44</v>
      </c>
      <c r="I42" s="146">
        <f t="shared" si="2"/>
        <v>1</v>
      </c>
      <c r="J42" s="11">
        <f>C42*(I42)*(1-G42)*(INDEX(Stats!Q:Q,MATCH(K42,Stats!A:A,0)))</f>
        <v>1955719.2571349749</v>
      </c>
      <c r="K42" s="8" t="s">
        <v>157</v>
      </c>
      <c r="L42" s="1">
        <f>C42*(1+SUMIFS(Stats!S:S,Stats!A:A,K42)*(125-D42)/100*IF(H42="S",0.5,1))</f>
        <v>20711288.16</v>
      </c>
      <c r="M42" s="25">
        <f>D42*(1+SUMIFS(Stats!T:T,Stats!A:A,K42)*SQRT(I42))</f>
        <v>22.085722070844685</v>
      </c>
      <c r="N42" s="3">
        <f t="shared" si="3"/>
        <v>2.7544793717939376E-2</v>
      </c>
      <c r="O42" s="28">
        <f t="shared" si="4"/>
        <v>17.260000000000002</v>
      </c>
      <c r="P42" s="1">
        <f t="shared" si="5"/>
        <v>6</v>
      </c>
    </row>
    <row r="43" spans="1:17" x14ac:dyDescent="0.25">
      <c r="B43" t="s">
        <v>114</v>
      </c>
      <c r="C43" s="1">
        <v>4266000</v>
      </c>
      <c r="D43" s="19">
        <v>18</v>
      </c>
      <c r="E43" s="13">
        <f t="shared" si="0"/>
        <v>63.392759999999996</v>
      </c>
      <c r="F43" s="2">
        <f t="shared" si="1"/>
        <v>13.821839999999998</v>
      </c>
      <c r="G43" s="37">
        <v>0</v>
      </c>
      <c r="H43" s="8" t="s">
        <v>44</v>
      </c>
      <c r="I43" s="146">
        <f t="shared" si="2"/>
        <v>1</v>
      </c>
      <c r="J43" s="11">
        <f>C43*(I43)*(1-G43)*(INDEX(Stats!Q:Q,MATCH(K43,Stats!A:A,0)))</f>
        <v>320603.45270754653</v>
      </c>
      <c r="K43" s="8" t="s">
        <v>160</v>
      </c>
      <c r="L43" s="1">
        <f>C43*(1+SUMIFS(Stats!S:S,Stats!A:A,K43)*(125-D43)/100*IF(H43="S",0.5,1))</f>
        <v>4425761.7</v>
      </c>
      <c r="M43" s="25">
        <f>D43*(1+SUMIFS(Stats!T:T,Stats!A:A,K43)*SQRT(I43))</f>
        <v>18.068906250000001</v>
      </c>
      <c r="N43" s="3">
        <f t="shared" si="3"/>
        <v>3.6098125210853572E-2</v>
      </c>
      <c r="O43" s="28">
        <f t="shared" si="4"/>
        <v>14.859999999999998</v>
      </c>
      <c r="P43" s="1">
        <f t="shared" si="5"/>
        <v>5</v>
      </c>
    </row>
    <row r="44" spans="1:17" x14ac:dyDescent="0.25">
      <c r="B44" t="s">
        <v>115</v>
      </c>
      <c r="C44" s="1">
        <v>7914000</v>
      </c>
      <c r="D44" s="19">
        <v>20</v>
      </c>
      <c r="E44" s="13">
        <f t="shared" si="0"/>
        <v>126.62400000000002</v>
      </c>
      <c r="F44" s="2">
        <f t="shared" si="1"/>
        <v>31.656000000000006</v>
      </c>
      <c r="G44" s="37">
        <v>0</v>
      </c>
      <c r="H44" s="8" t="s">
        <v>44</v>
      </c>
      <c r="I44" s="146">
        <f t="shared" si="2"/>
        <v>1</v>
      </c>
      <c r="J44" s="11">
        <f>C44*(I44)*(1-G44)*(INDEX(Stats!Q:Q,MATCH(K44,Stats!A:A,0)))</f>
        <v>686183.30870052835</v>
      </c>
      <c r="K44" s="8" t="s">
        <v>88</v>
      </c>
      <c r="L44" s="1">
        <f>C44*(1+SUMIFS(Stats!S:S,Stats!A:A,K44)*(125-D44)/100*IF(H44="S",0.5,1))</f>
        <v>8080193.9999999991</v>
      </c>
      <c r="M44" s="25">
        <f>D44*(1+SUMIFS(Stats!T:T,Stats!A:A,K44)*SQRT(I44))</f>
        <v>20.071856287425152</v>
      </c>
      <c r="N44" s="3">
        <f t="shared" si="3"/>
        <v>2.056807051909881E-2</v>
      </c>
      <c r="O44" s="28">
        <f t="shared" si="4"/>
        <v>16.000000000000004</v>
      </c>
      <c r="P44" s="1">
        <f t="shared" si="5"/>
        <v>5</v>
      </c>
    </row>
    <row r="45" spans="1:17" x14ac:dyDescent="0.25">
      <c r="A45" t="s">
        <v>34</v>
      </c>
      <c r="B45" t="s">
        <v>116</v>
      </c>
      <c r="C45" s="1">
        <v>17175000</v>
      </c>
      <c r="D45" s="19">
        <v>20</v>
      </c>
      <c r="E45" s="13">
        <f t="shared" si="0"/>
        <v>274.80000000000007</v>
      </c>
      <c r="F45" s="2">
        <f t="shared" si="1"/>
        <v>68.700000000000017</v>
      </c>
      <c r="G45" s="37">
        <v>0</v>
      </c>
      <c r="H45" s="8" t="s">
        <v>44</v>
      </c>
      <c r="I45" s="146">
        <f t="shared" si="2"/>
        <v>1</v>
      </c>
      <c r="J45" s="11" t="e">
        <f>C45*(I45)*(1-G45)*(INDEX(Stats!Q:Q,MATCH(K45,Stats!A:A,0)))</f>
        <v>#N/A</v>
      </c>
      <c r="L45" s="1">
        <f>C45*(1+SUMIFS(Stats!S:S,Stats!A:A,K45)*(125-D45)/100*IF(H45="S",0.5,1))</f>
        <v>17175000</v>
      </c>
      <c r="M45" s="25">
        <f>D45*(1+SUMIFS(Stats!T:T,Stats!A:A,K45)*SQRT(I45))</f>
        <v>20</v>
      </c>
      <c r="N45" s="3">
        <f t="shared" si="3"/>
        <v>0</v>
      </c>
      <c r="O45" s="28">
        <f t="shared" si="4"/>
        <v>16.000000000000004</v>
      </c>
      <c r="P45" s="1" t="e">
        <f t="shared" si="5"/>
        <v>#N/A</v>
      </c>
    </row>
    <row r="46" spans="1:17" x14ac:dyDescent="0.25">
      <c r="A46" t="s">
        <v>36</v>
      </c>
      <c r="B46" t="s">
        <v>371</v>
      </c>
      <c r="C46" s="1">
        <f>(3155+637+2662+3406)*1000/(117900000)*$C$45</f>
        <v>1436348.6005089057</v>
      </c>
      <c r="D46" s="19">
        <v>20</v>
      </c>
      <c r="E46" s="13">
        <f t="shared" ref="E46" si="6">(C46/1000000+F46*0.15)*I46*(1-G46)*10</f>
        <v>22.981577608142491</v>
      </c>
      <c r="F46" s="2">
        <f t="shared" ref="F46" si="7">(C46*(D46/100)^2/100000)*(1-G46)*10</f>
        <v>5.7453944020356236</v>
      </c>
      <c r="G46" s="37">
        <v>0</v>
      </c>
      <c r="H46" s="8" t="s">
        <v>44</v>
      </c>
      <c r="I46" s="146">
        <f t="shared" si="2"/>
        <v>1</v>
      </c>
      <c r="J46" s="11">
        <f>C46*(I46)*(1-G46)*(INDEX(Stats!Q:Q,MATCH(K46,Stats!A:A,0)))</f>
        <v>155332.25841189851</v>
      </c>
      <c r="K46" s="8" t="s">
        <v>270</v>
      </c>
      <c r="L46" s="1">
        <f>C46*(1+SUMIFS(Stats!S:S,Stats!A:A,K46)*(125-D46)/100*IF(H46="S",0.5,1))</f>
        <v>1474052.7512722646</v>
      </c>
      <c r="M46" s="25">
        <f>D46*(1+SUMIFS(Stats!T:T,Stats!A:A,K46)*SQRT(I46))</f>
        <v>20.069565217391304</v>
      </c>
      <c r="N46" s="3">
        <f t="shared" si="3"/>
        <v>2.5578562728380119E-2</v>
      </c>
      <c r="O46" s="28">
        <f t="shared" si="4"/>
        <v>16</v>
      </c>
      <c r="P46" s="1">
        <f t="shared" si="5"/>
        <v>7</v>
      </c>
    </row>
    <row r="47" spans="1:17" x14ac:dyDescent="0.25">
      <c r="A47" t="s">
        <v>36</v>
      </c>
      <c r="B47" t="s">
        <v>372</v>
      </c>
      <c r="C47" s="1">
        <f>(2748+4653+3268)*1000/(117900000)*$C$45</f>
        <v>1554199.1094147584</v>
      </c>
      <c r="D47" s="19">
        <v>20</v>
      </c>
      <c r="E47" s="13">
        <f t="shared" ref="E47" si="8">(C47/1000000+F47*0.15)*I47*(1-G47)*10</f>
        <v>24.867185750636132</v>
      </c>
      <c r="F47" s="2">
        <f t="shared" ref="F47" si="9">(C47*(D47/100)^2/100000)*(1-G47)*10</f>
        <v>6.2167964376590348</v>
      </c>
      <c r="G47" s="37">
        <v>0</v>
      </c>
      <c r="H47" s="8" t="s">
        <v>44</v>
      </c>
      <c r="I47" s="146">
        <f t="shared" si="2"/>
        <v>1</v>
      </c>
      <c r="J47" s="11">
        <f>C47*(I47)*(1-G47)*(INDEX(Stats!Q:Q,MATCH(K47,Stats!A:A,0)))</f>
        <v>155970.8517366857</v>
      </c>
      <c r="K47" s="8" t="s">
        <v>273</v>
      </c>
      <c r="L47" s="1">
        <f>C47*(1+SUMIFS(Stats!S:S,Stats!A:A,K47)*(125-D47)/100*IF(H47="S",0.5,1))</f>
        <v>1582757.5180502546</v>
      </c>
      <c r="M47" s="25">
        <f>D47*(1+SUMIFS(Stats!T:T,Stats!A:A,K47)*SQRT(I47))</f>
        <v>20.072000000000003</v>
      </c>
      <c r="N47" s="3">
        <f t="shared" si="3"/>
        <v>1.8043451577267691E-2</v>
      </c>
      <c r="O47" s="28">
        <f t="shared" si="4"/>
        <v>16</v>
      </c>
      <c r="P47" s="1">
        <f t="shared" si="5"/>
        <v>6</v>
      </c>
    </row>
    <row r="48" spans="1:17" x14ac:dyDescent="0.25">
      <c r="A48" t="s">
        <v>36</v>
      </c>
      <c r="B48" t="s">
        <v>373</v>
      </c>
      <c r="C48" s="1">
        <f>(7643)*1000/(117900000)*$C$45</f>
        <v>1113388.6768447838</v>
      </c>
      <c r="D48" s="19">
        <v>26</v>
      </c>
      <c r="E48" s="13">
        <f t="shared" ref="E48" si="10">(C48/1000000+F48*0.15)*I48*(1-G48)*10</f>
        <v>22.423647951653948</v>
      </c>
      <c r="F48" s="2">
        <f t="shared" ref="F48" si="11">(C48*(D48/100)^2/100000)*(1-G48)*10</f>
        <v>7.526507455470739</v>
      </c>
      <c r="G48" s="37">
        <v>0</v>
      </c>
      <c r="H48" s="8" t="s">
        <v>44</v>
      </c>
      <c r="I48" s="146">
        <f t="shared" si="2"/>
        <v>1</v>
      </c>
      <c r="J48" s="11">
        <f>C48*(I48)*(1-G48)*(INDEX(Stats!Q:Q,MATCH(K48,Stats!A:A,0)))</f>
        <v>101515.22506978644</v>
      </c>
      <c r="K48" s="8" t="s">
        <v>268</v>
      </c>
      <c r="L48" s="1">
        <f>C48*(1+SUMIFS(Stats!S:S,Stats!A:A,K48)*(125-D48)/100*IF(H48="S",0.5,1))</f>
        <v>1132678.1356711197</v>
      </c>
      <c r="M48" s="25">
        <f>D48*(1+SUMIFS(Stats!T:T,Stats!A:A,K48)*SQRT(I48))</f>
        <v>26.096086956521741</v>
      </c>
      <c r="N48" s="3">
        <f t="shared" si="3"/>
        <v>1.7029956012090501E-2</v>
      </c>
      <c r="O48" s="28">
        <f t="shared" si="4"/>
        <v>20.14</v>
      </c>
      <c r="P48" s="1">
        <f t="shared" si="5"/>
        <v>5</v>
      </c>
    </row>
    <row r="49" spans="1:16" x14ac:dyDescent="0.25">
      <c r="A49" t="s">
        <v>36</v>
      </c>
      <c r="B49" t="s">
        <v>374</v>
      </c>
      <c r="C49" s="1">
        <f>(1632+1490)*1000/(117900000)*$C$45</f>
        <v>454795.16539440199</v>
      </c>
      <c r="D49" s="19">
        <v>18</v>
      </c>
      <c r="E49" s="13">
        <f t="shared" ref="E49" si="12">(C49/1000000+F49*0.15)*I49*(1-G49)*10</f>
        <v>6.7582561577608136</v>
      </c>
      <c r="F49" s="2">
        <f t="shared" ref="F49" si="13">(C49*(D49/100)^2/100000)*(1-G49)*10</f>
        <v>1.4735363358778626</v>
      </c>
      <c r="G49" s="37">
        <v>0</v>
      </c>
      <c r="H49" s="8" t="s">
        <v>44</v>
      </c>
      <c r="I49" s="146">
        <f t="shared" si="2"/>
        <v>1</v>
      </c>
      <c r="J49" s="11">
        <f>C49*(I49)*(1-G49)*(INDEX(Stats!Q:Q,MATCH(K49,Stats!A:A,0)))</f>
        <v>32720.406762050985</v>
      </c>
      <c r="K49" s="8" t="s">
        <v>272</v>
      </c>
      <c r="L49" s="1">
        <f>C49*(1+SUMIFS(Stats!S:S,Stats!A:A,K49)*(125-D49)/100*IF(H49="S",0.5,1))</f>
        <v>464527.78193384223</v>
      </c>
      <c r="M49" s="25">
        <f>D49*(1+SUMIFS(Stats!T:T,Stats!A:A,K49)*SQRT(I49))</f>
        <v>18.077142857142857</v>
      </c>
      <c r="N49" s="3">
        <f t="shared" si="3"/>
        <v>2.09516350107696E-2</v>
      </c>
      <c r="O49" s="28">
        <f t="shared" si="4"/>
        <v>14.86</v>
      </c>
      <c r="P49" s="1">
        <f t="shared" si="5"/>
        <v>5</v>
      </c>
    </row>
    <row r="50" spans="1:16" x14ac:dyDescent="0.25">
      <c r="A50" t="s">
        <v>36</v>
      </c>
      <c r="B50" t="s">
        <v>376</v>
      </c>
      <c r="C50" s="1">
        <f>(2767+1084+7350)*1000/(117900000)*$C$45</f>
        <v>1631697.8371501272</v>
      </c>
      <c r="D50" s="19">
        <v>24</v>
      </c>
      <c r="E50" s="13">
        <f t="shared" ref="E50" si="14">(C50/1000000+F50*0.15)*I50*(1-G50)*10</f>
        <v>30.414847684478371</v>
      </c>
      <c r="F50" s="2">
        <f t="shared" ref="F50" si="15">(C50*(D50/100)^2/100000)*(1-G50)*10</f>
        <v>9.3985795419847324</v>
      </c>
      <c r="G50" s="37">
        <v>0</v>
      </c>
      <c r="H50" s="8" t="s">
        <v>44</v>
      </c>
      <c r="I50" s="146">
        <f t="shared" si="2"/>
        <v>1</v>
      </c>
      <c r="J50" s="11">
        <f>C50*(I50)*(1-G50)*(INDEX(Stats!Q:Q,MATCH(K50,Stats!A:A,0)))</f>
        <v>117576.07578450658</v>
      </c>
      <c r="K50" s="8" t="s">
        <v>275</v>
      </c>
      <c r="L50" s="1">
        <f>C50*(1+SUMIFS(Stats!S:S,Stats!A:A,K50)*(125-D50)/100*IF(H50="S",0.5,1))</f>
        <v>1681138.281615776</v>
      </c>
      <c r="M50" s="25">
        <f>D50*(1+SUMIFS(Stats!T:T,Stats!A:A,K50)*SQRT(I50))</f>
        <v>24.092903225806452</v>
      </c>
      <c r="N50" s="3">
        <f t="shared" si="3"/>
        <v>2.9408910026205957E-2</v>
      </c>
      <c r="O50" s="28">
        <f t="shared" si="4"/>
        <v>18.64</v>
      </c>
      <c r="P50" s="1">
        <f t="shared" si="5"/>
        <v>4</v>
      </c>
    </row>
    <row r="51" spans="1:16" x14ac:dyDescent="0.25">
      <c r="A51" t="s">
        <v>36</v>
      </c>
      <c r="B51" t="s">
        <v>377</v>
      </c>
      <c r="C51" s="1">
        <f>(3388+3801+4796+2238)*1000/(117900000)*$C$45</f>
        <v>2071925.572519084</v>
      </c>
      <c r="D51" s="19">
        <v>24</v>
      </c>
      <c r="E51" s="13">
        <f t="shared" ref="E51:E53" si="16">(C51/1000000+F51*0.15)*I51*(1-G51)*10</f>
        <v>38.62069267175572</v>
      </c>
      <c r="F51" s="2">
        <f t="shared" ref="F51:F53" si="17">(C51*(D51/100)^2/100000)*(1-G51)*10</f>
        <v>11.934291297709922</v>
      </c>
      <c r="G51" s="37">
        <v>0</v>
      </c>
      <c r="H51" s="8" t="s">
        <v>44</v>
      </c>
      <c r="I51" s="146">
        <f t="shared" si="2"/>
        <v>1</v>
      </c>
      <c r="J51" s="11">
        <f>C51*(I51)*(1-G51)*(INDEX(Stats!Q:Q,MATCH(K51,Stats!A:A,0)))</f>
        <v>214698.87101764517</v>
      </c>
      <c r="K51" s="8" t="s">
        <v>380</v>
      </c>
      <c r="L51" s="1">
        <f>C51*(1+SUMIFS(Stats!S:S,Stats!A:A,K51)*(125-D51)/100*IF(H51="S",0.5,1))</f>
        <v>2155631.365648855</v>
      </c>
      <c r="M51" s="25">
        <f>D51*(1+SUMIFS(Stats!T:T,Stats!A:A,K51)*SQRT(I51))</f>
        <v>24.080000000000002</v>
      </c>
      <c r="N51" s="3">
        <f t="shared" si="3"/>
        <v>3.8831218762014619E-2</v>
      </c>
      <c r="O51" s="28">
        <f t="shared" si="4"/>
        <v>18.639999999999997</v>
      </c>
      <c r="P51" s="1">
        <f t="shared" si="5"/>
        <v>6</v>
      </c>
    </row>
    <row r="52" spans="1:16" x14ac:dyDescent="0.25">
      <c r="A52" t="s">
        <v>36</v>
      </c>
      <c r="B52" t="s">
        <v>378</v>
      </c>
      <c r="C52" s="1">
        <f>(822+1955+1325)*1000/(117900000)*$C$45</f>
        <v>597555.97964376595</v>
      </c>
      <c r="D52" s="19">
        <v>22</v>
      </c>
      <c r="E52" s="13">
        <f t="shared" si="16"/>
        <v>10.313816208651401</v>
      </c>
      <c r="F52" s="2">
        <f t="shared" si="17"/>
        <v>2.8921709414758272</v>
      </c>
      <c r="G52" s="37">
        <v>0</v>
      </c>
      <c r="H52" s="8" t="s">
        <v>44</v>
      </c>
      <c r="I52" s="146">
        <f t="shared" si="2"/>
        <v>1</v>
      </c>
      <c r="J52" s="11">
        <f>C52*(I52)*(1-G52)*(INDEX(Stats!Q:Q,MATCH(K52,Stats!A:A,0)))</f>
        <v>60690.360832828395</v>
      </c>
      <c r="K52" s="8" t="s">
        <v>350</v>
      </c>
      <c r="L52" s="1">
        <f>C52*(1+SUMIFS(Stats!S:S,Stats!A:A,K52)*(125-D52)/100*IF(H52="S",0.5,1))</f>
        <v>619097.87270992366</v>
      </c>
      <c r="M52" s="25">
        <f>D52*(1+SUMIFS(Stats!T:T,Stats!A:A,K52)*SQRT(I52))</f>
        <v>22.07</v>
      </c>
      <c r="N52" s="3">
        <f t="shared" si="3"/>
        <v>3.4795617972105501E-2</v>
      </c>
      <c r="O52" s="28">
        <f t="shared" si="4"/>
        <v>17.260000000000002</v>
      </c>
      <c r="P52" s="1">
        <f t="shared" si="5"/>
        <v>6</v>
      </c>
    </row>
    <row r="53" spans="1:16" x14ac:dyDescent="0.25">
      <c r="A53" t="s">
        <v>36</v>
      </c>
      <c r="B53" t="s">
        <v>379</v>
      </c>
      <c r="C53" s="1">
        <f>C45-SUM(C46:C52)</f>
        <v>8315089.0585241728</v>
      </c>
      <c r="D53" s="19">
        <v>26</v>
      </c>
      <c r="E53" s="13">
        <f t="shared" si="16"/>
        <v>167.46589363867685</v>
      </c>
      <c r="F53" s="2">
        <f t="shared" si="17"/>
        <v>56.210002035623418</v>
      </c>
      <c r="G53" s="37">
        <v>0</v>
      </c>
      <c r="H53" s="8" t="s">
        <v>44</v>
      </c>
      <c r="I53" s="146">
        <f t="shared" si="2"/>
        <v>1</v>
      </c>
      <c r="J53" s="11">
        <f>C53*(I53)*(1-G53)*(INDEX(Stats!Q:Q,MATCH(K53,Stats!A:A,0)))</f>
        <v>668859.89829484629</v>
      </c>
      <c r="K53" s="8" t="s">
        <v>72</v>
      </c>
      <c r="L53" s="1">
        <f>C53*(1+SUMIFS(Stats!S:S,Stats!A:A,K53)*(125-D53)/100*IF(H53="S",0.5,1))</f>
        <v>8603206.8944020364</v>
      </c>
      <c r="M53" s="25">
        <f>D53*(1+SUMIFS(Stats!T:T,Stats!A:A,K53)*SQRT(I53))</f>
        <v>26.09672619047619</v>
      </c>
      <c r="N53" s="3">
        <f t="shared" si="3"/>
        <v>3.3489585850287662E-2</v>
      </c>
      <c r="O53" s="28">
        <f t="shared" si="4"/>
        <v>20.14</v>
      </c>
      <c r="P53" s="1">
        <f t="shared" si="5"/>
        <v>4</v>
      </c>
    </row>
    <row r="54" spans="1:16" x14ac:dyDescent="0.25">
      <c r="B54" t="s">
        <v>117</v>
      </c>
      <c r="C54" s="1">
        <v>5480000</v>
      </c>
      <c r="D54" s="19">
        <v>18</v>
      </c>
      <c r="E54" s="13">
        <f t="shared" si="0"/>
        <v>61.074600000000004</v>
      </c>
      <c r="F54" s="2">
        <f t="shared" si="1"/>
        <v>17.755199999999999</v>
      </c>
      <c r="G54" s="37">
        <v>0</v>
      </c>
      <c r="H54" s="8" t="s">
        <v>214</v>
      </c>
      <c r="I54" s="146">
        <f t="shared" si="2"/>
        <v>0.75</v>
      </c>
      <c r="J54" s="11">
        <f>C54*(I54)*(1-G54)*(INDEX(Stats!Q:Q,MATCH(K54,Stats!A:A,0)))</f>
        <v>242632.44660484826</v>
      </c>
      <c r="K54" s="8" t="s">
        <v>164</v>
      </c>
      <c r="L54" s="1">
        <f>C54*(1+SUMIFS(Stats!S:S,Stats!A:A,K54)*(125-D54)/100*IF(H54="S",0.5,1))</f>
        <v>5670567</v>
      </c>
      <c r="M54" s="25">
        <f>D54*(1+SUMIFS(Stats!T:T,Stats!A:A,K54)*SQRT(I54))</f>
        <v>18.055754336214445</v>
      </c>
      <c r="N54" s="3">
        <f t="shared" si="3"/>
        <v>3.36063395424126E-2</v>
      </c>
      <c r="O54" s="28">
        <f t="shared" si="4"/>
        <v>14.860000000000001</v>
      </c>
      <c r="P54" s="1">
        <f t="shared" si="5"/>
        <v>3</v>
      </c>
    </row>
    <row r="55" spans="1:16" x14ac:dyDescent="0.25">
      <c r="B55" t="s">
        <v>118</v>
      </c>
      <c r="C55" s="1">
        <v>1713000</v>
      </c>
      <c r="D55" s="19">
        <v>18</v>
      </c>
      <c r="E55" s="13">
        <f t="shared" si="0"/>
        <v>19.091385000000002</v>
      </c>
      <c r="F55" s="2">
        <f t="shared" si="1"/>
        <v>5.5501199999999997</v>
      </c>
      <c r="G55" s="37">
        <v>0</v>
      </c>
      <c r="H55" s="8" t="s">
        <v>214</v>
      </c>
      <c r="I55" s="146">
        <f t="shared" si="2"/>
        <v>0.75</v>
      </c>
      <c r="J55" s="11">
        <f>C55*(I55)*(1-G55)*(INDEX(Stats!Q:Q,MATCH(K55,Stats!A:A,0)))</f>
        <v>124752.2598707181</v>
      </c>
      <c r="K55" s="8" t="s">
        <v>157</v>
      </c>
      <c r="L55" s="1">
        <f>C55*(1+SUMIFS(Stats!S:S,Stats!A:A,K55)*(125-D55)/100*IF(H55="S",0.5,1))</f>
        <v>1763405.0250000001</v>
      </c>
      <c r="M55" s="25">
        <f>D55*(1+SUMIFS(Stats!T:T,Stats!A:A,K55)*SQRT(I55))</f>
        <v>18.060739765377143</v>
      </c>
      <c r="N55" s="3">
        <f t="shared" si="3"/>
        <v>2.858391820676599E-2</v>
      </c>
      <c r="O55" s="28">
        <f t="shared" si="4"/>
        <v>14.860000000000001</v>
      </c>
      <c r="P55" s="1">
        <f t="shared" si="5"/>
        <v>5</v>
      </c>
    </row>
    <row r="56" spans="1:16" x14ac:dyDescent="0.25">
      <c r="B56" t="s">
        <v>119</v>
      </c>
      <c r="C56" s="1">
        <v>3300000</v>
      </c>
      <c r="D56" s="19">
        <v>20</v>
      </c>
      <c r="E56" s="13">
        <f t="shared" si="0"/>
        <v>39.6</v>
      </c>
      <c r="F56" s="2">
        <f t="shared" si="1"/>
        <v>13.200000000000003</v>
      </c>
      <c r="G56" s="37">
        <v>0</v>
      </c>
      <c r="H56" s="8" t="s">
        <v>214</v>
      </c>
      <c r="I56" s="146">
        <f t="shared" si="2"/>
        <v>0.75</v>
      </c>
      <c r="J56" s="11">
        <f>C56*(I56)*(1-G56)*(INDEX(Stats!Q:Q,MATCH(K56,Stats!A:A,0)))</f>
        <v>214594.85582939192</v>
      </c>
      <c r="K56" s="8" t="s">
        <v>88</v>
      </c>
      <c r="L56" s="1">
        <f>C56*(1+SUMIFS(Stats!S:S,Stats!A:A,K56)*(125-D56)/100*IF(H56="S",0.5,1))</f>
        <v>3369299.9999999995</v>
      </c>
      <c r="M56" s="25">
        <f>D56*(1+SUMIFS(Stats!T:T,Stats!A:A,K56)*SQRT(I56))</f>
        <v>20.062229370331814</v>
      </c>
      <c r="N56" s="3">
        <f t="shared" si="3"/>
        <v>2.0568070519098786E-2</v>
      </c>
      <c r="O56" s="28">
        <f t="shared" si="4"/>
        <v>16</v>
      </c>
      <c r="P56" s="1">
        <f t="shared" si="5"/>
        <v>4</v>
      </c>
    </row>
    <row r="57" spans="1:16" x14ac:dyDescent="0.25">
      <c r="B57" t="s">
        <v>120</v>
      </c>
      <c r="C57" s="1">
        <v>2397000</v>
      </c>
      <c r="D57" s="19">
        <v>20</v>
      </c>
      <c r="E57" s="13">
        <f t="shared" si="0"/>
        <v>38.351999999999997</v>
      </c>
      <c r="F57" s="2">
        <f t="shared" si="1"/>
        <v>9.588000000000001</v>
      </c>
      <c r="G57" s="37">
        <v>0</v>
      </c>
      <c r="H57" s="8" t="s">
        <v>44</v>
      </c>
      <c r="I57" s="146">
        <f t="shared" si="2"/>
        <v>1</v>
      </c>
      <c r="J57" s="11">
        <f>C57*(I57)*(1-G57)*(INDEX(Stats!Q:Q,MATCH(K57,Stats!A:A,0)))</f>
        <v>141506.07652355751</v>
      </c>
      <c r="K57" s="8" t="s">
        <v>164</v>
      </c>
      <c r="L57" s="1">
        <f>C57*(1+SUMIFS(Stats!S:S,Stats!A:A,K57)*(125-D57)/100*IF(H57="S",0.5,1))</f>
        <v>2478797.625</v>
      </c>
      <c r="M57" s="25">
        <f>D57*(1+SUMIFS(Stats!T:T,Stats!A:A,K57)*SQRT(I57))</f>
        <v>20.071532846715328</v>
      </c>
      <c r="N57" s="3">
        <f t="shared" si="3"/>
        <v>3.299891212377614E-2</v>
      </c>
      <c r="O57" s="28">
        <f t="shared" si="4"/>
        <v>16</v>
      </c>
      <c r="P57" s="1">
        <f t="shared" si="5"/>
        <v>4</v>
      </c>
    </row>
    <row r="58" spans="1:16" x14ac:dyDescent="0.25">
      <c r="B58" t="s">
        <v>121</v>
      </c>
      <c r="C58" s="1">
        <v>500000</v>
      </c>
      <c r="D58" s="19">
        <v>20</v>
      </c>
      <c r="E58" s="13">
        <f t="shared" si="0"/>
        <v>8</v>
      </c>
      <c r="F58" s="2">
        <f t="shared" si="1"/>
        <v>2.0000000000000004</v>
      </c>
      <c r="G58" s="37">
        <v>0</v>
      </c>
      <c r="H58" s="8" t="s">
        <v>44</v>
      </c>
      <c r="I58" s="146">
        <f t="shared" si="2"/>
        <v>1</v>
      </c>
      <c r="J58" s="11">
        <f>C58*(I58)*(1-G58)*(INDEX(Stats!Q:Q,MATCH(K58,Stats!A:A,0)))</f>
        <v>48715.153629869819</v>
      </c>
      <c r="K58" s="8" t="s">
        <v>155</v>
      </c>
      <c r="L58" s="1">
        <f>C58*(1+SUMIFS(Stats!S:S,Stats!A:A,K58)*(125-D58)/100*IF(H58="S",0.5,1))</f>
        <v>521000</v>
      </c>
      <c r="M58" s="25">
        <f>D58*(1+SUMIFS(Stats!T:T,Stats!A:A,K58)*SQRT(I58))</f>
        <v>20.067441860465117</v>
      </c>
      <c r="N58" s="3">
        <f t="shared" si="3"/>
        <v>4.0307101727447218E-2</v>
      </c>
      <c r="O58" s="28">
        <f t="shared" si="4"/>
        <v>16</v>
      </c>
      <c r="P58" s="1">
        <f t="shared" si="5"/>
        <v>6</v>
      </c>
    </row>
    <row r="59" spans="1:16" x14ac:dyDescent="0.25">
      <c r="B59" t="s">
        <v>122</v>
      </c>
      <c r="C59" s="1">
        <v>3837000</v>
      </c>
      <c r="D59" s="19">
        <v>20</v>
      </c>
      <c r="E59" s="13">
        <f t="shared" si="0"/>
        <v>15.348000000000003</v>
      </c>
      <c r="F59" s="2">
        <f t="shared" si="1"/>
        <v>15.348000000000004</v>
      </c>
      <c r="G59" s="37">
        <v>0</v>
      </c>
      <c r="H59" s="8" t="s">
        <v>215</v>
      </c>
      <c r="I59" s="146">
        <f t="shared" si="2"/>
        <v>0.25</v>
      </c>
      <c r="J59" s="11">
        <f>C59*(I59)*(1-G59)*(INDEX(Stats!Q:Q,MATCH(K59,Stats!A:A,0)))</f>
        <v>54652.709559646741</v>
      </c>
      <c r="K59" s="8" t="s">
        <v>58</v>
      </c>
      <c r="L59" s="1">
        <f>C59*(1+SUMIFS(Stats!S:S,Stats!A:A,K59)*(125-D59)/100*IF(H59="S",0.5,1))</f>
        <v>3991415.0336869885</v>
      </c>
      <c r="M59" s="25">
        <f>D59*(1+SUMIFS(Stats!T:T,Stats!A:A,K59)*SQRT(I59))</f>
        <v>20.041498685363717</v>
      </c>
      <c r="N59" s="3">
        <f t="shared" si="3"/>
        <v>3.8686789618154735E-2</v>
      </c>
      <c r="O59" s="28">
        <f t="shared" si="4"/>
        <v>16.000000000000004</v>
      </c>
      <c r="P59" s="1">
        <f t="shared" si="5"/>
        <v>1</v>
      </c>
    </row>
    <row r="60" spans="1:16" x14ac:dyDescent="0.25">
      <c r="B60" t="s">
        <v>123</v>
      </c>
      <c r="C60" s="1">
        <v>1256000</v>
      </c>
      <c r="D60" s="19">
        <v>20</v>
      </c>
      <c r="E60" s="13">
        <f t="shared" si="0"/>
        <v>20.096000000000004</v>
      </c>
      <c r="F60" s="2">
        <f t="shared" si="1"/>
        <v>5.0240000000000009</v>
      </c>
      <c r="G60" s="37">
        <v>0</v>
      </c>
      <c r="H60" s="8" t="s">
        <v>44</v>
      </c>
      <c r="I60" s="146">
        <f t="shared" si="2"/>
        <v>1</v>
      </c>
      <c r="J60" s="11">
        <f>C60*(I60)*(1-G60)*(INDEX(Stats!Q:Q,MATCH(K60,Stats!A:A,0)))</f>
        <v>109166.09261620985</v>
      </c>
      <c r="K60" s="8" t="s">
        <v>68</v>
      </c>
      <c r="L60" s="1">
        <f>C60*(1+SUMIFS(Stats!S:S,Stats!A:A,K60)*(125-D60)/100*IF(H60="S",0.5,1))</f>
        <v>1288970.0000000002</v>
      </c>
      <c r="M60" s="25">
        <f>D60*(1+SUMIFS(Stats!T:T,Stats!A:A,K60)*SQRT(I60))</f>
        <v>20.074999999999999</v>
      </c>
      <c r="N60" s="3">
        <f t="shared" si="3"/>
        <v>2.5578562728380199E-2</v>
      </c>
      <c r="O60" s="28">
        <f t="shared" si="4"/>
        <v>16.000000000000004</v>
      </c>
      <c r="P60" s="1">
        <f t="shared" si="5"/>
        <v>5</v>
      </c>
    </row>
    <row r="61" spans="1:16" x14ac:dyDescent="0.25">
      <c r="B61" t="s">
        <v>124</v>
      </c>
      <c r="C61" s="1">
        <v>1944000</v>
      </c>
      <c r="D61" s="19">
        <v>20</v>
      </c>
      <c r="E61" s="13">
        <f t="shared" si="0"/>
        <v>23.328000000000003</v>
      </c>
      <c r="F61" s="2">
        <f t="shared" si="1"/>
        <v>7.7760000000000016</v>
      </c>
      <c r="G61" s="37">
        <v>0</v>
      </c>
      <c r="H61" s="8" t="s">
        <v>214</v>
      </c>
      <c r="I61" s="146">
        <f t="shared" si="2"/>
        <v>0.75</v>
      </c>
      <c r="J61" s="11">
        <f>C61*(I61)*(1-G61)*(INDEX(Stats!Q:Q,MATCH(K61,Stats!A:A,0)))</f>
        <v>86072.532153252745</v>
      </c>
      <c r="K61" s="8" t="s">
        <v>164</v>
      </c>
      <c r="L61" s="1">
        <f>C61*(1+SUMIFS(Stats!S:S,Stats!A:A,K61)*(125-D61)/100*IF(H61="S",0.5,1))</f>
        <v>2010339</v>
      </c>
      <c r="M61" s="25">
        <f>D61*(1+SUMIFS(Stats!T:T,Stats!A:A,K61)*SQRT(I61))</f>
        <v>20.061949262460494</v>
      </c>
      <c r="N61" s="3">
        <f t="shared" si="3"/>
        <v>3.299891212377614E-2</v>
      </c>
      <c r="O61" s="28">
        <f t="shared" si="4"/>
        <v>16.000000000000004</v>
      </c>
      <c r="P61" s="1">
        <f t="shared" si="5"/>
        <v>3</v>
      </c>
    </row>
    <row r="62" spans="1:16" x14ac:dyDescent="0.25">
      <c r="B62" t="s">
        <v>125</v>
      </c>
      <c r="C62" s="1">
        <v>1440000</v>
      </c>
      <c r="D62" s="19">
        <v>20</v>
      </c>
      <c r="E62" s="13">
        <f t="shared" si="0"/>
        <v>23.040000000000003</v>
      </c>
      <c r="F62" s="2">
        <f t="shared" si="1"/>
        <v>5.7600000000000016</v>
      </c>
      <c r="G62" s="37">
        <v>0</v>
      </c>
      <c r="H62" s="8" t="s">
        <v>44</v>
      </c>
      <c r="I62" s="146">
        <f t="shared" si="2"/>
        <v>1</v>
      </c>
      <c r="J62" s="11">
        <f>C62*(I62)*(1-G62)*(INDEX(Stats!Q:Q,MATCH(K62,Stats!A:A,0)))</f>
        <v>140299.64245402507</v>
      </c>
      <c r="K62" s="8" t="s">
        <v>155</v>
      </c>
      <c r="L62" s="1">
        <f>C62*(1+SUMIFS(Stats!S:S,Stats!A:A,K62)*(125-D62)/100*IF(H62="S",0.5,1))</f>
        <v>1500480</v>
      </c>
      <c r="M62" s="25">
        <f>D62*(1+SUMIFS(Stats!T:T,Stats!A:A,K62)*SQRT(I62))</f>
        <v>20.067441860465117</v>
      </c>
      <c r="N62" s="3">
        <f t="shared" si="3"/>
        <v>4.0307101727447218E-2</v>
      </c>
      <c r="O62" s="28">
        <f t="shared" si="4"/>
        <v>16.000000000000004</v>
      </c>
      <c r="P62" s="1">
        <f t="shared" si="5"/>
        <v>6</v>
      </c>
    </row>
    <row r="63" spans="1:16" x14ac:dyDescent="0.25">
      <c r="B63" t="s">
        <v>126</v>
      </c>
      <c r="C63" s="1">
        <v>1771000</v>
      </c>
      <c r="D63" s="19">
        <v>20</v>
      </c>
      <c r="E63" s="13">
        <f t="shared" si="0"/>
        <v>28.336000000000002</v>
      </c>
      <c r="F63" s="2">
        <f t="shared" si="1"/>
        <v>7.0840000000000014</v>
      </c>
      <c r="G63" s="37">
        <v>0</v>
      </c>
      <c r="H63" s="8" t="s">
        <v>44</v>
      </c>
      <c r="I63" s="146">
        <f t="shared" si="2"/>
        <v>1</v>
      </c>
      <c r="J63" s="11">
        <f>C63*(I63)*(1-G63)*(INDEX(Stats!Q:Q,MATCH(K63,Stats!A:A,0)))</f>
        <v>172549.07415699889</v>
      </c>
      <c r="K63" s="8" t="s">
        <v>155</v>
      </c>
      <c r="L63" s="1">
        <f>C63*(1+SUMIFS(Stats!S:S,Stats!A:A,K63)*(125-D63)/100*IF(H63="S",0.5,1))</f>
        <v>1845382</v>
      </c>
      <c r="M63" s="25">
        <f>D63*(1+SUMIFS(Stats!T:T,Stats!A:A,K63)*SQRT(I63))</f>
        <v>20.067441860465117</v>
      </c>
      <c r="N63" s="3">
        <f t="shared" si="3"/>
        <v>4.0307101727447218E-2</v>
      </c>
      <c r="O63" s="28">
        <f t="shared" si="4"/>
        <v>16.000000000000004</v>
      </c>
      <c r="P63" s="1">
        <f t="shared" si="5"/>
        <v>6</v>
      </c>
    </row>
    <row r="64" spans="1:16" x14ac:dyDescent="0.25">
      <c r="B64" t="s">
        <v>127</v>
      </c>
      <c r="C64" s="1">
        <v>2422000</v>
      </c>
      <c r="D64" s="19">
        <v>20</v>
      </c>
      <c r="E64" s="13">
        <f t="shared" si="0"/>
        <v>38.752000000000002</v>
      </c>
      <c r="F64" s="2">
        <f t="shared" si="1"/>
        <v>9.6880000000000006</v>
      </c>
      <c r="G64" s="37">
        <v>0</v>
      </c>
      <c r="H64" s="8" t="s">
        <v>44</v>
      </c>
      <c r="I64" s="146">
        <f t="shared" si="2"/>
        <v>1</v>
      </c>
      <c r="J64" s="11">
        <f>C64*(I64)*(1-G64)*(INDEX(Stats!Q:Q,MATCH(K64,Stats!A:A,0)))</f>
        <v>250974.58736054428</v>
      </c>
      <c r="K64" s="8" t="s">
        <v>277</v>
      </c>
      <c r="L64" s="1">
        <f>C64*(1+SUMIFS(Stats!S:S,Stats!A:A,K64)*(125-D64)/100*IF(H64="S",0.5,1))</f>
        <v>2511008.5</v>
      </c>
      <c r="M64" s="25">
        <f>D64*(1+SUMIFS(Stats!T:T,Stats!A:A,K64)*SQRT(I64))</f>
        <v>20.06666666666667</v>
      </c>
      <c r="N64" s="3">
        <f t="shared" si="3"/>
        <v>3.5447311309380274E-2</v>
      </c>
      <c r="O64" s="28">
        <f t="shared" si="4"/>
        <v>16.000000000000004</v>
      </c>
      <c r="P64" s="1">
        <f t="shared" si="5"/>
        <v>6</v>
      </c>
    </row>
    <row r="65" spans="2:134" x14ac:dyDescent="0.25">
      <c r="B65" t="s">
        <v>128</v>
      </c>
      <c r="C65" s="1">
        <v>950000</v>
      </c>
      <c r="D65" s="19">
        <v>20</v>
      </c>
      <c r="E65" s="13">
        <f t="shared" si="0"/>
        <v>15.2</v>
      </c>
      <c r="F65" s="2">
        <f t="shared" si="1"/>
        <v>3.8000000000000007</v>
      </c>
      <c r="G65" s="37">
        <v>0</v>
      </c>
      <c r="H65" s="8" t="s">
        <v>44</v>
      </c>
      <c r="I65" s="146">
        <f t="shared" si="2"/>
        <v>1</v>
      </c>
      <c r="J65" s="11">
        <f>C65*(I65)*(1-G65)*(INDEX(Stats!Q:Q,MATCH(K65,Stats!A:A,0)))</f>
        <v>92558.791896752664</v>
      </c>
      <c r="K65" s="8" t="s">
        <v>155</v>
      </c>
      <c r="L65" s="1">
        <f>C65*(1+SUMIFS(Stats!S:S,Stats!A:A,K65)*(125-D65)/100*IF(H65="S",0.5,1))</f>
        <v>989900</v>
      </c>
      <c r="M65" s="25">
        <f>D65*(1+SUMIFS(Stats!T:T,Stats!A:A,K65)*SQRT(I65))</f>
        <v>20.067441860465117</v>
      </c>
      <c r="N65" s="3">
        <f t="shared" si="3"/>
        <v>4.0307101727447218E-2</v>
      </c>
      <c r="O65" s="28">
        <f t="shared" si="4"/>
        <v>16</v>
      </c>
      <c r="P65" s="1">
        <f t="shared" si="5"/>
        <v>6</v>
      </c>
    </row>
    <row r="66" spans="2:134" x14ac:dyDescent="0.25">
      <c r="B66" t="s">
        <v>129</v>
      </c>
      <c r="C66" s="1">
        <v>1009000</v>
      </c>
      <c r="D66" s="19">
        <v>20</v>
      </c>
      <c r="E66" s="13">
        <f t="shared" si="0"/>
        <v>16.143999999999998</v>
      </c>
      <c r="F66" s="2">
        <f t="shared" si="1"/>
        <v>4.0360000000000005</v>
      </c>
      <c r="G66" s="37">
        <v>0</v>
      </c>
      <c r="H66" s="8" t="s">
        <v>44</v>
      </c>
      <c r="I66" s="146">
        <f t="shared" si="2"/>
        <v>1</v>
      </c>
      <c r="J66" s="11">
        <f>C66*(I66)*(1-G66)*(INDEX(Stats!Q:Q,MATCH(K66,Stats!A:A,0)))</f>
        <v>57487.186808114217</v>
      </c>
      <c r="K66" s="8" t="s">
        <v>58</v>
      </c>
      <c r="L66" s="1">
        <f>C66*(1+SUMIFS(Stats!S:S,Stats!A:A,K66)*(125-D66)/100*IF(H66="S",0.5,1))</f>
        <v>1049605.8819364533</v>
      </c>
      <c r="M66" s="25">
        <f>D66*(1+SUMIFS(Stats!T:T,Stats!A:A,K66)*SQRT(I66))</f>
        <v>20.082997370727433</v>
      </c>
      <c r="N66" s="3">
        <f t="shared" si="3"/>
        <v>3.8686789618154693E-2</v>
      </c>
      <c r="O66" s="28">
        <f t="shared" si="4"/>
        <v>16</v>
      </c>
      <c r="P66" s="1">
        <f t="shared" si="5"/>
        <v>4</v>
      </c>
    </row>
    <row r="67" spans="2:134" x14ac:dyDescent="0.25">
      <c r="B67" t="s">
        <v>130</v>
      </c>
      <c r="C67" s="1">
        <v>680000</v>
      </c>
      <c r="D67" s="19">
        <v>20</v>
      </c>
      <c r="E67" s="13">
        <f t="shared" si="0"/>
        <v>10.88</v>
      </c>
      <c r="F67" s="2">
        <f t="shared" si="1"/>
        <v>2.72</v>
      </c>
      <c r="G67" s="37">
        <v>0</v>
      </c>
      <c r="H67" s="8" t="s">
        <v>44</v>
      </c>
      <c r="I67" s="146">
        <f t="shared" ref="I67:I130" si="18">IF(H67="P",1,IF(H67="A",0.75,IF(H67="C",0.25,IF(H67="S",0.1,0))))</f>
        <v>1</v>
      </c>
      <c r="J67" s="11">
        <f>C67*(I67)*(1-G67)*(INDEX(Stats!Q:Q,MATCH(K67,Stats!A:A,0)))</f>
        <v>66252.608936622957</v>
      </c>
      <c r="K67" s="8" t="s">
        <v>155</v>
      </c>
      <c r="L67" s="1">
        <f>C67*(1+SUMIFS(Stats!S:S,Stats!A:A,K67)*(125-D67)/100*IF(H67="S",0.5,1))</f>
        <v>708560</v>
      </c>
      <c r="M67" s="25">
        <f>D67*(1+SUMIFS(Stats!T:T,Stats!A:A,K67)*SQRT(I67))</f>
        <v>20.067441860465117</v>
      </c>
      <c r="N67" s="3">
        <f t="shared" ref="N67:N130" si="19">(L67-C67)/L67</f>
        <v>4.0307101727447218E-2</v>
      </c>
      <c r="O67" s="28">
        <f t="shared" ref="O67:O130" si="20">E67/C67*1000000/I67</f>
        <v>16.000000000000004</v>
      </c>
      <c r="P67" s="1">
        <f t="shared" ref="P67:P130" si="21">ROUND(J67/E67*I67/1000,0.1)</f>
        <v>6</v>
      </c>
    </row>
    <row r="68" spans="2:134" x14ac:dyDescent="0.25">
      <c r="B68" t="s">
        <v>131</v>
      </c>
      <c r="C68" s="1">
        <v>515000</v>
      </c>
      <c r="D68" s="19">
        <v>20</v>
      </c>
      <c r="E68" s="13">
        <f t="shared" si="0"/>
        <v>8.24</v>
      </c>
      <c r="F68" s="2">
        <f t="shared" si="1"/>
        <v>2.0600000000000005</v>
      </c>
      <c r="G68" s="37">
        <v>0</v>
      </c>
      <c r="H68" s="8" t="s">
        <v>44</v>
      </c>
      <c r="I68" s="146">
        <f t="shared" si="18"/>
        <v>1</v>
      </c>
      <c r="J68" s="11">
        <f>C68*(I68)*(1-G68)*(INDEX(Stats!Q:Q,MATCH(K68,Stats!A:A,0)))</f>
        <v>44653.071010964384</v>
      </c>
      <c r="K68" s="8" t="s">
        <v>166</v>
      </c>
      <c r="L68" s="1">
        <f>C68*(1+SUMIFS(Stats!S:S,Stats!A:A,K68)*(125-D68)/100*IF(H68="S",0.5,1))</f>
        <v>525815</v>
      </c>
      <c r="M68" s="25">
        <f>D68*(1+SUMIFS(Stats!T:T,Stats!A:A,K68)*SQRT(I68))</f>
        <v>20.06666666666667</v>
      </c>
      <c r="N68" s="3">
        <f t="shared" si="19"/>
        <v>2.0568070519098921E-2</v>
      </c>
      <c r="O68" s="28">
        <f t="shared" si="20"/>
        <v>16</v>
      </c>
      <c r="P68" s="1">
        <f t="shared" si="21"/>
        <v>5</v>
      </c>
    </row>
    <row r="69" spans="2:134" x14ac:dyDescent="0.25">
      <c r="B69" t="s">
        <v>132</v>
      </c>
      <c r="C69" s="1">
        <v>880000</v>
      </c>
      <c r="D69" s="19">
        <v>20</v>
      </c>
      <c r="E69" s="13">
        <f t="shared" si="0"/>
        <v>14.080000000000002</v>
      </c>
      <c r="F69" s="2">
        <f t="shared" si="1"/>
        <v>3.5200000000000009</v>
      </c>
      <c r="G69" s="37">
        <v>0</v>
      </c>
      <c r="H69" s="8" t="s">
        <v>44</v>
      </c>
      <c r="I69" s="146">
        <f t="shared" si="18"/>
        <v>1</v>
      </c>
      <c r="J69" s="11">
        <f>C69*(I69)*(1-G69)*(INDEX(Stats!Q:Q,MATCH(K69,Stats!A:A,0)))</f>
        <v>51950.499516366537</v>
      </c>
      <c r="K69" s="8" t="s">
        <v>164</v>
      </c>
      <c r="L69" s="1">
        <f>C69*(1+SUMIFS(Stats!S:S,Stats!A:A,K69)*(125-D69)/100*IF(H69="S",0.5,1))</f>
        <v>910030</v>
      </c>
      <c r="M69" s="25">
        <f>D69*(1+SUMIFS(Stats!T:T,Stats!A:A,K69)*SQRT(I69))</f>
        <v>20.071532846715328</v>
      </c>
      <c r="N69" s="3">
        <f t="shared" si="19"/>
        <v>3.299891212377614E-2</v>
      </c>
      <c r="O69" s="28">
        <f t="shared" si="20"/>
        <v>16.000000000000004</v>
      </c>
      <c r="P69" s="1">
        <f t="shared" si="21"/>
        <v>4</v>
      </c>
    </row>
    <row r="70" spans="2:134" x14ac:dyDescent="0.25">
      <c r="B70" t="s">
        <v>133</v>
      </c>
      <c r="C70" s="1">
        <v>1552000</v>
      </c>
      <c r="D70" s="19">
        <v>20</v>
      </c>
      <c r="E70" s="13">
        <f t="shared" si="0"/>
        <v>24.832000000000001</v>
      </c>
      <c r="F70" s="2">
        <f t="shared" si="1"/>
        <v>6.2080000000000011</v>
      </c>
      <c r="G70" s="37">
        <v>0</v>
      </c>
      <c r="H70" s="8" t="s">
        <v>44</v>
      </c>
      <c r="I70" s="146">
        <f t="shared" si="18"/>
        <v>1</v>
      </c>
      <c r="J70" s="11">
        <f>C70*(I70)*(1-G70)*(INDEX(Stats!Q:Q,MATCH(K70,Stats!A:A,0)))</f>
        <v>88424.295268774295</v>
      </c>
      <c r="K70" s="8" t="s">
        <v>58</v>
      </c>
      <c r="L70" s="1">
        <f>C70*(1+SUMIFS(Stats!S:S,Stats!A:A,K70)*(125-D70)/100*IF(H70="S",0.5,1))</f>
        <v>1614458.2049210859</v>
      </c>
      <c r="M70" s="25">
        <f>D70*(1+SUMIFS(Stats!T:T,Stats!A:A,K70)*SQRT(I70))</f>
        <v>20.082997370727433</v>
      </c>
      <c r="N70" s="3">
        <f t="shared" si="19"/>
        <v>3.868678961815477E-2</v>
      </c>
      <c r="O70" s="28">
        <f t="shared" si="20"/>
        <v>16</v>
      </c>
      <c r="P70" s="1">
        <f t="shared" si="21"/>
        <v>4</v>
      </c>
    </row>
    <row r="71" spans="2:134" x14ac:dyDescent="0.25">
      <c r="B71" t="s">
        <v>134</v>
      </c>
      <c r="C71" s="1">
        <v>405000</v>
      </c>
      <c r="D71" s="19">
        <v>20</v>
      </c>
      <c r="E71" s="13">
        <f t="shared" si="0"/>
        <v>6.4800000000000013</v>
      </c>
      <c r="F71" s="2">
        <f t="shared" si="1"/>
        <v>1.6200000000000003</v>
      </c>
      <c r="G71" s="37">
        <v>0</v>
      </c>
      <c r="H71" s="8" t="s">
        <v>44</v>
      </c>
      <c r="I71" s="146">
        <f t="shared" si="18"/>
        <v>1</v>
      </c>
      <c r="J71" s="11">
        <f>C71*(I71)*(1-G71)*(INDEX(Stats!Q:Q,MATCH(K71,Stats!A:A,0)))</f>
        <v>35200.849927997602</v>
      </c>
      <c r="K71" s="8" t="s">
        <v>68</v>
      </c>
      <c r="L71" s="1">
        <f>C71*(1+SUMIFS(Stats!S:S,Stats!A:A,K71)*(125-D71)/100*IF(H71="S",0.5,1))</f>
        <v>415631.25000000006</v>
      </c>
      <c r="M71" s="25">
        <f>D71*(1+SUMIFS(Stats!T:T,Stats!A:A,K71)*SQRT(I71))</f>
        <v>20.074999999999999</v>
      </c>
      <c r="N71" s="3">
        <f t="shared" si="19"/>
        <v>2.5578562728380161E-2</v>
      </c>
      <c r="O71" s="28">
        <f t="shared" si="20"/>
        <v>16.000000000000004</v>
      </c>
      <c r="P71" s="1">
        <f t="shared" si="21"/>
        <v>5</v>
      </c>
    </row>
    <row r="72" spans="2:134" x14ac:dyDescent="0.25">
      <c r="B72" t="s">
        <v>135</v>
      </c>
      <c r="C72" s="1">
        <v>14928000</v>
      </c>
      <c r="D72" s="19">
        <v>24</v>
      </c>
      <c r="E72" s="13">
        <f t="shared" si="0"/>
        <v>278.25792000000001</v>
      </c>
      <c r="F72" s="2">
        <f t="shared" si="1"/>
        <v>85.985280000000003</v>
      </c>
      <c r="G72" s="37">
        <v>0</v>
      </c>
      <c r="H72" s="8" t="s">
        <v>44</v>
      </c>
      <c r="I72" s="146">
        <f t="shared" si="18"/>
        <v>1</v>
      </c>
      <c r="J72" s="11">
        <f>C72*(I72)*(1-G72)*(INDEX(Stats!Q:Q,MATCH(K72,Stats!A:A,0)))</f>
        <v>2066624.1979263055</v>
      </c>
      <c r="K72" s="8" t="s">
        <v>59</v>
      </c>
      <c r="L72" s="1">
        <f>C72*(1+SUMIFS(Stats!S:S,Stats!A:A,K72)*(125-D72)/100*IF(H72="S",0.5,1))</f>
        <v>15342625.200000001</v>
      </c>
      <c r="M72" s="25">
        <f>D72*(1+SUMIFS(Stats!T:T,Stats!A:A,K72)*SQRT(I72))</f>
        <v>24.074328358208952</v>
      </c>
      <c r="N72" s="3">
        <f t="shared" si="19"/>
        <v>2.7024397363236186E-2</v>
      </c>
      <c r="O72" s="28">
        <f t="shared" si="20"/>
        <v>18.64</v>
      </c>
      <c r="P72" s="1">
        <f t="shared" si="21"/>
        <v>7</v>
      </c>
    </row>
    <row r="73" spans="2:134" x14ac:dyDescent="0.25">
      <c r="B73" t="s">
        <v>187</v>
      </c>
      <c r="C73" s="1">
        <f>16357000/(2.71^(0.015*20))</f>
        <v>12128661.247608762</v>
      </c>
      <c r="D73" s="19">
        <v>13</v>
      </c>
      <c r="E73" s="13">
        <f t="shared" si="0"/>
        <v>152.03276873877584</v>
      </c>
      <c r="F73" s="2">
        <f t="shared" si="1"/>
        <v>20.497437508458809</v>
      </c>
      <c r="G73" s="37">
        <v>0</v>
      </c>
      <c r="H73" s="8" t="s">
        <v>44</v>
      </c>
      <c r="I73" s="146">
        <f t="shared" si="18"/>
        <v>1</v>
      </c>
      <c r="J73" s="11">
        <f>C73*(I73)*(1-G73)*(INDEX(Stats!Q:Q,MATCH(K73,Stats!A:A,0)))</f>
        <v>777198.50090161222</v>
      </c>
      <c r="K73" s="8" t="s">
        <v>29</v>
      </c>
      <c r="L73" s="1">
        <f>C73*(1+SUMIFS(Stats!S:S,Stats!A:A,K73)*(125-D73)/100*IF(H73="S",0.5,1))</f>
        <v>12604104.768515024</v>
      </c>
      <c r="M73" s="25">
        <f>D73*(1+SUMIFS(Stats!T:T,Stats!A:A,K73)*SQRT(I73))</f>
        <v>13.046307189542484</v>
      </c>
      <c r="N73" s="3">
        <f t="shared" si="19"/>
        <v>3.7721324095457941E-2</v>
      </c>
      <c r="O73" s="28">
        <f t="shared" si="20"/>
        <v>12.535000000000002</v>
      </c>
      <c r="P73" s="1">
        <f t="shared" si="21"/>
        <v>5</v>
      </c>
    </row>
    <row r="74" spans="2:134" x14ac:dyDescent="0.25">
      <c r="B74" t="s">
        <v>188</v>
      </c>
      <c r="C74" s="1">
        <f>5163000/(2.71^(0.015*20))</f>
        <v>3828347.3755214303</v>
      </c>
      <c r="D74" s="19">
        <v>12</v>
      </c>
      <c r="E74" s="13">
        <f t="shared" si="0"/>
        <v>34.914528064755437</v>
      </c>
      <c r="F74" s="2">
        <f t="shared" si="1"/>
        <v>5.512820220750859</v>
      </c>
      <c r="G74" s="37">
        <v>0</v>
      </c>
      <c r="H74" s="8" t="s">
        <v>214</v>
      </c>
      <c r="I74" s="146">
        <f t="shared" si="18"/>
        <v>0.75</v>
      </c>
      <c r="J74" s="11">
        <f>C74*(I74)*(1-G74)*(INDEX(Stats!Q:Q,MATCH(K74,Stats!A:A,0)))</f>
        <v>397495.7457958326</v>
      </c>
      <c r="K74" s="8" t="s">
        <v>59</v>
      </c>
      <c r="L74" s="1">
        <f>C74*(1+SUMIFS(Stats!S:S,Stats!A:A,K74)*(125-D74)/100*IF(H74="S",0.5,1))</f>
        <v>3947313.2702157586</v>
      </c>
      <c r="M74" s="25">
        <f>D74*(1+SUMIFS(Stats!T:T,Stats!A:A,K74)*SQRT(I74))</f>
        <v>12.032185123215275</v>
      </c>
      <c r="N74" s="3">
        <f t="shared" si="19"/>
        <v>3.0138447736585569E-2</v>
      </c>
      <c r="O74" s="28">
        <f t="shared" si="20"/>
        <v>12.159999999999997</v>
      </c>
      <c r="P74" s="1">
        <f t="shared" si="21"/>
        <v>9</v>
      </c>
    </row>
    <row r="75" spans="2:134" x14ac:dyDescent="0.25">
      <c r="B75" s="38" t="s">
        <v>189</v>
      </c>
      <c r="C75" s="39">
        <f>1286000/(2.71^(0.015*20))</f>
        <v>953564.73463501059</v>
      </c>
      <c r="D75" s="19">
        <v>12</v>
      </c>
      <c r="E75" s="13">
        <f t="shared" si="0"/>
        <v>8.6965103798712953</v>
      </c>
      <c r="F75" s="2">
        <f t="shared" si="1"/>
        <v>1.3731332178744151</v>
      </c>
      <c r="G75" s="37">
        <v>0</v>
      </c>
      <c r="H75" s="8" t="s">
        <v>214</v>
      </c>
      <c r="I75" s="146">
        <f t="shared" si="18"/>
        <v>0.75</v>
      </c>
      <c r="J75" s="11">
        <f>C75*(I75)*(1-G75)*(INDEX(Stats!Q:Q,MATCH(K75,Stats!A:A,0)))</f>
        <v>99008.237283254086</v>
      </c>
      <c r="K75" s="8" t="s">
        <v>59</v>
      </c>
      <c r="L75" s="1">
        <f>C75*(1+SUMIFS(Stats!S:S,Stats!A:A,K75)*(125-D75)/100*IF(H75="S",0.5,1))</f>
        <v>983196.75876379351</v>
      </c>
      <c r="M75" s="25">
        <f>D75*(1+SUMIFS(Stats!T:T,Stats!A:A,K75)*SQRT(I75))</f>
        <v>12.032185123215275</v>
      </c>
      <c r="N75" s="3">
        <f t="shared" si="19"/>
        <v>3.0138447736585562E-2</v>
      </c>
      <c r="O75" s="28">
        <f t="shared" si="20"/>
        <v>12.159999999999998</v>
      </c>
      <c r="P75" s="1">
        <f t="shared" si="21"/>
        <v>9</v>
      </c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>
        <v>1286.1310000000001</v>
      </c>
    </row>
    <row r="76" spans="2:134" x14ac:dyDescent="0.25">
      <c r="B76" s="38" t="s">
        <v>190</v>
      </c>
      <c r="C76" s="39">
        <f>561254/(2.71^(0.015*20))</f>
        <v>416167.97945010749</v>
      </c>
      <c r="D76" s="19">
        <v>12</v>
      </c>
      <c r="E76" s="13">
        <f t="shared" ref="E76:E142" si="22">(C76/1000000+F76*0.15)*I76*(1-G76)*10</f>
        <v>3.79545197258498</v>
      </c>
      <c r="F76" s="2">
        <f t="shared" ref="F76:F142" si="23">(C76*(D76/100)^2/100000)*(1-G76)*10</f>
        <v>0.59928189040815472</v>
      </c>
      <c r="G76" s="37">
        <v>0</v>
      </c>
      <c r="H76" s="8" t="s">
        <v>214</v>
      </c>
      <c r="I76" s="146">
        <f t="shared" si="18"/>
        <v>0.75</v>
      </c>
      <c r="J76" s="11">
        <f>C76*(I76)*(1-G76)*(INDEX(Stats!Q:Q,MATCH(K76,Stats!A:A,0)))</f>
        <v>43210.551483806747</v>
      </c>
      <c r="K76" s="8" t="s">
        <v>59</v>
      </c>
      <c r="L76" s="1">
        <f>C76*(1+SUMIFS(Stats!S:S,Stats!A:A,K76)*(125-D76)/100*IF(H76="S",0.5,1))</f>
        <v>429100.39941151958</v>
      </c>
      <c r="M76" s="25">
        <f>D76*(1+SUMIFS(Stats!T:T,Stats!A:A,K76)*SQRT(I76))</f>
        <v>12.032185123215275</v>
      </c>
      <c r="N76" s="3">
        <f t="shared" si="19"/>
        <v>3.0138447736585597E-2</v>
      </c>
      <c r="O76" s="28">
        <f t="shared" si="20"/>
        <v>12.159999999999998</v>
      </c>
      <c r="P76" s="1">
        <f t="shared" si="21"/>
        <v>9</v>
      </c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>
        <v>266</v>
      </c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>
        <v>348</v>
      </c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>
        <v>561.25400000000002</v>
      </c>
    </row>
    <row r="77" spans="2:134" x14ac:dyDescent="0.25">
      <c r="B77" s="38" t="s">
        <v>191</v>
      </c>
      <c r="C77" s="39">
        <f>144775/(2.71^(0.015*20))</f>
        <v>107350.18231476178</v>
      </c>
      <c r="D77" s="19">
        <v>12</v>
      </c>
      <c r="E77" s="13">
        <f t="shared" si="22"/>
        <v>0.97903366271062753</v>
      </c>
      <c r="F77" s="2">
        <f t="shared" si="23"/>
        <v>0.15458426253325697</v>
      </c>
      <c r="G77" s="37">
        <v>0</v>
      </c>
      <c r="H77" s="8" t="s">
        <v>214</v>
      </c>
      <c r="I77" s="146">
        <f t="shared" si="18"/>
        <v>0.75</v>
      </c>
      <c r="J77" s="11">
        <f>C77*(I77)*(1-G77)*(INDEX(Stats!Q:Q,MATCH(K77,Stats!A:A,0)))</f>
        <v>11146.12562417038</v>
      </c>
      <c r="K77" s="8" t="s">
        <v>59</v>
      </c>
      <c r="L77" s="1">
        <f>C77*(1+SUMIFS(Stats!S:S,Stats!A:A,K77)*(125-D77)/100*IF(H77="S",0.5,1))</f>
        <v>110686.089230193</v>
      </c>
      <c r="M77" s="25">
        <f>D77*(1+SUMIFS(Stats!T:T,Stats!A:A,K77)*SQRT(I77))</f>
        <v>12.032185123215275</v>
      </c>
      <c r="N77" s="3">
        <f t="shared" si="19"/>
        <v>3.0138447736585552E-2</v>
      </c>
      <c r="O77" s="28">
        <f t="shared" si="20"/>
        <v>12.160000000000002</v>
      </c>
      <c r="P77" s="1">
        <f t="shared" si="21"/>
        <v>9</v>
      </c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>
        <v>144.774</v>
      </c>
    </row>
    <row r="78" spans="2:134" x14ac:dyDescent="0.25">
      <c r="B78" s="38" t="s">
        <v>192</v>
      </c>
      <c r="C78" s="39">
        <f>1364034/(2.71^(0.015*20))</f>
        <v>1011426.6868142551</v>
      </c>
      <c r="D78" s="19">
        <v>12</v>
      </c>
      <c r="E78" s="13">
        <f t="shared" si="22"/>
        <v>9.2242113837460078</v>
      </c>
      <c r="F78" s="2">
        <f t="shared" si="23"/>
        <v>1.4564544290125272</v>
      </c>
      <c r="G78" s="37">
        <v>0</v>
      </c>
      <c r="H78" s="8" t="s">
        <v>214</v>
      </c>
      <c r="I78" s="146">
        <f t="shared" si="18"/>
        <v>0.75</v>
      </c>
      <c r="J78" s="11">
        <f>C78*(I78)*(1-G78)*(INDEX(Stats!Q:Q,MATCH(K78,Stats!A:A,0)))</f>
        <v>105016.02016673888</v>
      </c>
      <c r="K78" s="8" t="s">
        <v>59</v>
      </c>
      <c r="L78" s="1">
        <f>C78*(1+SUMIFS(Stats!S:S,Stats!A:A,K78)*(125-D78)/100*IF(H78="S",0.5,1))</f>
        <v>1042856.771107008</v>
      </c>
      <c r="M78" s="25">
        <f>D78*(1+SUMIFS(Stats!T:T,Stats!A:A,K78)*SQRT(I78))</f>
        <v>12.032185123215275</v>
      </c>
      <c r="N78" s="3">
        <f t="shared" si="19"/>
        <v>3.0138447736585531E-2</v>
      </c>
      <c r="O78" s="28">
        <f t="shared" si="20"/>
        <v>12.160000000000002</v>
      </c>
      <c r="P78" s="1">
        <f t="shared" si="21"/>
        <v>9</v>
      </c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>
        <v>476</v>
      </c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>
        <v>649</v>
      </c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>
        <v>1364.03</v>
      </c>
    </row>
    <row r="79" spans="2:134" x14ac:dyDescent="0.25">
      <c r="B79" s="38" t="s">
        <v>193</v>
      </c>
      <c r="C79" s="39">
        <f>488588/(2.71^(0.015*20))</f>
        <v>362286.38146644674</v>
      </c>
      <c r="D79" s="19">
        <v>12</v>
      </c>
      <c r="E79" s="13">
        <f t="shared" si="22"/>
        <v>4.4054023986319919</v>
      </c>
      <c r="F79" s="2">
        <f t="shared" si="23"/>
        <v>0.52169238931168327</v>
      </c>
      <c r="G79" s="37">
        <v>0</v>
      </c>
      <c r="H79" s="8" t="s">
        <v>44</v>
      </c>
      <c r="I79" s="146">
        <f t="shared" si="18"/>
        <v>1</v>
      </c>
      <c r="J79" s="11">
        <f>C79*(I79)*(1-G79)*(INDEX(Stats!Q:Q,MATCH(K79,Stats!A:A,0)))</f>
        <v>23979.666648816765</v>
      </c>
      <c r="K79" s="8" t="s">
        <v>200</v>
      </c>
      <c r="L79" s="1">
        <f>C79*(1+SUMIFS(Stats!S:S,Stats!A:A,K79)*(125-D79)/100*IF(H79="S",0.5,1))</f>
        <v>378661.72590873012</v>
      </c>
      <c r="M79" s="25">
        <f>D79*(1+SUMIFS(Stats!T:T,Stats!A:A,K79)*SQRT(I79))</f>
        <v>12.035999999999998</v>
      </c>
      <c r="N79" s="3">
        <f t="shared" si="19"/>
        <v>4.3245311902028301E-2</v>
      </c>
      <c r="O79" s="28">
        <f t="shared" si="20"/>
        <v>12.159999999999998</v>
      </c>
      <c r="P79" s="1">
        <f t="shared" si="21"/>
        <v>5</v>
      </c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>
        <v>367</v>
      </c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>
        <v>444</v>
      </c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>
        <v>488.58800000000002</v>
      </c>
    </row>
    <row r="80" spans="2:134" x14ac:dyDescent="0.25">
      <c r="B80" s="38" t="s">
        <v>194</v>
      </c>
      <c r="C80" s="39">
        <f>25101/(2.71^(0.015*20))</f>
        <v>18612.308245780248</v>
      </c>
      <c r="D80" s="19">
        <v>12</v>
      </c>
      <c r="E80" s="13">
        <f t="shared" si="22"/>
        <v>0.22632566826868783</v>
      </c>
      <c r="F80" s="2">
        <f t="shared" si="23"/>
        <v>2.6801723873923555E-2</v>
      </c>
      <c r="G80" s="37">
        <v>0</v>
      </c>
      <c r="H80" s="8" t="s">
        <v>44</v>
      </c>
      <c r="I80" s="146">
        <f t="shared" si="18"/>
        <v>1</v>
      </c>
      <c r="J80" s="11">
        <f>C80*(I80)*(1-G80)*(INDEX(Stats!Q:Q,MATCH(K80,Stats!A:A,0)))</f>
        <v>1231.945141002132</v>
      </c>
      <c r="K80" s="8" t="s">
        <v>282</v>
      </c>
      <c r="L80" s="1">
        <f>C80*(1+SUMIFS(Stats!S:S,Stats!A:A,K80)*(125-D80)/100*IF(H80="S",0.5,1))</f>
        <v>19453.584578489514</v>
      </c>
      <c r="M80" s="25">
        <f>D80*(1+SUMIFS(Stats!T:T,Stats!A:A,K80)*SQRT(I80))</f>
        <v>12</v>
      </c>
      <c r="N80" s="3">
        <f t="shared" si="19"/>
        <v>4.3245311902028225E-2</v>
      </c>
      <c r="O80" s="28">
        <f t="shared" si="20"/>
        <v>12.16</v>
      </c>
      <c r="P80" s="1">
        <f t="shared" si="21"/>
        <v>5</v>
      </c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>
        <v>25.100999999999999</v>
      </c>
    </row>
    <row r="81" spans="2:134" x14ac:dyDescent="0.25">
      <c r="B81" s="38" t="s">
        <v>195</v>
      </c>
      <c r="C81" s="39">
        <f>3859801/(2.71^(0.015*20))</f>
        <v>2862029.6394315306</v>
      </c>
      <c r="D81" s="19">
        <v>12</v>
      </c>
      <c r="E81" s="13">
        <f t="shared" si="22"/>
        <v>26.101710311615559</v>
      </c>
      <c r="F81" s="2">
        <f t="shared" si="23"/>
        <v>4.1213226807814038</v>
      </c>
      <c r="G81" s="37">
        <v>0</v>
      </c>
      <c r="H81" s="8" t="s">
        <v>214</v>
      </c>
      <c r="I81" s="146">
        <f t="shared" si="18"/>
        <v>0.75</v>
      </c>
      <c r="J81" s="11">
        <f>C81*(I81)*(1-G81)*(INDEX(Stats!Q:Q,MATCH(K81,Stats!A:A,0)))</f>
        <v>297163.36957553757</v>
      </c>
      <c r="K81" s="8" t="s">
        <v>59</v>
      </c>
      <c r="L81" s="1">
        <f>C81*(1+SUMIFS(Stats!S:S,Stats!A:A,K81)*(125-D81)/100*IF(H81="S",0.5,1))</f>
        <v>2950967.2104768655</v>
      </c>
      <c r="M81" s="25">
        <f>D81*(1+SUMIFS(Stats!T:T,Stats!A:A,K81)*SQRT(I81))</f>
        <v>12.032185123215275</v>
      </c>
      <c r="N81" s="3">
        <f t="shared" si="19"/>
        <v>3.0138447736585635E-2</v>
      </c>
      <c r="O81" s="28">
        <f t="shared" si="20"/>
        <v>12.159999999999998</v>
      </c>
      <c r="P81" s="1">
        <f t="shared" si="21"/>
        <v>9</v>
      </c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>
        <v>2338</v>
      </c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>
        <v>2676</v>
      </c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>
        <v>3859.8009999999999</v>
      </c>
    </row>
    <row r="82" spans="2:134" x14ac:dyDescent="0.25">
      <c r="B82" s="38" t="s">
        <v>196</v>
      </c>
      <c r="C82" s="39">
        <f>3495000/(2.71^(0.015*20))</f>
        <v>2591530.9078921941</v>
      </c>
      <c r="D82" s="19">
        <v>12</v>
      </c>
      <c r="E82" s="13">
        <f t="shared" si="22"/>
        <v>23.634761879976807</v>
      </c>
      <c r="F82" s="2">
        <f t="shared" si="23"/>
        <v>3.7318045073647599</v>
      </c>
      <c r="G82" s="37">
        <v>0</v>
      </c>
      <c r="H82" s="8" t="s">
        <v>214</v>
      </c>
      <c r="I82" s="146">
        <f t="shared" si="18"/>
        <v>0.75</v>
      </c>
      <c r="J82" s="11">
        <f>C82*(I82)*(1-G82)*(INDEX(Stats!Q:Q,MATCH(K82,Stats!A:A,0)))</f>
        <v>269077.59666016558</v>
      </c>
      <c r="K82" s="8" t="s">
        <v>59</v>
      </c>
      <c r="L82" s="1">
        <f>C82*(1+SUMIFS(Stats!S:S,Stats!A:A,K82)*(125-D82)/100*IF(H82="S",0.5,1))</f>
        <v>2672062.7308549439</v>
      </c>
      <c r="M82" s="25">
        <f>D82*(1+SUMIFS(Stats!T:T,Stats!A:A,K82)*SQRT(I82))</f>
        <v>12.032185123215275</v>
      </c>
      <c r="N82" s="3">
        <f t="shared" si="19"/>
        <v>3.0138447736585538E-2</v>
      </c>
      <c r="O82" s="28">
        <f t="shared" si="20"/>
        <v>12.159999999999998</v>
      </c>
      <c r="P82" s="1">
        <f t="shared" si="21"/>
        <v>9</v>
      </c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>
        <v>1582</v>
      </c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>
        <v>1994</v>
      </c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>
        <v>3495</v>
      </c>
    </row>
    <row r="83" spans="2:134" x14ac:dyDescent="0.25">
      <c r="B83" s="38" t="s">
        <v>197</v>
      </c>
      <c r="C83" s="39">
        <f>71520/(2.71^(0.015*20))</f>
        <v>53031.84278467804</v>
      </c>
      <c r="D83" s="19">
        <v>12</v>
      </c>
      <c r="E83" s="13">
        <f t="shared" si="22"/>
        <v>0.64486720826168487</v>
      </c>
      <c r="F83" s="2">
        <f t="shared" si="23"/>
        <v>7.6365853609936377E-2</v>
      </c>
      <c r="G83" s="37">
        <v>0</v>
      </c>
      <c r="H83" s="8" t="s">
        <v>44</v>
      </c>
      <c r="I83" s="146">
        <f t="shared" si="18"/>
        <v>1</v>
      </c>
      <c r="J83" s="11">
        <f>C83*(I83)*(1-G83)*(INDEX(Stats!Q:Q,MATCH(K83,Stats!A:A,0)))</f>
        <v>3510.167582346221</v>
      </c>
      <c r="K83" s="8" t="s">
        <v>282</v>
      </c>
      <c r="L83" s="1">
        <f>C83*(1+SUMIFS(Stats!S:S,Stats!A:A,K83)*(125-D83)/100*IF(H83="S",0.5,1))</f>
        <v>55428.882078545481</v>
      </c>
      <c r="M83" s="25">
        <f>D83*(1+SUMIFS(Stats!T:T,Stats!A:A,K83)*SQRT(I83))</f>
        <v>12</v>
      </c>
      <c r="N83" s="3">
        <f t="shared" si="19"/>
        <v>4.3245311902028218E-2</v>
      </c>
      <c r="O83" s="28">
        <f t="shared" si="20"/>
        <v>12.159999999999998</v>
      </c>
      <c r="P83" s="1">
        <f t="shared" si="21"/>
        <v>5</v>
      </c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40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>
        <v>71.52</v>
      </c>
    </row>
    <row r="84" spans="2:134" x14ac:dyDescent="0.25">
      <c r="B84" s="38" t="s">
        <v>198</v>
      </c>
      <c r="C84" s="39">
        <f>4777089/(2.71^(0.015*20))</f>
        <v>3542195.6489990884</v>
      </c>
      <c r="D84" s="19">
        <v>12</v>
      </c>
      <c r="E84" s="13">
        <f t="shared" si="22"/>
        <v>43.073099091828915</v>
      </c>
      <c r="F84" s="2">
        <f t="shared" si="23"/>
        <v>5.100761734558688</v>
      </c>
      <c r="G84" s="37">
        <v>0</v>
      </c>
      <c r="H84" s="8" t="s">
        <v>44</v>
      </c>
      <c r="I84" s="146">
        <f t="shared" si="18"/>
        <v>1</v>
      </c>
      <c r="J84" s="11">
        <f>C84*(I84)*(1-G84)*(INDEX(Stats!Q:Q,MATCH(K84,Stats!A:A,0)))</f>
        <v>234457.25595333788</v>
      </c>
      <c r="K84" s="8" t="s">
        <v>201</v>
      </c>
      <c r="L84" s="1">
        <f>C84*(1+SUMIFS(Stats!S:S,Stats!A:A,K84)*(125-D84)/100*IF(H84="S",0.5,1))</f>
        <v>3702302.892333847</v>
      </c>
      <c r="M84" s="25">
        <f>D84*(1+SUMIFS(Stats!T:T,Stats!A:A,K84)*SQRT(I84))</f>
        <v>12.040909090909091</v>
      </c>
      <c r="N84" s="3">
        <f t="shared" si="19"/>
        <v>4.3245311902028259E-2</v>
      </c>
      <c r="O84" s="28">
        <f t="shared" si="20"/>
        <v>12.16</v>
      </c>
      <c r="P84" s="1">
        <f t="shared" si="21"/>
        <v>5</v>
      </c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>
        <v>2840</v>
      </c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>
        <v>3284</v>
      </c>
      <c r="CT84" s="39"/>
      <c r="CU84" s="39"/>
      <c r="CV84" s="39"/>
      <c r="CW84" s="39"/>
      <c r="CX84" s="39"/>
      <c r="CY84" s="39"/>
      <c r="CZ84" s="39"/>
      <c r="DA84" s="39"/>
      <c r="DB84" s="39"/>
      <c r="DC84" s="40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>
        <v>4777.0889999999999</v>
      </c>
    </row>
    <row r="85" spans="2:134" x14ac:dyDescent="0.25">
      <c r="B85" s="38" t="s">
        <v>213</v>
      </c>
      <c r="C85" s="39">
        <f>13596000/(2.71^(0.015*20))</f>
        <v>10081388.90520809</v>
      </c>
      <c r="D85" s="19">
        <v>12</v>
      </c>
      <c r="E85" s="13">
        <f t="shared" si="22"/>
        <v>122.58968908733038</v>
      </c>
      <c r="F85" s="2">
        <f t="shared" si="23"/>
        <v>14.517200023499651</v>
      </c>
      <c r="G85" s="37">
        <v>0</v>
      </c>
      <c r="H85" s="8" t="s">
        <v>44</v>
      </c>
      <c r="I85" s="146">
        <f t="shared" si="18"/>
        <v>1</v>
      </c>
      <c r="J85" s="11">
        <f>C85*(I85)*(1-G85)*(INDEX(Stats!Q:Q,MATCH(K85,Stats!A:A,0)))</f>
        <v>956491.46946668241</v>
      </c>
      <c r="K85" s="8" t="s">
        <v>180</v>
      </c>
      <c r="L85" s="1">
        <f>C85*(1+SUMIFS(Stats!S:S,Stats!A:A,K85)*(125-D85)/100*IF(H85="S",0.5,1))</f>
        <v>10366188.14178022</v>
      </c>
      <c r="M85" s="25">
        <f>D85*(1+SUMIFS(Stats!T:T,Stats!A:A,K85)*SQRT(I85))</f>
        <v>12.042926829268293</v>
      </c>
      <c r="N85" s="3">
        <f t="shared" si="19"/>
        <v>2.7473863360077906E-2</v>
      </c>
      <c r="O85" s="28">
        <f t="shared" si="20"/>
        <v>12.16</v>
      </c>
      <c r="P85" s="1">
        <f t="shared" si="21"/>
        <v>8</v>
      </c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40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</row>
    <row r="86" spans="2:134" x14ac:dyDescent="0.25">
      <c r="B86" s="38" t="s">
        <v>199</v>
      </c>
      <c r="C86" s="39">
        <f>1016540/(2.71^(0.015*20))</f>
        <v>753761.03837159695</v>
      </c>
      <c r="D86" s="19">
        <v>12</v>
      </c>
      <c r="E86" s="13">
        <f t="shared" si="22"/>
        <v>9.1657342265986195</v>
      </c>
      <c r="F86" s="2">
        <f t="shared" si="23"/>
        <v>1.0854158952550994</v>
      </c>
      <c r="G86" s="37">
        <v>0</v>
      </c>
      <c r="H86" s="8" t="s">
        <v>44</v>
      </c>
      <c r="I86" s="146">
        <f t="shared" si="18"/>
        <v>1</v>
      </c>
      <c r="J86" s="11">
        <f>C86*(I86)*(1-G86)*(INDEX(Stats!Q:Q,MATCH(K86,Stats!A:A,0)))</f>
        <v>104350.268043462</v>
      </c>
      <c r="K86" s="8" t="s">
        <v>59</v>
      </c>
      <c r="L86" s="1">
        <f>C86*(1+SUMIFS(Stats!S:S,Stats!A:A,K86)*(125-D86)/100*IF(H86="S",0.5,1))</f>
        <v>777184.16263899428</v>
      </c>
      <c r="M86" s="25">
        <f>D86*(1+SUMIFS(Stats!T:T,Stats!A:A,K86)*SQRT(I86))</f>
        <v>12.037164179104476</v>
      </c>
      <c r="N86" s="3">
        <f t="shared" si="19"/>
        <v>3.0138447736585548E-2</v>
      </c>
      <c r="O86" s="28">
        <f t="shared" si="20"/>
        <v>12.16</v>
      </c>
      <c r="P86" s="1">
        <f t="shared" si="21"/>
        <v>11</v>
      </c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>
        <v>429</v>
      </c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>
        <v>700</v>
      </c>
      <c r="CT86" s="39"/>
      <c r="CU86" s="39"/>
      <c r="CV86" s="39"/>
      <c r="CW86" s="39"/>
      <c r="CX86" s="39"/>
      <c r="CY86" s="39"/>
      <c r="CZ86" s="39"/>
      <c r="DA86" s="39"/>
      <c r="DB86" s="39"/>
      <c r="DC86" s="40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>
        <v>1016.54</v>
      </c>
    </row>
    <row r="87" spans="2:134" x14ac:dyDescent="0.25">
      <c r="B87" t="s">
        <v>137</v>
      </c>
      <c r="C87" s="1">
        <v>336400000</v>
      </c>
      <c r="D87" s="19">
        <v>4</v>
      </c>
      <c r="E87" s="13">
        <f t="shared" si="22"/>
        <v>861.18399999999997</v>
      </c>
      <c r="F87" s="2">
        <f t="shared" si="23"/>
        <v>53.823999999999998</v>
      </c>
      <c r="G87" s="37">
        <v>0</v>
      </c>
      <c r="H87" s="8" t="s">
        <v>215</v>
      </c>
      <c r="I87" s="146">
        <f t="shared" si="18"/>
        <v>0.25</v>
      </c>
      <c r="J87" s="11">
        <f>C87*(I87)*(1-G87)*(INDEX(Stats!Q:Q,MATCH(K87,Stats!A:A,0)))</f>
        <v>8079475.3053985778</v>
      </c>
      <c r="K87" s="8" t="s">
        <v>176</v>
      </c>
      <c r="L87" s="1">
        <f>C87*(1+SUMIFS(Stats!S:S,Stats!A:A,K87)*(125-D87)/100*IF(H87="S",0.5,1))</f>
        <v>345558490</v>
      </c>
      <c r="M87" s="25">
        <f>D87*(1+SUMIFS(Stats!T:T,Stats!A:A,K87)*SQRT(I87))</f>
        <v>4.0075058004640374</v>
      </c>
      <c r="N87" s="3">
        <f t="shared" si="19"/>
        <v>2.6503443744067757E-2</v>
      </c>
      <c r="O87" s="28">
        <f t="shared" si="20"/>
        <v>10.24</v>
      </c>
      <c r="P87" s="1">
        <f t="shared" si="21"/>
        <v>2</v>
      </c>
    </row>
    <row r="88" spans="2:134" x14ac:dyDescent="0.25">
      <c r="B88" t="s">
        <v>138</v>
      </c>
      <c r="C88" s="1">
        <v>60596000</v>
      </c>
      <c r="D88" s="19">
        <v>8</v>
      </c>
      <c r="E88" s="13">
        <f t="shared" si="22"/>
        <v>166.03303999999997</v>
      </c>
      <c r="F88" s="2">
        <f t="shared" si="23"/>
        <v>38.781440000000003</v>
      </c>
      <c r="G88" s="37">
        <v>0</v>
      </c>
      <c r="H88" s="8" t="s">
        <v>215</v>
      </c>
      <c r="I88" s="146">
        <f t="shared" si="18"/>
        <v>0.25</v>
      </c>
      <c r="J88" s="11">
        <f>C88*(I88)*(1-G88)*(INDEX(Stats!Q:Q,MATCH(K88,Stats!A:A,0)))</f>
        <v>1553922.5247956451</v>
      </c>
      <c r="K88" s="8" t="s">
        <v>177</v>
      </c>
      <c r="L88" s="1">
        <f>C88*(1+SUMIFS(Stats!S:S,Stats!A:A,K88)*(125-D88)/100*IF(H88="S",0.5,1))</f>
        <v>62545676.300000004</v>
      </c>
      <c r="M88" s="25">
        <f>D88*(1+SUMIFS(Stats!T:T,Stats!A:A,K88)*SQRT(I88))</f>
        <v>8.0137226277372271</v>
      </c>
      <c r="N88" s="3">
        <f t="shared" si="19"/>
        <v>3.1172039625063649E-2</v>
      </c>
      <c r="O88" s="28">
        <f t="shared" si="20"/>
        <v>10.959999999999999</v>
      </c>
      <c r="P88" s="1">
        <f t="shared" si="21"/>
        <v>2</v>
      </c>
    </row>
    <row r="89" spans="2:134" x14ac:dyDescent="0.25">
      <c r="B89" t="s">
        <v>7</v>
      </c>
      <c r="C89" s="1">
        <v>64203000</v>
      </c>
      <c r="D89" s="19">
        <v>21</v>
      </c>
      <c r="E89" s="13">
        <f t="shared" si="22"/>
        <v>266.68321125</v>
      </c>
      <c r="F89" s="2">
        <f t="shared" si="23"/>
        <v>283.13522999999992</v>
      </c>
      <c r="G89" s="37">
        <v>0</v>
      </c>
      <c r="H89" s="8" t="s">
        <v>215</v>
      </c>
      <c r="I89" s="146">
        <f t="shared" si="18"/>
        <v>0.25</v>
      </c>
      <c r="J89" s="11">
        <f>C89*(I89)*(1-G89)*(INDEX(Stats!Q:Q,MATCH(K89,Stats!A:A,0)))</f>
        <v>914482.12453948392</v>
      </c>
      <c r="K89" s="8" t="s">
        <v>58</v>
      </c>
      <c r="L89" s="1">
        <f>C89*(1+SUMIFS(Stats!S:S,Stats!A:A,K89)*(125-D89)/100*IF(H89="S",0.5,1))</f>
        <v>66762158.25710015</v>
      </c>
      <c r="M89" s="25">
        <f>D89*(1+SUMIFS(Stats!T:T,Stats!A:A,K89)*SQRT(I89))</f>
        <v>21.043573619631903</v>
      </c>
      <c r="N89" s="3">
        <f t="shared" si="19"/>
        <v>3.8332467432297006E-2</v>
      </c>
      <c r="O89" s="28">
        <f t="shared" si="20"/>
        <v>16.614999999999998</v>
      </c>
      <c r="P89" s="1">
        <f t="shared" si="21"/>
        <v>1</v>
      </c>
    </row>
    <row r="90" spans="2:134" x14ac:dyDescent="0.25">
      <c r="B90" t="s">
        <v>139</v>
      </c>
      <c r="C90" s="1">
        <v>13194000</v>
      </c>
      <c r="D90" s="19">
        <v>8</v>
      </c>
      <c r="E90" s="13">
        <f t="shared" si="22"/>
        <v>36.151560000000003</v>
      </c>
      <c r="F90" s="2">
        <f t="shared" si="23"/>
        <v>8.4441600000000001</v>
      </c>
      <c r="G90" s="37">
        <v>0</v>
      </c>
      <c r="H90" s="8" t="s">
        <v>215</v>
      </c>
      <c r="I90" s="146">
        <f t="shared" si="18"/>
        <v>0.25</v>
      </c>
      <c r="J90" s="11">
        <f>C90*(I90)*(1-G90)*(INDEX(Stats!Q:Q,MATCH(K90,Stats!A:A,0)))</f>
        <v>187930.11465467268</v>
      </c>
      <c r="K90" s="8" t="s">
        <v>58</v>
      </c>
      <c r="L90" s="1">
        <f>C90*(1+SUMIFS(Stats!S:S,Stats!A:A,K90)*(125-D90)/100*IF(H90="S",0.5,1))</f>
        <v>13785658.112544615</v>
      </c>
      <c r="M90" s="25">
        <f>D90*(1+SUMIFS(Stats!T:T,Stats!A:A,K90)*SQRT(I90))</f>
        <v>8.0165994741454867</v>
      </c>
      <c r="N90" s="3">
        <f t="shared" si="19"/>
        <v>4.2918379936190375E-2</v>
      </c>
      <c r="O90" s="28">
        <f t="shared" si="20"/>
        <v>10.960000000000003</v>
      </c>
      <c r="P90" s="1">
        <f t="shared" si="21"/>
        <v>1</v>
      </c>
    </row>
    <row r="91" spans="2:134" x14ac:dyDescent="0.25">
      <c r="B91" t="s">
        <v>9</v>
      </c>
      <c r="C91" s="1">
        <f>13900000*1.5</f>
        <v>20850000</v>
      </c>
      <c r="D91" s="19">
        <v>10</v>
      </c>
      <c r="E91" s="13">
        <f t="shared" si="22"/>
        <v>239.77500000000003</v>
      </c>
      <c r="F91" s="2">
        <f t="shared" si="23"/>
        <v>20.850000000000005</v>
      </c>
      <c r="G91" s="37">
        <v>0</v>
      </c>
      <c r="H91" s="8" t="s">
        <v>44</v>
      </c>
      <c r="I91" s="146">
        <f t="shared" si="18"/>
        <v>1</v>
      </c>
      <c r="J91" s="11">
        <f>C91*(I91)*(1-G91)*(INDEX(Stats!Q:Q,MATCH(K91,Stats!A:A,0)))</f>
        <v>1376846.4917405215</v>
      </c>
      <c r="K91" s="8" t="s">
        <v>31</v>
      </c>
      <c r="L91" s="1">
        <f>C91*(1+SUMIFS(Stats!S:S,Stats!A:A,K91)*(125-D91)/100*IF(H91="S",0.5,1))</f>
        <v>21749156.25</v>
      </c>
      <c r="M91" s="25">
        <f>D91*(1+SUMIFS(Stats!T:T,Stats!A:A,K91)*SQRT(I91))</f>
        <v>10.034166666666666</v>
      </c>
      <c r="N91" s="3">
        <f t="shared" si="19"/>
        <v>4.1342121030557219E-2</v>
      </c>
      <c r="O91" s="28">
        <f t="shared" si="20"/>
        <v>11.500000000000002</v>
      </c>
      <c r="P91" s="1">
        <f t="shared" si="21"/>
        <v>6</v>
      </c>
    </row>
    <row r="92" spans="2:134" x14ac:dyDescent="0.25">
      <c r="B92" t="s">
        <v>140</v>
      </c>
      <c r="C92" s="1">
        <v>12392000</v>
      </c>
      <c r="D92" s="19">
        <v>8</v>
      </c>
      <c r="E92" s="13">
        <f t="shared" si="22"/>
        <v>33.954079999999998</v>
      </c>
      <c r="F92" s="2">
        <f t="shared" si="23"/>
        <v>7.9308800000000002</v>
      </c>
      <c r="G92" s="37">
        <v>0</v>
      </c>
      <c r="H92" s="8" t="s">
        <v>215</v>
      </c>
      <c r="I92" s="146">
        <f t="shared" si="18"/>
        <v>0.25</v>
      </c>
      <c r="J92" s="11">
        <f>C92*(I92)*(1-G92)*(INDEX(Stats!Q:Q,MATCH(K92,Stats!A:A,0)))</f>
        <v>252153.7407448804</v>
      </c>
      <c r="K92" s="8" t="s">
        <v>284</v>
      </c>
      <c r="L92" s="1">
        <f>C92*(1+SUMIFS(Stats!S:S,Stats!A:A,K92)*(125-D92)/100*IF(H92="S",0.5,1))</f>
        <v>12826959.199999999</v>
      </c>
      <c r="M92" s="25">
        <f>D92*(1+SUMIFS(Stats!T:T,Stats!A:A,K92)*SQRT(I92))</f>
        <v>8.014705882352942</v>
      </c>
      <c r="N92" s="3">
        <f t="shared" si="19"/>
        <v>3.390976717225383E-2</v>
      </c>
      <c r="O92" s="28">
        <f t="shared" si="20"/>
        <v>10.959999999999999</v>
      </c>
      <c r="P92" s="1">
        <f t="shared" si="21"/>
        <v>2</v>
      </c>
    </row>
    <row r="93" spans="2:134" x14ac:dyDescent="0.25">
      <c r="B93" t="s">
        <v>19</v>
      </c>
      <c r="C93" s="1">
        <v>4614000</v>
      </c>
      <c r="D93" s="19">
        <v>8</v>
      </c>
      <c r="E93" s="13">
        <f t="shared" si="22"/>
        <v>50.56944</v>
      </c>
      <c r="F93" s="2">
        <f t="shared" si="23"/>
        <v>2.95296</v>
      </c>
      <c r="G93" s="37">
        <v>0</v>
      </c>
      <c r="H93" s="8" t="s">
        <v>44</v>
      </c>
      <c r="I93" s="146">
        <f t="shared" si="18"/>
        <v>1</v>
      </c>
      <c r="J93" s="11" t="e">
        <f>C93*(I93)*(1-G93)*(INDEX(Stats!Q:Q,MATCH(K93,Stats!A:A,0)))</f>
        <v>#N/A</v>
      </c>
      <c r="L93" s="1">
        <f>C93*(1+SUMIFS(Stats!S:S,Stats!A:A,K93)*(125-D93)/100*IF(H93="S",0.5,1))</f>
        <v>4614000</v>
      </c>
      <c r="M93" s="25">
        <f>D93*(1+SUMIFS(Stats!T:T,Stats!A:A,K93)*SQRT(I93))</f>
        <v>8</v>
      </c>
      <c r="N93" s="3">
        <f t="shared" si="19"/>
        <v>0</v>
      </c>
      <c r="O93" s="28">
        <f t="shared" si="20"/>
        <v>10.96</v>
      </c>
      <c r="P93" s="1" t="e">
        <f t="shared" si="21"/>
        <v>#N/A</v>
      </c>
    </row>
    <row r="94" spans="2:134" x14ac:dyDescent="0.25">
      <c r="B94" t="s">
        <v>18</v>
      </c>
      <c r="C94" s="1">
        <v>14515000</v>
      </c>
      <c r="D94" s="19">
        <v>8</v>
      </c>
      <c r="E94" s="13">
        <f t="shared" si="22"/>
        <v>39.771100000000004</v>
      </c>
      <c r="F94" s="2">
        <f t="shared" si="23"/>
        <v>9.2896000000000001</v>
      </c>
      <c r="G94" s="37">
        <v>0</v>
      </c>
      <c r="H94" s="8" t="s">
        <v>215</v>
      </c>
      <c r="I94" s="146">
        <f t="shared" si="18"/>
        <v>0.25</v>
      </c>
      <c r="J94" s="11">
        <f>C94*(I94)*(1-G94)*(INDEX(Stats!Q:Q,MATCH(K94,Stats!A:A,0)))</f>
        <v>286697.76495617552</v>
      </c>
      <c r="K94" s="8" t="s">
        <v>23</v>
      </c>
      <c r="L94" s="1">
        <f>C94*(1+SUMIFS(Stats!S:S,Stats!A:A,K94)*(125-D94)/100*IF(H94="S",0.5,1))</f>
        <v>15187238.6858964</v>
      </c>
      <c r="M94" s="25">
        <f>D94*(1+SUMIFS(Stats!T:T,Stats!A:A,K94)*SQRT(I94))</f>
        <v>8.0137444444444448</v>
      </c>
      <c r="N94" s="3">
        <f t="shared" si="19"/>
        <v>4.4263391114059039E-2</v>
      </c>
      <c r="O94" s="28">
        <f t="shared" si="20"/>
        <v>10.960000000000003</v>
      </c>
      <c r="P94" s="1">
        <f t="shared" si="21"/>
        <v>2</v>
      </c>
    </row>
    <row r="95" spans="2:134" x14ac:dyDescent="0.25">
      <c r="B95" t="s">
        <v>141</v>
      </c>
      <c r="C95" s="1">
        <v>821000</v>
      </c>
      <c r="D95" s="19">
        <v>20</v>
      </c>
      <c r="E95" s="13">
        <f t="shared" si="22"/>
        <v>3.2840000000000003</v>
      </c>
      <c r="F95" s="2">
        <f t="shared" si="23"/>
        <v>3.2840000000000007</v>
      </c>
      <c r="G95" s="37">
        <v>0</v>
      </c>
      <c r="H95" s="8" t="s">
        <v>215</v>
      </c>
      <c r="I95" s="146">
        <f t="shared" si="18"/>
        <v>0.25</v>
      </c>
      <c r="J95" s="11">
        <f>C95*(I95)*(1-G95)*(INDEX(Stats!Q:Q,MATCH(K95,Stats!A:A,0)))</f>
        <v>16216.249743645893</v>
      </c>
      <c r="K95" s="8" t="s">
        <v>23</v>
      </c>
      <c r="L95" s="1">
        <f>C95*(1+SUMIFS(Stats!S:S,Stats!A:A,K95)*(125-D95)/100*IF(H95="S",0.5,1))</f>
        <v>855123.45962043339</v>
      </c>
      <c r="M95" s="25">
        <f>D95*(1+SUMIFS(Stats!T:T,Stats!A:A,K95)*SQRT(I95))</f>
        <v>20.03436111111111</v>
      </c>
      <c r="N95" s="3">
        <f t="shared" si="19"/>
        <v>3.9904716958157005E-2</v>
      </c>
      <c r="O95" s="28">
        <f t="shared" si="20"/>
        <v>16.000000000000004</v>
      </c>
      <c r="P95" s="1">
        <f t="shared" si="21"/>
        <v>1</v>
      </c>
    </row>
    <row r="96" spans="2:134" x14ac:dyDescent="0.25">
      <c r="B96" t="s">
        <v>142</v>
      </c>
      <c r="C96" s="1">
        <v>4413000</v>
      </c>
      <c r="D96" s="19">
        <v>8</v>
      </c>
      <c r="E96" s="13">
        <f t="shared" si="22"/>
        <v>12.091620000000001</v>
      </c>
      <c r="F96" s="2">
        <f t="shared" si="23"/>
        <v>2.8243200000000002</v>
      </c>
      <c r="G96" s="37">
        <v>0</v>
      </c>
      <c r="H96" s="8" t="s">
        <v>215</v>
      </c>
      <c r="I96" s="146">
        <f t="shared" si="18"/>
        <v>0.25</v>
      </c>
      <c r="J96" s="11">
        <f>C96*(I96)*(1-G96)*(INDEX(Stats!Q:Q,MATCH(K96,Stats!A:A,0)))</f>
        <v>87164.811350437667</v>
      </c>
      <c r="K96" s="8" t="s">
        <v>23</v>
      </c>
      <c r="L96" s="1">
        <f>C96*(1+SUMIFS(Stats!S:S,Stats!A:A,K96)*(125-D96)/100*IF(H96="S",0.5,1))</f>
        <v>4617380.9383989535</v>
      </c>
      <c r="M96" s="25">
        <f>D96*(1+SUMIFS(Stats!T:T,Stats!A:A,K96)*SQRT(I96))</f>
        <v>8.0137444444444448</v>
      </c>
      <c r="N96" s="3">
        <f t="shared" si="19"/>
        <v>4.4263391114058977E-2</v>
      </c>
      <c r="O96" s="28">
        <f t="shared" si="20"/>
        <v>10.96</v>
      </c>
      <c r="P96" s="1">
        <f t="shared" si="21"/>
        <v>2</v>
      </c>
    </row>
    <row r="97" spans="1:146" x14ac:dyDescent="0.25">
      <c r="B97" t="s">
        <v>143</v>
      </c>
      <c r="C97" s="1">
        <v>596000</v>
      </c>
      <c r="D97" s="19">
        <v>20</v>
      </c>
      <c r="E97" s="13">
        <f t="shared" si="22"/>
        <v>2.3839999999999999</v>
      </c>
      <c r="F97" s="2">
        <f t="shared" si="23"/>
        <v>2.3840000000000003</v>
      </c>
      <c r="G97" s="37">
        <v>0</v>
      </c>
      <c r="H97" s="8" t="s">
        <v>215</v>
      </c>
      <c r="I97" s="146">
        <f t="shared" si="18"/>
        <v>0.25</v>
      </c>
      <c r="J97" s="11">
        <f>C97*(I97)*(1-G97)*(INDEX(Stats!Q:Q,MATCH(K97,Stats!A:A,0)))</f>
        <v>11772.088729857433</v>
      </c>
      <c r="K97" s="8" t="s">
        <v>23</v>
      </c>
      <c r="L97" s="1">
        <f>C97*(1+SUMIFS(Stats!S:S,Stats!A:A,K97)*(125-D97)/100*IF(H97="S",0.5,1))</f>
        <v>620771.71977317706</v>
      </c>
      <c r="M97" s="25">
        <f>D97*(1+SUMIFS(Stats!T:T,Stats!A:A,K97)*SQRT(I97))</f>
        <v>20.03436111111111</v>
      </c>
      <c r="N97" s="3">
        <f t="shared" si="19"/>
        <v>3.9904716958157116E-2</v>
      </c>
      <c r="O97" s="28">
        <f t="shared" si="20"/>
        <v>16</v>
      </c>
      <c r="P97" s="1">
        <f t="shared" si="21"/>
        <v>1</v>
      </c>
    </row>
    <row r="98" spans="1:146" x14ac:dyDescent="0.25">
      <c r="B98" t="s">
        <v>37</v>
      </c>
      <c r="C98" s="1">
        <v>5707000</v>
      </c>
      <c r="D98" s="19">
        <v>6</v>
      </c>
      <c r="E98" s="13">
        <f t="shared" si="22"/>
        <v>15.037944999999999</v>
      </c>
      <c r="F98" s="2">
        <f t="shared" si="23"/>
        <v>2.0545200000000001</v>
      </c>
      <c r="G98" s="37">
        <v>0</v>
      </c>
      <c r="H98" s="8" t="s">
        <v>215</v>
      </c>
      <c r="I98" s="146">
        <f t="shared" si="18"/>
        <v>0.25</v>
      </c>
      <c r="J98" s="11">
        <f>C98*(I98)*(1-G98)*(INDEX(Stats!Q:Q,MATCH(K98,Stats!A:A,0)))</f>
        <v>112723.6751364033</v>
      </c>
      <c r="K98" s="8" t="s">
        <v>23</v>
      </c>
      <c r="L98" s="1">
        <f>C98*(1+SUMIFS(Stats!S:S,Stats!A:A,K98)*(125-D98)/100*IF(H98="S",0.5,1))</f>
        <v>5975828.5772565845</v>
      </c>
      <c r="M98" s="25">
        <f>D98*(1+SUMIFS(Stats!T:T,Stats!A:A,K98)*SQRT(I98))</f>
        <v>6.0103083333333336</v>
      </c>
      <c r="N98" s="3">
        <f t="shared" si="19"/>
        <v>4.498599211492104E-2</v>
      </c>
      <c r="O98" s="28">
        <f t="shared" si="20"/>
        <v>10.54</v>
      </c>
      <c r="P98" s="1">
        <f t="shared" si="21"/>
        <v>2</v>
      </c>
    </row>
    <row r="99" spans="1:146" x14ac:dyDescent="0.25">
      <c r="B99" t="s">
        <v>146</v>
      </c>
      <c r="C99" s="1">
        <v>20484000</v>
      </c>
      <c r="D99" s="19">
        <v>18</v>
      </c>
      <c r="E99" s="13">
        <f t="shared" si="22"/>
        <v>76.098060000000004</v>
      </c>
      <c r="F99" s="2">
        <f t="shared" si="23"/>
        <v>66.368159999999989</v>
      </c>
      <c r="G99" s="37">
        <v>0</v>
      </c>
      <c r="H99" s="8" t="s">
        <v>215</v>
      </c>
      <c r="I99" s="146">
        <f t="shared" si="18"/>
        <v>0.25</v>
      </c>
      <c r="J99" s="11">
        <f>C99*(I99)*(1-G99)*(INDEX(Stats!Q:Q,MATCH(K99,Stats!A:A,0)))</f>
        <v>591264.75779284898</v>
      </c>
      <c r="K99" s="8" t="s">
        <v>28</v>
      </c>
      <c r="L99" s="1">
        <f>C99*(1+SUMIFS(Stats!S:S,Stats!A:A,K99)*(125-D99)/100*IF(H99="S",0.5,1))</f>
        <v>21360715.199999999</v>
      </c>
      <c r="M99" s="25">
        <f>D99*(1+SUMIFS(Stats!T:T,Stats!A:A,K99)*SQRT(I99))</f>
        <v>18.027606602475927</v>
      </c>
      <c r="N99" s="3">
        <f t="shared" si="19"/>
        <v>4.1043344840813165E-2</v>
      </c>
      <c r="O99" s="28">
        <f t="shared" si="20"/>
        <v>14.86</v>
      </c>
      <c r="P99" s="1">
        <f t="shared" si="21"/>
        <v>2</v>
      </c>
    </row>
    <row r="100" spans="1:146" x14ac:dyDescent="0.25">
      <c r="B100" t="s">
        <v>339</v>
      </c>
      <c r="C100" s="1">
        <f>Q100*1000/(2.71^(0.015*20))</f>
        <v>6043197.968332299</v>
      </c>
      <c r="D100" s="19">
        <v>12</v>
      </c>
      <c r="E100" s="13">
        <f>(C100/1000000+F100*0.15)*I100*(1-G100)*10</f>
        <v>73.485287294920752</v>
      </c>
      <c r="F100" s="2">
        <f t="shared" ref="F100:F102" si="24">(C100*(D100/100)^2/100000)*(1-G100)*10</f>
        <v>8.7022050743985098</v>
      </c>
      <c r="G100" s="37">
        <v>0</v>
      </c>
      <c r="H100" s="39" t="s">
        <v>44</v>
      </c>
      <c r="I100" s="146">
        <f t="shared" si="18"/>
        <v>1</v>
      </c>
      <c r="J100" s="11">
        <f>C100*(I100)*(1-G100)*(INDEX(Stats!Q:Q,MATCH(K100,Stats!A:A,0)))</f>
        <v>388955.98875559575</v>
      </c>
      <c r="K100" s="39" t="s">
        <v>80</v>
      </c>
      <c r="L100" s="1">
        <f>C100*(1+SUMIFS(Stats!S:S,Stats!A:A,K100)*(125-D100)/100*IF(H100="S",0.5,1))</f>
        <v>6265134.413719302</v>
      </c>
      <c r="M100" s="25">
        <f>D100*(1+SUMIFS(Stats!T:T,Stats!A:A,K100)*SQRT(I100))</f>
        <v>12.042972972972972</v>
      </c>
      <c r="N100" s="3">
        <f t="shared" si="19"/>
        <v>3.5424051701270727E-2</v>
      </c>
      <c r="O100" s="28">
        <f t="shared" si="20"/>
        <v>12.159999999999998</v>
      </c>
      <c r="P100" s="1">
        <f t="shared" si="21"/>
        <v>5</v>
      </c>
      <c r="Q100" s="39">
        <v>8150</v>
      </c>
    </row>
    <row r="101" spans="1:146" x14ac:dyDescent="0.25">
      <c r="B101" t="s">
        <v>340</v>
      </c>
      <c r="C101" s="1">
        <f>Q101*1000/(2.71^(0.015*20))</f>
        <v>3315231.6707256082</v>
      </c>
      <c r="D101" s="19">
        <v>18</v>
      </c>
      <c r="E101" s="13">
        <f>(C101/1000000+F101*0.15)*I101*(1-G101)*10</f>
        <v>49.26434262698254</v>
      </c>
      <c r="F101" s="2">
        <f t="shared" si="24"/>
        <v>10.741350613150971</v>
      </c>
      <c r="G101" s="37">
        <v>0</v>
      </c>
      <c r="H101" s="39" t="s">
        <v>44</v>
      </c>
      <c r="I101" s="146">
        <f t="shared" si="18"/>
        <v>1</v>
      </c>
      <c r="J101" s="11">
        <f>C101*(I101)*(1-G101)*(INDEX(Stats!Q:Q,MATCH(K101,Stats!A:A,0)))</f>
        <v>382772.82773262227</v>
      </c>
      <c r="K101" s="39" t="s">
        <v>28</v>
      </c>
      <c r="L101" s="1">
        <f>C101*(1+SUMIFS(Stats!S:S,Stats!A:A,K101)*(125-D101)/100*IF(H101="S",0.5,1))</f>
        <v>3457123.5862326641</v>
      </c>
      <c r="M101" s="25">
        <f>D101*(1+SUMIFS(Stats!T:T,Stats!A:A,K101)*SQRT(I101))</f>
        <v>18.055213204951858</v>
      </c>
      <c r="N101" s="3">
        <f t="shared" si="19"/>
        <v>4.1043344840813137E-2</v>
      </c>
      <c r="O101" s="28">
        <f t="shared" si="20"/>
        <v>14.86</v>
      </c>
      <c r="P101" s="1">
        <f t="shared" si="21"/>
        <v>8</v>
      </c>
      <c r="Q101" s="39">
        <v>4471</v>
      </c>
    </row>
    <row r="102" spans="1:146" x14ac:dyDescent="0.25">
      <c r="B102" t="s">
        <v>341</v>
      </c>
      <c r="C102" s="1">
        <f>Q102*1000/(2.71^(0.015*20))</f>
        <v>1398462.7445735848</v>
      </c>
      <c r="D102" s="19">
        <v>18</v>
      </c>
      <c r="E102" s="13">
        <f>(C102/1000000+F102*0.15)*I102*(1-G102)*10</f>
        <v>20.78115638436347</v>
      </c>
      <c r="F102" s="2">
        <f t="shared" si="24"/>
        <v>4.5310192924184145</v>
      </c>
      <c r="G102" s="37">
        <v>0</v>
      </c>
      <c r="H102" s="39" t="s">
        <v>44</v>
      </c>
      <c r="I102" s="146">
        <f t="shared" si="18"/>
        <v>1</v>
      </c>
      <c r="J102" s="11">
        <f>C102*(I102)*(1-G102)*(INDEX(Stats!Q:Q,MATCH(K102,Stats!A:A,0)))</f>
        <v>161464.89669061187</v>
      </c>
      <c r="K102" s="39" t="s">
        <v>28</v>
      </c>
      <c r="L102" s="1">
        <f>C102*(1+SUMIFS(Stats!S:S,Stats!A:A,K102)*(125-D102)/100*IF(H102="S",0.5,1))</f>
        <v>1458316.9500413341</v>
      </c>
      <c r="M102" s="25">
        <f>D102*(1+SUMIFS(Stats!T:T,Stats!A:A,K102)*SQRT(I102))</f>
        <v>18.055213204951858</v>
      </c>
      <c r="N102" s="3">
        <f t="shared" si="19"/>
        <v>4.1043344840813172E-2</v>
      </c>
      <c r="O102" s="28">
        <f t="shared" si="20"/>
        <v>14.86</v>
      </c>
      <c r="P102" s="1">
        <f t="shared" si="21"/>
        <v>8</v>
      </c>
      <c r="Q102" s="39">
        <v>1886</v>
      </c>
    </row>
    <row r="103" spans="1:146" x14ac:dyDescent="0.25">
      <c r="A103" t="s">
        <v>34</v>
      </c>
      <c r="B103" t="s">
        <v>136</v>
      </c>
      <c r="C103" s="1">
        <v>489000000</v>
      </c>
      <c r="D103" s="19">
        <v>4</v>
      </c>
      <c r="E103" s="13">
        <f t="shared" si="22"/>
        <v>5007.3599999999997</v>
      </c>
      <c r="F103" s="2">
        <f t="shared" si="23"/>
        <v>78.239999999999995</v>
      </c>
      <c r="G103" s="37">
        <v>0</v>
      </c>
      <c r="H103" s="8" t="s">
        <v>44</v>
      </c>
      <c r="I103" s="146">
        <f t="shared" si="18"/>
        <v>1</v>
      </c>
      <c r="J103" s="11" t="e">
        <f>C103*(I103)*(1-G103)*(INDEX(Stats!Q:Q,MATCH(K103,Stats!A:A,0)))</f>
        <v>#N/A</v>
      </c>
      <c r="L103" s="1">
        <f>C103*(1+SUMIFS(Stats!S:S,Stats!A:A,K103)*(125-D103)/100*IF(H103="S",0.5,1))</f>
        <v>489000000</v>
      </c>
      <c r="M103" s="25">
        <f>D103*(1+SUMIFS(Stats!T:T,Stats!A:A,K103)*SQRT(I103))</f>
        <v>4</v>
      </c>
      <c r="N103" s="3">
        <f t="shared" si="19"/>
        <v>0</v>
      </c>
      <c r="O103" s="28">
        <f t="shared" si="20"/>
        <v>10.239999999999998</v>
      </c>
      <c r="P103" s="1" t="e">
        <f t="shared" si="21"/>
        <v>#N/A</v>
      </c>
    </row>
    <row r="104" spans="1:146" x14ac:dyDescent="0.25">
      <c r="B104" t="s">
        <v>149</v>
      </c>
      <c r="C104" s="1">
        <f>C103*(164823226/1350000000)</f>
        <v>59702635.195555553</v>
      </c>
      <c r="D104" s="19">
        <v>12</v>
      </c>
      <c r="E104" s="13">
        <f t="shared" si="22"/>
        <v>725.98404397795548</v>
      </c>
      <c r="F104" s="2">
        <f t="shared" si="23"/>
        <v>85.971794681599988</v>
      </c>
      <c r="G104" s="37">
        <v>0</v>
      </c>
      <c r="H104" s="8" t="s">
        <v>44</v>
      </c>
      <c r="I104" s="146">
        <f t="shared" si="18"/>
        <v>1</v>
      </c>
      <c r="J104" s="11">
        <f>C104*(I104)*(1-G104)*(INDEX(Stats!Q:Q,MATCH(K104,Stats!A:A,0)))</f>
        <v>4168995.4575574896</v>
      </c>
      <c r="K104" s="8" t="s">
        <v>96</v>
      </c>
      <c r="L104" s="1">
        <f>C104*(1+SUMIFS(Stats!S:S,Stats!A:A,K104)*(125-D104)/100*IF(H104="S",0.5,1))</f>
        <v>61895214.473112322</v>
      </c>
      <c r="M104" s="25">
        <f>D104*(1+SUMIFS(Stats!T:T,Stats!A:A,K104)*SQRT(I104))</f>
        <v>12.041135135135136</v>
      </c>
      <c r="N104" s="3">
        <f t="shared" si="19"/>
        <v>3.5424051701270699E-2</v>
      </c>
      <c r="O104" s="28">
        <f t="shared" si="20"/>
        <v>12.159999999999998</v>
      </c>
      <c r="P104" s="1">
        <f t="shared" si="21"/>
        <v>6</v>
      </c>
    </row>
    <row r="105" spans="1:146" x14ac:dyDescent="0.25">
      <c r="B105" t="s">
        <v>151</v>
      </c>
      <c r="C105" s="1">
        <f>C103*(109520844/1350000000)</f>
        <v>39670883.493333332</v>
      </c>
      <c r="D105" s="19">
        <v>8</v>
      </c>
      <c r="E105" s="13">
        <f t="shared" si="22"/>
        <v>108.69822077173333</v>
      </c>
      <c r="F105" s="2">
        <f t="shared" si="23"/>
        <v>25.389365435733335</v>
      </c>
      <c r="G105" s="37">
        <v>0</v>
      </c>
      <c r="H105" s="8" t="s">
        <v>215</v>
      </c>
      <c r="I105" s="146">
        <f t="shared" si="18"/>
        <v>0.25</v>
      </c>
      <c r="J105" s="11">
        <f>C105*(I105)*(1-G105)*(INDEX(Stats!Q:Q,MATCH(K105,Stats!A:A,0)))</f>
        <v>525913.02057160065</v>
      </c>
      <c r="K105" s="8" t="s">
        <v>27</v>
      </c>
      <c r="L105" s="1">
        <f>C105*(1+SUMIFS(Stats!S:S,Stats!A:A,K105)*(125-D105)/100*IF(H105="S",0.5,1))</f>
        <v>40947294.169731334</v>
      </c>
      <c r="M105" s="25">
        <f>D105*(1+SUMIFS(Stats!T:T,Stats!A:A,K105)*SQRT(I105))</f>
        <v>8.0143391415214627</v>
      </c>
      <c r="N105" s="3">
        <f t="shared" si="19"/>
        <v>3.1172039625063618E-2</v>
      </c>
      <c r="O105" s="28">
        <f t="shared" si="20"/>
        <v>10.96</v>
      </c>
      <c r="P105" s="1">
        <f t="shared" si="21"/>
        <v>1</v>
      </c>
    </row>
    <row r="106" spans="1:146" x14ac:dyDescent="0.25">
      <c r="B106" t="s">
        <v>152</v>
      </c>
      <c r="C106" s="1">
        <f>C103*(384364968/1350000000)</f>
        <v>139225532.85333332</v>
      </c>
      <c r="D106" s="19">
        <v>15</v>
      </c>
      <c r="E106" s="13">
        <f t="shared" si="22"/>
        <v>1862.1415019133333</v>
      </c>
      <c r="F106" s="2">
        <f t="shared" si="23"/>
        <v>313.25744891999994</v>
      </c>
      <c r="G106" s="37">
        <v>0</v>
      </c>
      <c r="H106" s="8" t="s">
        <v>44</v>
      </c>
      <c r="I106" s="146">
        <f t="shared" si="18"/>
        <v>1</v>
      </c>
      <c r="J106" s="11">
        <f>C106*(I106)*(1-G106)*(INDEX(Stats!Q:Q,MATCH(K106,Stats!A:A,0)))</f>
        <v>12695748.913605651</v>
      </c>
      <c r="K106" s="8" t="s">
        <v>77</v>
      </c>
      <c r="L106" s="1">
        <f>C106*(1+SUMIFS(Stats!S:S,Stats!A:A,K106)*(125-D106)/100*IF(H106="S",0.5,1))</f>
        <v>143437105.22214663</v>
      </c>
      <c r="M106" s="25">
        <f>D106*(1+SUMIFS(Stats!T:T,Stats!A:A,K106)*SQRT(I106))</f>
        <v>15.064170692431562</v>
      </c>
      <c r="N106" s="3">
        <f t="shared" si="19"/>
        <v>2.9361805387041799E-2</v>
      </c>
      <c r="O106" s="28">
        <f t="shared" si="20"/>
        <v>13.375</v>
      </c>
      <c r="P106" s="1">
        <f t="shared" si="21"/>
        <v>7</v>
      </c>
    </row>
    <row r="107" spans="1:146" x14ac:dyDescent="0.25">
      <c r="B107" t="s">
        <v>153</v>
      </c>
      <c r="C107" s="1">
        <f>C103*(383559808/1350000000)</f>
        <v>138933886.00888887</v>
      </c>
      <c r="D107" s="19">
        <v>13</v>
      </c>
      <c r="E107" s="13">
        <f t="shared" si="22"/>
        <v>1741.5362611214221</v>
      </c>
      <c r="F107" s="2">
        <f t="shared" si="23"/>
        <v>234.79826735502223</v>
      </c>
      <c r="G107" s="37">
        <v>0</v>
      </c>
      <c r="H107" s="8" t="s">
        <v>44</v>
      </c>
      <c r="I107" s="146">
        <f t="shared" si="18"/>
        <v>1</v>
      </c>
      <c r="J107" s="11">
        <f>C107*(I107)*(1-G107)*(INDEX(Stats!Q:Q,MATCH(K107,Stats!A:A,0)))</f>
        <v>7868213.3744488358</v>
      </c>
      <c r="K107" s="8" t="s">
        <v>78</v>
      </c>
      <c r="L107" s="1">
        <f>C107*(1+SUMIFS(Stats!S:S,Stats!A:A,K107)*(125-D107)/100*IF(H107="S",0.5,1))</f>
        <v>143991079.45961243</v>
      </c>
      <c r="M107" s="25">
        <f>D107*(1+SUMIFS(Stats!T:T,Stats!A:A,K107)*SQRT(I107))</f>
        <v>13.052350746268658</v>
      </c>
      <c r="N107" s="3">
        <f t="shared" si="19"/>
        <v>3.5121574681590148E-2</v>
      </c>
      <c r="O107" s="28">
        <f t="shared" si="20"/>
        <v>12.535000000000002</v>
      </c>
      <c r="P107" s="1">
        <f t="shared" si="21"/>
        <v>5</v>
      </c>
    </row>
    <row r="108" spans="1:146" x14ac:dyDescent="0.25">
      <c r="B108" t="s">
        <v>172</v>
      </c>
      <c r="C108" s="1">
        <f>C103*(192979243/1350000000)-5000000</f>
        <v>64901370.24222222</v>
      </c>
      <c r="D108" s="19">
        <v>10</v>
      </c>
      <c r="E108" s="13">
        <f t="shared" si="22"/>
        <v>746.3657577855555</v>
      </c>
      <c r="F108" s="2">
        <f t="shared" si="23"/>
        <v>64.901370242222228</v>
      </c>
      <c r="G108" s="37">
        <v>0</v>
      </c>
      <c r="H108" s="8" t="s">
        <v>44</v>
      </c>
      <c r="I108" s="146">
        <f t="shared" si="18"/>
        <v>1</v>
      </c>
      <c r="J108" s="11">
        <f>C108*(I108)*(1-G108)*(INDEX(Stats!Q:Q,MATCH(K108,Stats!A:A,0)))</f>
        <v>4387357.8303871769</v>
      </c>
      <c r="K108" s="8" t="s">
        <v>169</v>
      </c>
      <c r="L108" s="1">
        <f>C108*(1+SUMIFS(Stats!S:S,Stats!A:A,K108)*(125-D108)/100*IF(H108="S",0.5,1))</f>
        <v>66394101.757793322</v>
      </c>
      <c r="M108" s="25">
        <f>D108*(1+SUMIFS(Stats!T:T,Stats!A:A,K108)*SQRT(I108))</f>
        <v>10.037550200803214</v>
      </c>
      <c r="N108" s="3">
        <f t="shared" si="19"/>
        <v>2.2482893450635259E-2</v>
      </c>
      <c r="O108" s="28">
        <f t="shared" si="20"/>
        <v>11.5</v>
      </c>
      <c r="P108" s="1">
        <f t="shared" si="21"/>
        <v>6</v>
      </c>
    </row>
    <row r="109" spans="1:146" x14ac:dyDescent="0.25">
      <c r="B109" t="s">
        <v>173</v>
      </c>
      <c r="C109" s="1">
        <v>5000000</v>
      </c>
      <c r="D109" s="19">
        <v>2</v>
      </c>
      <c r="E109" s="13">
        <f t="shared" si="22"/>
        <v>50.300000000000004</v>
      </c>
      <c r="F109" s="2">
        <f t="shared" si="23"/>
        <v>0.2</v>
      </c>
      <c r="G109" s="37">
        <v>0</v>
      </c>
      <c r="H109" s="8" t="s">
        <v>44</v>
      </c>
      <c r="I109" s="146">
        <f t="shared" si="18"/>
        <v>1</v>
      </c>
      <c r="J109" s="11">
        <f>C109*(I109)*(1-G109)*(INDEX(Stats!Q:Q,MATCH(K109,Stats!A:A,0)))</f>
        <v>284273.29599908221</v>
      </c>
      <c r="K109" s="8" t="s">
        <v>168</v>
      </c>
      <c r="L109" s="1">
        <f>C109*(1+SUMIFS(Stats!S:S,Stats!A:A,K109)*(125-D109)/100*IF(H109="S",0.5,1))</f>
        <v>5169125</v>
      </c>
      <c r="M109" s="25">
        <f>D109*(1+SUMIFS(Stats!T:T,Stats!A:A,K109)*SQRT(I109))</f>
        <v>2.0076470588235296</v>
      </c>
      <c r="N109" s="3">
        <f t="shared" si="19"/>
        <v>3.2718303387904143E-2</v>
      </c>
      <c r="O109" s="28">
        <f t="shared" si="20"/>
        <v>10.06</v>
      </c>
      <c r="P109" s="1">
        <f t="shared" si="21"/>
        <v>6</v>
      </c>
    </row>
    <row r="110" spans="1:146" x14ac:dyDescent="0.25">
      <c r="B110" t="s">
        <v>154</v>
      </c>
      <c r="C110" s="1">
        <f>C103*(96644038/1350000000)</f>
        <v>35006618.208888888</v>
      </c>
      <c r="D110" s="19">
        <v>8</v>
      </c>
      <c r="E110" s="13">
        <f t="shared" si="22"/>
        <v>383.67253556942222</v>
      </c>
      <c r="F110" s="2">
        <f t="shared" si="23"/>
        <v>22.40423565368889</v>
      </c>
      <c r="G110" s="37">
        <v>0</v>
      </c>
      <c r="H110" s="8" t="s">
        <v>44</v>
      </c>
      <c r="I110" s="146">
        <f t="shared" si="18"/>
        <v>1</v>
      </c>
      <c r="J110" s="11">
        <f>C110*(I110)*(1-G110)*(INDEX(Stats!Q:Q,MATCH(K110,Stats!A:A,0)))</f>
        <v>2444488.9546210766</v>
      </c>
      <c r="K110" s="8" t="s">
        <v>96</v>
      </c>
      <c r="L110" s="1">
        <f>C110*(1+SUMIFS(Stats!S:S,Stats!A:A,K110)*(125-D110)/100*IF(H110="S",0.5,1))</f>
        <v>36337744.866281889</v>
      </c>
      <c r="M110" s="25">
        <f>D110*(1+SUMIFS(Stats!T:T,Stats!A:A,K110)*SQRT(I110))</f>
        <v>8.0274234234234232</v>
      </c>
      <c r="N110" s="3">
        <f t="shared" si="19"/>
        <v>3.6632065701693146E-2</v>
      </c>
      <c r="O110" s="28">
        <f t="shared" si="20"/>
        <v>10.96</v>
      </c>
      <c r="P110" s="1">
        <f t="shared" si="21"/>
        <v>6</v>
      </c>
    </row>
    <row r="111" spans="1:146" x14ac:dyDescent="0.25">
      <c r="B111" t="s">
        <v>150</v>
      </c>
      <c r="C111" s="1">
        <v>500000</v>
      </c>
      <c r="D111" s="19">
        <v>2</v>
      </c>
      <c r="E111" s="13">
        <f t="shared" si="22"/>
        <v>1.2575000000000001</v>
      </c>
      <c r="F111" s="2">
        <f t="shared" si="23"/>
        <v>0.02</v>
      </c>
      <c r="G111" s="37">
        <v>0</v>
      </c>
      <c r="H111" s="8" t="s">
        <v>215</v>
      </c>
      <c r="I111" s="146">
        <f t="shared" si="18"/>
        <v>0.25</v>
      </c>
      <c r="J111" s="11">
        <f>C111*(I111)*(1-G111)*(INDEX(Stats!Q:Q,MATCH(K111,Stats!A:A,0)))</f>
        <v>6628.4510736946413</v>
      </c>
      <c r="K111" s="8" t="s">
        <v>27</v>
      </c>
      <c r="L111" s="1">
        <f>C111*(1+SUMIFS(Stats!S:S,Stats!A:A,K111)*(125-D111)/100*IF(H111="S",0.5,1))</f>
        <v>516912.5</v>
      </c>
      <c r="M111" s="25">
        <f>D111*(1+SUMIFS(Stats!T:T,Stats!A:A,K111)*SQRT(I111))</f>
        <v>2.0035847853803657</v>
      </c>
      <c r="N111" s="3">
        <f t="shared" si="19"/>
        <v>3.2718303387904143E-2</v>
      </c>
      <c r="O111" s="28">
        <f t="shared" si="20"/>
        <v>10.06</v>
      </c>
      <c r="P111" s="1">
        <f t="shared" si="21"/>
        <v>1</v>
      </c>
    </row>
    <row r="112" spans="1:146" x14ac:dyDescent="0.25">
      <c r="B112" s="85" t="s">
        <v>285</v>
      </c>
      <c r="C112" s="1">
        <f t="shared" ref="C112:C143" si="25">Q112*1000/(2.71^(0.015*20))</f>
        <v>6593920.9019082282</v>
      </c>
      <c r="D112" s="19">
        <v>10</v>
      </c>
      <c r="E112" s="13">
        <f>(C112/1000000+F112*0.15)*I112*(1-G112)*10</f>
        <v>56.872567778958469</v>
      </c>
      <c r="F112" s="2">
        <f t="shared" si="23"/>
        <v>6.5939209019082288</v>
      </c>
      <c r="G112" s="37">
        <v>0</v>
      </c>
      <c r="H112" s="39" t="s">
        <v>214</v>
      </c>
      <c r="I112" s="146">
        <f t="shared" si="18"/>
        <v>0.75</v>
      </c>
      <c r="J112" s="11">
        <f>C112*(I112)*(1-G112)*(INDEX(Stats!Q:Q,MATCH(K112,Stats!A:A,0)))</f>
        <v>570994.88063444244</v>
      </c>
      <c r="K112" s="39" t="s">
        <v>28</v>
      </c>
      <c r="L112" s="1">
        <f>C112*(1+SUMIFS(Stats!S:S,Stats!A:A,K112)*(125-D112)/100*IF(H112="S",0.5,1))</f>
        <v>6897241.263396007</v>
      </c>
      <c r="M112" s="25">
        <f>D112*(1+SUMIFS(Stats!T:T,Stats!A:A,K112)*SQRT(I112))</f>
        <v>10.026564465618147</v>
      </c>
      <c r="N112" s="3">
        <f t="shared" si="19"/>
        <v>4.397705544933083E-2</v>
      </c>
      <c r="O112" s="28">
        <f t="shared" si="20"/>
        <v>11.5</v>
      </c>
      <c r="P112" s="1">
        <f t="shared" si="21"/>
        <v>8</v>
      </c>
      <c r="Q112" s="39">
        <v>8892.7180000000008</v>
      </c>
      <c r="R112" s="39"/>
      <c r="S112" s="39"/>
      <c r="T112" s="39" t="s">
        <v>286</v>
      </c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>
        <v>3776</v>
      </c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>
        <v>5497</v>
      </c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>
        <v>8892.7180000000008</v>
      </c>
    </row>
    <row r="113" spans="2:146" x14ac:dyDescent="0.25">
      <c r="B113" s="85" t="s">
        <v>287</v>
      </c>
      <c r="C113" s="1">
        <f t="shared" si="25"/>
        <v>3053199.3483154029</v>
      </c>
      <c r="D113" s="19">
        <v>10</v>
      </c>
      <c r="E113" s="13">
        <f t="shared" si="22"/>
        <v>35.111792505627136</v>
      </c>
      <c r="F113" s="2">
        <f t="shared" si="23"/>
        <v>3.0531993483154034</v>
      </c>
      <c r="G113" s="37">
        <v>0</v>
      </c>
      <c r="H113" s="39" t="s">
        <v>44</v>
      </c>
      <c r="I113" s="146">
        <f t="shared" si="18"/>
        <v>1</v>
      </c>
      <c r="J113" s="11" t="e">
        <f>C113*(I113)*(1-G113)*(INDEX(Stats!Q:Q,MATCH(K113,Stats!A:A,0)))</f>
        <v>#N/A</v>
      </c>
      <c r="K113" s="39"/>
      <c r="L113" s="1">
        <f>C113*(1+SUMIFS(Stats!S:S,Stats!A:A,K113)*(125-D113)/100*IF(H113="S",0.5,1))</f>
        <v>3053199.3483154029</v>
      </c>
      <c r="M113" s="25">
        <f>D113*(1+SUMIFS(Stats!T:T,Stats!A:A,K113)*SQRT(I113))</f>
        <v>10</v>
      </c>
      <c r="N113" s="3">
        <f t="shared" si="19"/>
        <v>0</v>
      </c>
      <c r="O113" s="28">
        <f t="shared" si="20"/>
        <v>11.500000000000002</v>
      </c>
      <c r="P113" s="1" t="e">
        <f t="shared" si="21"/>
        <v>#N/A</v>
      </c>
      <c r="Q113" s="39">
        <v>4117.6170000000002</v>
      </c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>
        <v>4117.6170000000002</v>
      </c>
    </row>
    <row r="114" spans="2:146" x14ac:dyDescent="0.25">
      <c r="B114" s="85" t="s">
        <v>288</v>
      </c>
      <c r="C114" s="1">
        <f t="shared" si="25"/>
        <v>1240272.5836697756</v>
      </c>
      <c r="D114" s="19">
        <v>10</v>
      </c>
      <c r="E114" s="13">
        <f t="shared" si="22"/>
        <v>14.263134712202421</v>
      </c>
      <c r="F114" s="2">
        <f t="shared" si="23"/>
        <v>1.2402725836697759</v>
      </c>
      <c r="G114" s="37">
        <v>0</v>
      </c>
      <c r="H114" s="39" t="s">
        <v>44</v>
      </c>
      <c r="I114" s="146">
        <f t="shared" si="18"/>
        <v>1</v>
      </c>
      <c r="J114" s="11" t="e">
        <f>C114*(I114)*(1-G114)*(INDEX(Stats!Q:Q,MATCH(K114,Stats!A:A,0)))</f>
        <v>#N/A</v>
      </c>
      <c r="K114" s="39"/>
      <c r="L114" s="1">
        <f>C114*(1+SUMIFS(Stats!S:S,Stats!A:A,K114)*(125-D114)/100*IF(H114="S",0.5,1))</f>
        <v>1240272.5836697756</v>
      </c>
      <c r="M114" s="25">
        <f>D114*(1+SUMIFS(Stats!T:T,Stats!A:A,K114)*SQRT(I114))</f>
        <v>10</v>
      </c>
      <c r="N114" s="3">
        <f t="shared" si="19"/>
        <v>0</v>
      </c>
      <c r="O114" s="28">
        <f t="shared" si="20"/>
        <v>11.5</v>
      </c>
      <c r="P114" s="1" t="e">
        <f t="shared" si="21"/>
        <v>#N/A</v>
      </c>
      <c r="Q114" s="39">
        <v>1672.6610000000001</v>
      </c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>
        <v>1672.6610000000001</v>
      </c>
    </row>
    <row r="115" spans="2:146" x14ac:dyDescent="0.25">
      <c r="B115" s="85" t="s">
        <v>289</v>
      </c>
      <c r="C115" s="1">
        <f t="shared" si="25"/>
        <v>319149.81191948586</v>
      </c>
      <c r="D115" s="19">
        <v>10</v>
      </c>
      <c r="E115" s="13">
        <f t="shared" si="22"/>
        <v>3.6702228370740873</v>
      </c>
      <c r="F115" s="2">
        <f t="shared" si="23"/>
        <v>0.31914981191948588</v>
      </c>
      <c r="G115" s="37">
        <v>0</v>
      </c>
      <c r="H115" s="39" t="s">
        <v>44</v>
      </c>
      <c r="I115" s="146">
        <f t="shared" si="18"/>
        <v>1</v>
      </c>
      <c r="J115" s="11" t="e">
        <f>C115*(I115)*(1-G115)*(INDEX(Stats!Q:Q,MATCH(K115,Stats!A:A,0)))</f>
        <v>#N/A</v>
      </c>
      <c r="K115" s="39"/>
      <c r="L115" s="1">
        <f>C115*(1+SUMIFS(Stats!S:S,Stats!A:A,K115)*(125-D115)/100*IF(H115="S",0.5,1))</f>
        <v>319149.81191948586</v>
      </c>
      <c r="M115" s="25">
        <f>D115*(1+SUMIFS(Stats!T:T,Stats!A:A,K115)*SQRT(I115))</f>
        <v>10</v>
      </c>
      <c r="N115" s="3">
        <f t="shared" si="19"/>
        <v>0</v>
      </c>
      <c r="O115" s="28">
        <f t="shared" si="20"/>
        <v>11.5</v>
      </c>
      <c r="P115" s="1" t="e">
        <f t="shared" si="21"/>
        <v>#N/A</v>
      </c>
      <c r="Q115" s="39">
        <v>430.41300000000001</v>
      </c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>
        <v>430.41300000000001</v>
      </c>
    </row>
    <row r="116" spans="2:146" x14ac:dyDescent="0.25">
      <c r="B116" s="85" t="s">
        <v>290</v>
      </c>
      <c r="C116" s="1">
        <f t="shared" si="25"/>
        <v>3244909.6082813507</v>
      </c>
      <c r="D116" s="19">
        <v>10</v>
      </c>
      <c r="E116" s="13">
        <f t="shared" si="22"/>
        <v>37.316460495235539</v>
      </c>
      <c r="F116" s="2">
        <f t="shared" si="23"/>
        <v>3.2449096082813518</v>
      </c>
      <c r="G116" s="37">
        <v>0</v>
      </c>
      <c r="H116" s="39" t="s">
        <v>44</v>
      </c>
      <c r="I116" s="146">
        <f t="shared" si="18"/>
        <v>1</v>
      </c>
      <c r="J116" s="11" t="e">
        <f>C116*(I116)*(1-G116)*(INDEX(Stats!Q:Q,MATCH(K116,Stats!A:A,0)))</f>
        <v>#N/A</v>
      </c>
      <c r="K116" s="39"/>
      <c r="L116" s="1">
        <f>C116*(1+SUMIFS(Stats!S:S,Stats!A:A,K116)*(125-D116)/100*IF(H116="S",0.5,1))</f>
        <v>3244909.6082813507</v>
      </c>
      <c r="M116" s="25">
        <f>D116*(1+SUMIFS(Stats!T:T,Stats!A:A,K116)*SQRT(I116))</f>
        <v>10</v>
      </c>
      <c r="N116" s="3">
        <f t="shared" si="19"/>
        <v>0</v>
      </c>
      <c r="O116" s="28">
        <f t="shared" si="20"/>
        <v>11.500000000000002</v>
      </c>
      <c r="P116" s="1" t="e">
        <f t="shared" si="21"/>
        <v>#N/A</v>
      </c>
      <c r="Q116" s="39">
        <v>4376.1620000000003</v>
      </c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>
        <v>4376.1620000000003</v>
      </c>
    </row>
    <row r="117" spans="2:146" x14ac:dyDescent="0.25">
      <c r="B117" s="85" t="s">
        <v>291</v>
      </c>
      <c r="C117" s="1">
        <f t="shared" si="25"/>
        <v>1751802.2270601667</v>
      </c>
      <c r="D117" s="19">
        <v>10</v>
      </c>
      <c r="E117" s="13">
        <f t="shared" si="22"/>
        <v>20.145725611191917</v>
      </c>
      <c r="F117" s="2">
        <f t="shared" si="23"/>
        <v>1.7518022270601668</v>
      </c>
      <c r="G117" s="37">
        <v>0</v>
      </c>
      <c r="H117" s="39" t="s">
        <v>44</v>
      </c>
      <c r="I117" s="146">
        <f t="shared" si="18"/>
        <v>1</v>
      </c>
      <c r="J117" s="11" t="e">
        <f>C117*(I117)*(1-G117)*(INDEX(Stats!Q:Q,MATCH(K117,Stats!A:A,0)))</f>
        <v>#N/A</v>
      </c>
      <c r="K117" s="39"/>
      <c r="L117" s="1">
        <f>C117*(1+SUMIFS(Stats!S:S,Stats!A:A,K117)*(125-D117)/100*IF(H117="S",0.5,1))</f>
        <v>1751802.2270601667</v>
      </c>
      <c r="M117" s="25">
        <f>D117*(1+SUMIFS(Stats!T:T,Stats!A:A,K117)*SQRT(I117))</f>
        <v>10</v>
      </c>
      <c r="N117" s="3">
        <f t="shared" si="19"/>
        <v>0</v>
      </c>
      <c r="O117" s="28">
        <f t="shared" si="20"/>
        <v>11.5</v>
      </c>
      <c r="P117" s="1" t="e">
        <f t="shared" si="21"/>
        <v>#N/A</v>
      </c>
      <c r="Q117" s="39">
        <v>2362.5219999999999</v>
      </c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>
        <v>2362.5219999999999</v>
      </c>
    </row>
    <row r="118" spans="2:146" x14ac:dyDescent="0.25">
      <c r="B118" s="85" t="s">
        <v>292</v>
      </c>
      <c r="C118" s="1">
        <f t="shared" si="25"/>
        <v>3624132.5154894758</v>
      </c>
      <c r="D118" s="19">
        <v>10</v>
      </c>
      <c r="E118" s="13">
        <f t="shared" si="22"/>
        <v>41.67752392812897</v>
      </c>
      <c r="F118" s="2">
        <f t="shared" si="23"/>
        <v>3.6241325154894763</v>
      </c>
      <c r="G118" s="37">
        <v>0</v>
      </c>
      <c r="H118" s="39" t="s">
        <v>44</v>
      </c>
      <c r="I118" s="146">
        <f t="shared" si="18"/>
        <v>1</v>
      </c>
      <c r="J118" s="11" t="e">
        <f>C118*(I118)*(1-G118)*(INDEX(Stats!Q:Q,MATCH(K118,Stats!A:A,0)))</f>
        <v>#N/A</v>
      </c>
      <c r="K118" s="39"/>
      <c r="L118" s="1">
        <f>C118*(1+SUMIFS(Stats!S:S,Stats!A:A,K118)*(125-D118)/100*IF(H118="S",0.5,1))</f>
        <v>3624132.5154894758</v>
      </c>
      <c r="M118" s="25">
        <f>D118*(1+SUMIFS(Stats!T:T,Stats!A:A,K118)*SQRT(I118))</f>
        <v>10</v>
      </c>
      <c r="N118" s="3">
        <f t="shared" si="19"/>
        <v>0</v>
      </c>
      <c r="O118" s="28">
        <f t="shared" si="20"/>
        <v>11.5</v>
      </c>
      <c r="P118" s="1" t="e">
        <f t="shared" si="21"/>
        <v>#N/A</v>
      </c>
      <c r="Q118" s="39">
        <v>4887.5910000000003</v>
      </c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>
        <v>4887.5910000000003</v>
      </c>
    </row>
    <row r="119" spans="2:146" x14ac:dyDescent="0.25">
      <c r="B119" s="85" t="s">
        <v>293</v>
      </c>
      <c r="C119" s="1">
        <f t="shared" si="25"/>
        <v>108557.33891506179</v>
      </c>
      <c r="D119" s="19">
        <v>10</v>
      </c>
      <c r="E119" s="13">
        <f t="shared" si="22"/>
        <v>1.2484093975232107</v>
      </c>
      <c r="F119" s="2">
        <f t="shared" si="23"/>
        <v>0.10855733891506181</v>
      </c>
      <c r="G119" s="37">
        <v>0</v>
      </c>
      <c r="H119" s="39" t="s">
        <v>44</v>
      </c>
      <c r="I119" s="146">
        <f t="shared" si="18"/>
        <v>1</v>
      </c>
      <c r="J119" s="11" t="e">
        <f>C119*(I119)*(1-G119)*(INDEX(Stats!Q:Q,MATCH(K119,Stats!A:A,0)))</f>
        <v>#N/A</v>
      </c>
      <c r="K119" s="39"/>
      <c r="L119" s="1">
        <f>C119*(1+SUMIFS(Stats!S:S,Stats!A:A,K119)*(125-D119)/100*IF(H119="S",0.5,1))</f>
        <v>108557.33891506179</v>
      </c>
      <c r="M119" s="25">
        <f>D119*(1+SUMIFS(Stats!T:T,Stats!A:A,K119)*SQRT(I119))</f>
        <v>10</v>
      </c>
      <c r="N119" s="3">
        <f t="shared" si="19"/>
        <v>0</v>
      </c>
      <c r="O119" s="28">
        <f t="shared" si="20"/>
        <v>11.500000000000002</v>
      </c>
      <c r="P119" s="1" t="e">
        <f t="shared" si="21"/>
        <v>#N/A</v>
      </c>
      <c r="Q119" s="39">
        <v>146.40299999999999</v>
      </c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>
        <v>146.40299999999999</v>
      </c>
    </row>
    <row r="120" spans="2:146" x14ac:dyDescent="0.25">
      <c r="B120" s="85" t="s">
        <v>294</v>
      </c>
      <c r="C120" s="1">
        <f t="shared" si="25"/>
        <v>934149.38548129122</v>
      </c>
      <c r="D120" s="19">
        <v>10</v>
      </c>
      <c r="E120" s="13">
        <f t="shared" si="22"/>
        <v>10.742717933034848</v>
      </c>
      <c r="F120" s="2">
        <f t="shared" si="23"/>
        <v>0.93414938548129145</v>
      </c>
      <c r="G120" s="37">
        <v>0</v>
      </c>
      <c r="H120" s="39" t="s">
        <v>44</v>
      </c>
      <c r="I120" s="146">
        <f t="shared" si="18"/>
        <v>1</v>
      </c>
      <c r="J120" s="11" t="e">
        <f>C120*(I120)*(1-G120)*(INDEX(Stats!Q:Q,MATCH(K120,Stats!A:A,0)))</f>
        <v>#N/A</v>
      </c>
      <c r="K120" s="39"/>
      <c r="L120" s="1">
        <f>C120*(1+SUMIFS(Stats!S:S,Stats!A:A,K120)*(125-D120)/100*IF(H120="S",0.5,1))</f>
        <v>934149.38548129122</v>
      </c>
      <c r="M120" s="25">
        <f>D120*(1+SUMIFS(Stats!T:T,Stats!A:A,K120)*SQRT(I120))</f>
        <v>10</v>
      </c>
      <c r="N120" s="3">
        <f t="shared" si="19"/>
        <v>0</v>
      </c>
      <c r="O120" s="28">
        <f t="shared" si="20"/>
        <v>11.5</v>
      </c>
      <c r="P120" s="1" t="e">
        <f t="shared" si="21"/>
        <v>#N/A</v>
      </c>
      <c r="Q120" s="39">
        <v>1259.816</v>
      </c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>
        <v>1259.816</v>
      </c>
    </row>
    <row r="121" spans="2:146" x14ac:dyDescent="0.25">
      <c r="B121" s="85" t="s">
        <v>295</v>
      </c>
      <c r="C121" s="1">
        <f t="shared" si="25"/>
        <v>1933652.0641325093</v>
      </c>
      <c r="D121" s="19">
        <v>10</v>
      </c>
      <c r="E121" s="13">
        <f t="shared" si="22"/>
        <v>22.236998737523859</v>
      </c>
      <c r="F121" s="2">
        <f t="shared" si="23"/>
        <v>1.9336520641325097</v>
      </c>
      <c r="G121" s="37">
        <v>0</v>
      </c>
      <c r="H121" s="39" t="s">
        <v>44</v>
      </c>
      <c r="I121" s="146">
        <f t="shared" si="18"/>
        <v>1</v>
      </c>
      <c r="J121" s="11" t="e">
        <f>C121*(I121)*(1-G121)*(INDEX(Stats!Q:Q,MATCH(K121,Stats!A:A,0)))</f>
        <v>#N/A</v>
      </c>
      <c r="K121" s="39"/>
      <c r="L121" s="1">
        <f>C121*(1+SUMIFS(Stats!S:S,Stats!A:A,K121)*(125-D121)/100*IF(H121="S",0.5,1))</f>
        <v>1933652.0641325093</v>
      </c>
      <c r="M121" s="25">
        <f>D121*(1+SUMIFS(Stats!T:T,Stats!A:A,K121)*SQRT(I121))</f>
        <v>10</v>
      </c>
      <c r="N121" s="3">
        <f t="shared" si="19"/>
        <v>0</v>
      </c>
      <c r="O121" s="28">
        <f t="shared" si="20"/>
        <v>11.500000000000002</v>
      </c>
      <c r="P121" s="1" t="e">
        <f t="shared" si="21"/>
        <v>#N/A</v>
      </c>
      <c r="Q121" s="39">
        <v>2607.7689999999998</v>
      </c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>
        <v>2607.7689999999998</v>
      </c>
    </row>
    <row r="122" spans="2:146" x14ac:dyDescent="0.25">
      <c r="B122" s="85" t="s">
        <v>296</v>
      </c>
      <c r="C122" s="1">
        <f t="shared" si="25"/>
        <v>109783.77442912578</v>
      </c>
      <c r="D122" s="19">
        <v>10</v>
      </c>
      <c r="E122" s="13">
        <f t="shared" si="22"/>
        <v>1.2625134059349463</v>
      </c>
      <c r="F122" s="2">
        <f t="shared" si="23"/>
        <v>0.1097837744291258</v>
      </c>
      <c r="G122" s="37">
        <v>0</v>
      </c>
      <c r="H122" s="39" t="s">
        <v>44</v>
      </c>
      <c r="I122" s="146">
        <f t="shared" si="18"/>
        <v>1</v>
      </c>
      <c r="J122" s="11" t="e">
        <f>C122*(I122)*(1-G122)*(INDEX(Stats!Q:Q,MATCH(K122,Stats!A:A,0)))</f>
        <v>#N/A</v>
      </c>
      <c r="K122" s="39"/>
      <c r="L122" s="1">
        <f>C122*(1+SUMIFS(Stats!S:S,Stats!A:A,K122)*(125-D122)/100*IF(H122="S",0.5,1))</f>
        <v>109783.77442912578</v>
      </c>
      <c r="M122" s="25">
        <f>D122*(1+SUMIFS(Stats!T:T,Stats!A:A,K122)*SQRT(I122))</f>
        <v>10</v>
      </c>
      <c r="N122" s="3">
        <f t="shared" si="19"/>
        <v>0</v>
      </c>
      <c r="O122" s="28">
        <f t="shared" si="20"/>
        <v>11.499999999999998</v>
      </c>
      <c r="P122" s="1" t="e">
        <f t="shared" si="21"/>
        <v>#N/A</v>
      </c>
      <c r="Q122" s="39">
        <v>148.05699999999999</v>
      </c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>
        <v>148.05699999999999</v>
      </c>
    </row>
    <row r="123" spans="2:146" x14ac:dyDescent="0.25">
      <c r="B123" s="85" t="s">
        <v>297</v>
      </c>
      <c r="C123" s="1">
        <f t="shared" si="25"/>
        <v>612704.64132720546</v>
      </c>
      <c r="D123" s="19">
        <v>10</v>
      </c>
      <c r="E123" s="13">
        <f t="shared" si="22"/>
        <v>7.046103375262863</v>
      </c>
      <c r="F123" s="2">
        <f t="shared" si="23"/>
        <v>0.61270464132720559</v>
      </c>
      <c r="G123" s="37">
        <v>0</v>
      </c>
      <c r="H123" s="39" t="s">
        <v>44</v>
      </c>
      <c r="I123" s="146">
        <f t="shared" si="18"/>
        <v>1</v>
      </c>
      <c r="J123" s="11" t="e">
        <f>C123*(I123)*(1-G123)*(INDEX(Stats!Q:Q,MATCH(K123,Stats!A:A,0)))</f>
        <v>#N/A</v>
      </c>
      <c r="K123" s="39" t="s">
        <v>279</v>
      </c>
      <c r="L123" s="1">
        <f>C123*(1+SUMIFS(Stats!S:S,Stats!A:A,K123)*(125-D123)/100*IF(H123="S",0.5,1))</f>
        <v>612704.64132720546</v>
      </c>
      <c r="M123" s="25">
        <f>D123*(1+SUMIFS(Stats!T:T,Stats!A:A,K123)*SQRT(I123))</f>
        <v>10</v>
      </c>
      <c r="N123" s="3">
        <f t="shared" si="19"/>
        <v>0</v>
      </c>
      <c r="O123" s="28">
        <f t="shared" si="20"/>
        <v>11.5</v>
      </c>
      <c r="P123" s="1" t="e">
        <f t="shared" si="21"/>
        <v>#N/A</v>
      </c>
      <c r="Q123" s="39">
        <v>826.30799999999999</v>
      </c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>
        <v>826.30799999999999</v>
      </c>
    </row>
    <row r="124" spans="2:146" x14ac:dyDescent="0.25">
      <c r="B124" s="85" t="s">
        <v>298</v>
      </c>
      <c r="C124" s="1">
        <f t="shared" si="25"/>
        <v>2120894.0650853072</v>
      </c>
      <c r="D124" s="19">
        <v>20</v>
      </c>
      <c r="E124" s="13">
        <f t="shared" si="22"/>
        <v>25.450728781023688</v>
      </c>
      <c r="F124" s="2">
        <f t="shared" si="23"/>
        <v>8.4835762603412306</v>
      </c>
      <c r="G124" s="37">
        <v>0</v>
      </c>
      <c r="H124" s="39" t="s">
        <v>214</v>
      </c>
      <c r="I124" s="146">
        <f t="shared" si="18"/>
        <v>0.75</v>
      </c>
      <c r="J124" s="11">
        <f>C124*(I124)*(1-G124)*(INDEX(Stats!Q:Q,MATCH(K124,Stats!A:A,0)))</f>
        <v>183656.9882391557</v>
      </c>
      <c r="K124" s="39" t="s">
        <v>28</v>
      </c>
      <c r="L124" s="1">
        <f>C124*(1+SUMIFS(Stats!S:S,Stats!A:A,K124)*(125-D124)/100*IF(H124="S",0.5,1))</f>
        <v>2209971.6158188903</v>
      </c>
      <c r="M124" s="25">
        <f>D124*(1+SUMIFS(Stats!T:T,Stats!A:A,K124)*SQRT(I124))</f>
        <v>20.053128931236294</v>
      </c>
      <c r="N124" s="3">
        <f t="shared" si="19"/>
        <v>4.0307101727447281E-2</v>
      </c>
      <c r="O124" s="28">
        <f t="shared" si="20"/>
        <v>16</v>
      </c>
      <c r="P124" s="1">
        <f t="shared" si="21"/>
        <v>5</v>
      </c>
      <c r="Q124" s="39">
        <v>2860.288</v>
      </c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>
        <v>2860.288</v>
      </c>
    </row>
    <row r="125" spans="2:146" x14ac:dyDescent="0.25">
      <c r="B125" s="85" t="s">
        <v>299</v>
      </c>
      <c r="C125" s="1">
        <f t="shared" si="25"/>
        <v>44516.494874453725</v>
      </c>
      <c r="D125" s="19">
        <v>10</v>
      </c>
      <c r="E125" s="13">
        <f t="shared" si="22"/>
        <v>0.51193969105621784</v>
      </c>
      <c r="F125" s="2">
        <f t="shared" si="23"/>
        <v>4.4516494874453735E-2</v>
      </c>
      <c r="G125" s="37">
        <v>0</v>
      </c>
      <c r="H125" s="39" t="s">
        <v>44</v>
      </c>
      <c r="I125" s="146">
        <f t="shared" si="18"/>
        <v>1</v>
      </c>
      <c r="J125" s="11" t="e">
        <f>C125*(I125)*(1-G125)*(INDEX(Stats!Q:Q,MATCH(K125,Stats!A:A,0)))</f>
        <v>#N/A</v>
      </c>
      <c r="K125" s="39"/>
      <c r="L125" s="1">
        <f>C125*(1+SUMIFS(Stats!S:S,Stats!A:A,K125)*(125-D125)/100*IF(H125="S",0.5,1))</f>
        <v>44516.494874453725</v>
      </c>
      <c r="M125" s="25">
        <f>D125*(1+SUMIFS(Stats!T:T,Stats!A:A,K125)*SQRT(I125))</f>
        <v>10</v>
      </c>
      <c r="N125" s="3">
        <f t="shared" si="19"/>
        <v>0</v>
      </c>
      <c r="O125" s="28">
        <f t="shared" si="20"/>
        <v>11.5</v>
      </c>
      <c r="P125" s="1" t="e">
        <f t="shared" si="21"/>
        <v>#N/A</v>
      </c>
      <c r="Q125" s="39">
        <v>60.036000000000001</v>
      </c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>
        <v>60.036000000000001</v>
      </c>
    </row>
    <row r="126" spans="2:146" x14ac:dyDescent="0.25">
      <c r="B126" s="85" t="s">
        <v>300</v>
      </c>
      <c r="C126" s="1">
        <f t="shared" si="25"/>
        <v>15718017.568654705</v>
      </c>
      <c r="D126" s="19">
        <v>18</v>
      </c>
      <c r="E126" s="13">
        <f t="shared" si="22"/>
        <v>58.392435267552223</v>
      </c>
      <c r="F126" s="2">
        <f t="shared" si="23"/>
        <v>50.926376922441243</v>
      </c>
      <c r="G126" s="37">
        <v>0</v>
      </c>
      <c r="H126" s="39" t="s">
        <v>215</v>
      </c>
      <c r="I126" s="146">
        <f t="shared" si="18"/>
        <v>0.25</v>
      </c>
      <c r="J126" s="11">
        <f>C126*(I126)*(1-G126)*(INDEX(Stats!Q:Q,MATCH(K126,Stats!A:A,0)))</f>
        <v>310459.55952292145</v>
      </c>
      <c r="K126" s="39" t="s">
        <v>23</v>
      </c>
      <c r="L126" s="1">
        <f>C126*(1+SUMIFS(Stats!S:S,Stats!A:A,K126)*(125-D126)/100*IF(H126="S",0.5,1))</f>
        <v>16383753.729509018</v>
      </c>
      <c r="M126" s="25">
        <f>D126*(1+SUMIFS(Stats!T:T,Stats!A:A,K126)*SQRT(I126))</f>
        <v>18.030925</v>
      </c>
      <c r="N126" s="3">
        <f t="shared" si="19"/>
        <v>4.0633921373906298E-2</v>
      </c>
      <c r="O126" s="28">
        <f t="shared" si="20"/>
        <v>14.859999999999998</v>
      </c>
      <c r="P126" s="1">
        <f t="shared" si="21"/>
        <v>1</v>
      </c>
      <c r="Q126" s="39">
        <v>21197.690999999999</v>
      </c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>
        <v>7049</v>
      </c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>
        <v>12144</v>
      </c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>
        <v>21197.690999999999</v>
      </c>
    </row>
    <row r="127" spans="2:146" x14ac:dyDescent="0.25">
      <c r="B127" s="85" t="s">
        <v>301</v>
      </c>
      <c r="C127" s="1">
        <f t="shared" si="25"/>
        <v>156607.06548511103</v>
      </c>
      <c r="D127" s="19">
        <v>10</v>
      </c>
      <c r="E127" s="13">
        <f t="shared" si="22"/>
        <v>1.800981253078777</v>
      </c>
      <c r="F127" s="2">
        <f t="shared" si="23"/>
        <v>0.15660706548511108</v>
      </c>
      <c r="G127" s="37">
        <v>0</v>
      </c>
      <c r="H127" s="39" t="s">
        <v>44</v>
      </c>
      <c r="I127" s="146">
        <f t="shared" si="18"/>
        <v>1</v>
      </c>
      <c r="J127" s="11" t="e">
        <f>C127*(I127)*(1-G127)*(INDEX(Stats!Q:Q,MATCH(K127,Stats!A:A,0)))</f>
        <v>#N/A</v>
      </c>
      <c r="K127" s="39"/>
      <c r="L127" s="1">
        <f>C127*(1+SUMIFS(Stats!S:S,Stats!A:A,K127)*(125-D127)/100*IF(H127="S",0.5,1))</f>
        <v>156607.06548511103</v>
      </c>
      <c r="M127" s="25">
        <f>D127*(1+SUMIFS(Stats!T:T,Stats!A:A,K127)*SQRT(I127))</f>
        <v>10</v>
      </c>
      <c r="N127" s="3">
        <f t="shared" si="19"/>
        <v>0</v>
      </c>
      <c r="O127" s="28">
        <f t="shared" si="20"/>
        <v>11.500000000000002</v>
      </c>
      <c r="P127" s="1" t="e">
        <f t="shared" si="21"/>
        <v>#N/A</v>
      </c>
      <c r="Q127" s="39">
        <v>211.20400000000001</v>
      </c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>
        <v>211.20400000000001</v>
      </c>
    </row>
    <row r="128" spans="2:146" x14ac:dyDescent="0.25">
      <c r="B128" s="85" t="s">
        <v>302</v>
      </c>
      <c r="C128" s="1">
        <f t="shared" si="25"/>
        <v>15999327.32183555</v>
      </c>
      <c r="D128" s="19">
        <v>10</v>
      </c>
      <c r="E128" s="13">
        <f t="shared" si="22"/>
        <v>183.99226420110881</v>
      </c>
      <c r="F128" s="2">
        <f t="shared" si="23"/>
        <v>15.999327321835553</v>
      </c>
      <c r="G128" s="37">
        <v>0</v>
      </c>
      <c r="H128" s="39" t="s">
        <v>44</v>
      </c>
      <c r="I128" s="146">
        <f t="shared" si="18"/>
        <v>1</v>
      </c>
      <c r="J128" s="11">
        <f>C128*(I128)*(1-G128)*(INDEX(Stats!Q:Q,MATCH(K128,Stats!A:A,0)))</f>
        <v>1083496.1129371997</v>
      </c>
      <c r="K128" s="39" t="s">
        <v>84</v>
      </c>
      <c r="L128" s="1">
        <f>C128*(1+SUMIFS(Stats!S:S,Stats!A:A,K128)*(125-D128)/100*IF(H128="S",0.5,1))</f>
        <v>16643300.246539429</v>
      </c>
      <c r="M128" s="25">
        <f>D128*(1+SUMIFS(Stats!T:T,Stats!A:A,K128)*SQRT(I128))</f>
        <v>10.035869565217393</v>
      </c>
      <c r="N128" s="3">
        <f t="shared" si="19"/>
        <v>3.8692621965873496E-2</v>
      </c>
      <c r="O128" s="28">
        <f t="shared" si="20"/>
        <v>11.5</v>
      </c>
      <c r="P128" s="1">
        <f t="shared" si="21"/>
        <v>6</v>
      </c>
      <c r="Q128" s="39">
        <v>21577.072</v>
      </c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>
        <v>21577.072</v>
      </c>
    </row>
    <row r="129" spans="2:146" x14ac:dyDescent="0.25">
      <c r="B129" s="85" t="s">
        <v>303</v>
      </c>
      <c r="C129" s="1">
        <f t="shared" si="25"/>
        <v>308289.85149688524</v>
      </c>
      <c r="D129" s="19">
        <v>10</v>
      </c>
      <c r="E129" s="13">
        <f t="shared" si="22"/>
        <v>3.5453332922141807</v>
      </c>
      <c r="F129" s="2">
        <f t="shared" si="23"/>
        <v>0.30828985149688526</v>
      </c>
      <c r="G129" s="37">
        <v>0</v>
      </c>
      <c r="H129" s="39" t="s">
        <v>44</v>
      </c>
      <c r="I129" s="146">
        <f t="shared" si="18"/>
        <v>1</v>
      </c>
      <c r="J129" s="11" t="e">
        <f>C129*(I129)*(1-G129)*(INDEX(Stats!Q:Q,MATCH(K129,Stats!A:A,0)))</f>
        <v>#N/A</v>
      </c>
      <c r="K129" s="39"/>
      <c r="L129" s="1">
        <f>C129*(1+SUMIFS(Stats!S:S,Stats!A:A,K129)*(125-D129)/100*IF(H129="S",0.5,1))</f>
        <v>308289.85149688524</v>
      </c>
      <c r="M129" s="25">
        <f>D129*(1+SUMIFS(Stats!T:T,Stats!A:A,K129)*SQRT(I129))</f>
        <v>10</v>
      </c>
      <c r="N129" s="3">
        <f t="shared" si="19"/>
        <v>0</v>
      </c>
      <c r="O129" s="28">
        <f t="shared" si="20"/>
        <v>11.500000000000002</v>
      </c>
      <c r="P129" s="1" t="e">
        <f t="shared" si="21"/>
        <v>#N/A</v>
      </c>
      <c r="Q129" s="39">
        <v>415.767</v>
      </c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>
        <v>415.767</v>
      </c>
    </row>
    <row r="130" spans="2:146" x14ac:dyDescent="0.25">
      <c r="B130" s="85" t="s">
        <v>304</v>
      </c>
      <c r="C130" s="1">
        <f t="shared" si="25"/>
        <v>201219.21343170153</v>
      </c>
      <c r="D130" s="19">
        <v>10</v>
      </c>
      <c r="E130" s="13">
        <f t="shared" si="22"/>
        <v>2.314020954464568</v>
      </c>
      <c r="F130" s="2">
        <f t="shared" si="23"/>
        <v>0.20121921343170157</v>
      </c>
      <c r="G130" s="37">
        <v>0</v>
      </c>
      <c r="H130" s="39" t="s">
        <v>44</v>
      </c>
      <c r="I130" s="146">
        <f t="shared" si="18"/>
        <v>1</v>
      </c>
      <c r="J130" s="11" t="e">
        <f>C130*(I130)*(1-G130)*(INDEX(Stats!Q:Q,MATCH(K130,Stats!A:A,0)))</f>
        <v>#N/A</v>
      </c>
      <c r="K130" s="39"/>
      <c r="L130" s="1">
        <f>C130*(1+SUMIFS(Stats!S:S,Stats!A:A,K130)*(125-D130)/100*IF(H130="S",0.5,1))</f>
        <v>201219.21343170153</v>
      </c>
      <c r="M130" s="25">
        <f>D130*(1+SUMIFS(Stats!T:T,Stats!A:A,K130)*SQRT(I130))</f>
        <v>10</v>
      </c>
      <c r="N130" s="3">
        <f t="shared" si="19"/>
        <v>0</v>
      </c>
      <c r="O130" s="28">
        <f t="shared" si="20"/>
        <v>11.500000000000002</v>
      </c>
      <c r="P130" s="1" t="e">
        <f t="shared" si="21"/>
        <v>#N/A</v>
      </c>
      <c r="Q130" s="39">
        <v>271.36900000000003</v>
      </c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>
        <v>271.36900000000003</v>
      </c>
    </row>
    <row r="131" spans="2:146" x14ac:dyDescent="0.25">
      <c r="B131" s="85" t="s">
        <v>305</v>
      </c>
      <c r="C131" s="1">
        <f t="shared" si="25"/>
        <v>3928044.5705685653</v>
      </c>
      <c r="D131" s="19">
        <v>10</v>
      </c>
      <c r="E131" s="13">
        <f t="shared" si="22"/>
        <v>45.172512561538497</v>
      </c>
      <c r="F131" s="2">
        <f t="shared" si="23"/>
        <v>3.9280445705685665</v>
      </c>
      <c r="G131" s="37">
        <v>0</v>
      </c>
      <c r="H131" s="39" t="s">
        <v>44</v>
      </c>
      <c r="I131" s="146">
        <f t="shared" ref="I131:I163" si="26">IF(H131="P",1,IF(H131="A",0.75,IF(H131="C",0.25,IF(H131="S",0.1,0))))</f>
        <v>1</v>
      </c>
      <c r="J131" s="11" t="e">
        <f>C131*(I131)*(1-G131)*(INDEX(Stats!Q:Q,MATCH(K131,Stats!A:A,0)))</f>
        <v>#N/A</v>
      </c>
      <c r="K131" s="39"/>
      <c r="L131" s="1">
        <f>C131*(1+SUMIFS(Stats!S:S,Stats!A:A,K131)*(125-D131)/100*IF(H131="S",0.5,1))</f>
        <v>3928044.5705685653</v>
      </c>
      <c r="M131" s="25">
        <f>D131*(1+SUMIFS(Stats!T:T,Stats!A:A,K131)*SQRT(I131))</f>
        <v>10</v>
      </c>
      <c r="N131" s="3">
        <f t="shared" ref="N131:N163" si="27">(L131-C131)/L131</f>
        <v>0</v>
      </c>
      <c r="O131" s="28">
        <f t="shared" ref="O131:O163" si="28">E131/C131*1000000/I131</f>
        <v>11.499999999999998</v>
      </c>
      <c r="P131" s="1" t="e">
        <f t="shared" ref="P131:P163" si="29">ROUND(J131/E131*I131/1000,0.1)</f>
        <v>#N/A</v>
      </c>
      <c r="Q131" s="39">
        <v>5297.4539999999997</v>
      </c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>
        <v>1579</v>
      </c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>
        <v>2043</v>
      </c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>
        <v>5297.4539999999997</v>
      </c>
    </row>
    <row r="132" spans="2:146" x14ac:dyDescent="0.25">
      <c r="B132" s="85" t="s">
        <v>306</v>
      </c>
      <c r="C132" s="1">
        <f t="shared" si="25"/>
        <v>1917146.3479637881</v>
      </c>
      <c r="D132" s="19">
        <v>10</v>
      </c>
      <c r="E132" s="13">
        <f t="shared" si="22"/>
        <v>22.047183001583562</v>
      </c>
      <c r="F132" s="2">
        <f t="shared" si="23"/>
        <v>1.9171463479637885</v>
      </c>
      <c r="G132" s="37">
        <v>0</v>
      </c>
      <c r="H132" s="39" t="s">
        <v>44</v>
      </c>
      <c r="I132" s="146">
        <f t="shared" si="26"/>
        <v>1</v>
      </c>
      <c r="J132" s="11" t="e">
        <f>C132*(I132)*(1-G132)*(INDEX(Stats!Q:Q,MATCH(K132,Stats!A:A,0)))</f>
        <v>#N/A</v>
      </c>
      <c r="K132" s="39"/>
      <c r="L132" s="1">
        <f>C132*(1+SUMIFS(Stats!S:S,Stats!A:A,K132)*(125-D132)/100*IF(H132="S",0.5,1))</f>
        <v>1917146.3479637881</v>
      </c>
      <c r="M132" s="25">
        <f>D132*(1+SUMIFS(Stats!T:T,Stats!A:A,K132)*SQRT(I132))</f>
        <v>10</v>
      </c>
      <c r="N132" s="3">
        <f t="shared" si="27"/>
        <v>0</v>
      </c>
      <c r="O132" s="28">
        <f t="shared" si="28"/>
        <v>11.5</v>
      </c>
      <c r="P132" s="1" t="e">
        <f t="shared" si="29"/>
        <v>#N/A</v>
      </c>
      <c r="Q132" s="39">
        <v>2585.509</v>
      </c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>
        <v>2585.509</v>
      </c>
    </row>
    <row r="133" spans="2:146" x14ac:dyDescent="0.25">
      <c r="B133" s="85" t="s">
        <v>307</v>
      </c>
      <c r="C133" s="1">
        <f t="shared" si="25"/>
        <v>425076.32060244418</v>
      </c>
      <c r="D133" s="19">
        <v>10</v>
      </c>
      <c r="E133" s="13">
        <f t="shared" si="22"/>
        <v>4.8883776869281084</v>
      </c>
      <c r="F133" s="2">
        <f t="shared" si="23"/>
        <v>0.42507632060244427</v>
      </c>
      <c r="G133" s="37">
        <v>0</v>
      </c>
      <c r="H133" s="39" t="s">
        <v>44</v>
      </c>
      <c r="I133" s="146">
        <f t="shared" si="26"/>
        <v>1</v>
      </c>
      <c r="J133" s="11" t="e">
        <f>C133*(I133)*(1-G133)*(INDEX(Stats!Q:Q,MATCH(K133,Stats!A:A,0)))</f>
        <v>#N/A</v>
      </c>
      <c r="K133" s="39"/>
      <c r="L133" s="1">
        <f>C133*(1+SUMIFS(Stats!S:S,Stats!A:A,K133)*(125-D133)/100*IF(H133="S",0.5,1))</f>
        <v>425076.32060244418</v>
      </c>
      <c r="M133" s="25">
        <f>D133*(1+SUMIFS(Stats!T:T,Stats!A:A,K133)*SQRT(I133))</f>
        <v>10</v>
      </c>
      <c r="N133" s="3">
        <f t="shared" si="27"/>
        <v>0</v>
      </c>
      <c r="O133" s="28">
        <f t="shared" si="28"/>
        <v>11.5</v>
      </c>
      <c r="P133" s="1" t="e">
        <f t="shared" si="29"/>
        <v>#N/A</v>
      </c>
      <c r="Q133" s="39">
        <v>573.26800000000003</v>
      </c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>
        <v>573.26800000000003</v>
      </c>
    </row>
    <row r="134" spans="2:146" x14ac:dyDescent="0.25">
      <c r="B134" s="85" t="s">
        <v>308</v>
      </c>
      <c r="C134" s="1">
        <f t="shared" si="25"/>
        <v>4538837.6334464019</v>
      </c>
      <c r="D134" s="19">
        <v>10</v>
      </c>
      <c r="E134" s="13">
        <f t="shared" si="22"/>
        <v>52.196632784633621</v>
      </c>
      <c r="F134" s="2">
        <f t="shared" si="23"/>
        <v>4.5388376334464029</v>
      </c>
      <c r="G134" s="37">
        <v>0</v>
      </c>
      <c r="H134" s="39" t="s">
        <v>44</v>
      </c>
      <c r="I134" s="146">
        <f t="shared" si="26"/>
        <v>1</v>
      </c>
      <c r="J134" s="11" t="e">
        <f>C134*(I134)*(1-G134)*(INDEX(Stats!Q:Q,MATCH(K134,Stats!A:A,0)))</f>
        <v>#N/A</v>
      </c>
      <c r="K134" s="39"/>
      <c r="L134" s="1">
        <f>C134*(1+SUMIFS(Stats!S:S,Stats!A:A,K134)*(125-D134)/100*IF(H134="S",0.5,1))</f>
        <v>4538837.6334464019</v>
      </c>
      <c r="M134" s="25">
        <f>D134*(1+SUMIFS(Stats!T:T,Stats!A:A,K134)*SQRT(I134))</f>
        <v>10</v>
      </c>
      <c r="N134" s="3">
        <f t="shared" si="27"/>
        <v>0</v>
      </c>
      <c r="O134" s="28">
        <f t="shared" si="28"/>
        <v>11.5</v>
      </c>
      <c r="P134" s="1" t="e">
        <f t="shared" si="29"/>
        <v>#N/A</v>
      </c>
      <c r="Q134" s="39">
        <v>6121.1840000000002</v>
      </c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>
        <v>6121.1840000000002</v>
      </c>
    </row>
    <row r="135" spans="2:146" x14ac:dyDescent="0.25">
      <c r="B135" s="85" t="s">
        <v>309</v>
      </c>
      <c r="C135" s="1">
        <f t="shared" si="25"/>
        <v>538461.54442202277</v>
      </c>
      <c r="D135" s="19">
        <v>10</v>
      </c>
      <c r="E135" s="13">
        <f t="shared" si="22"/>
        <v>6.1923077608532617</v>
      </c>
      <c r="F135" s="2">
        <f t="shared" si="23"/>
        <v>0.53846154442202288</v>
      </c>
      <c r="G135" s="37">
        <v>0</v>
      </c>
      <c r="H135" s="39" t="s">
        <v>44</v>
      </c>
      <c r="I135" s="146">
        <f t="shared" si="26"/>
        <v>1</v>
      </c>
      <c r="J135" s="11" t="e">
        <f>C135*(I135)*(1-G135)*(INDEX(Stats!Q:Q,MATCH(K135,Stats!A:A,0)))</f>
        <v>#N/A</v>
      </c>
      <c r="K135" s="39"/>
      <c r="L135" s="1">
        <f>C135*(1+SUMIFS(Stats!S:S,Stats!A:A,K135)*(125-D135)/100*IF(H135="S",0.5,1))</f>
        <v>538461.54442202277</v>
      </c>
      <c r="M135" s="25">
        <f>D135*(1+SUMIFS(Stats!T:T,Stats!A:A,K135)*SQRT(I135))</f>
        <v>10</v>
      </c>
      <c r="N135" s="3">
        <f t="shared" si="27"/>
        <v>0</v>
      </c>
      <c r="O135" s="28">
        <f t="shared" si="28"/>
        <v>11.5</v>
      </c>
      <c r="P135" s="1" t="e">
        <f t="shared" si="29"/>
        <v>#N/A</v>
      </c>
      <c r="Q135" s="39">
        <v>726.18200000000002</v>
      </c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>
        <v>726.18200000000002</v>
      </c>
    </row>
    <row r="136" spans="2:146" x14ac:dyDescent="0.25">
      <c r="B136" s="85" t="s">
        <v>310</v>
      </c>
      <c r="C136" s="1">
        <f t="shared" si="25"/>
        <v>610907.99486373691</v>
      </c>
      <c r="D136" s="19">
        <v>10</v>
      </c>
      <c r="E136" s="13">
        <f t="shared" si="22"/>
        <v>7.0254419409329749</v>
      </c>
      <c r="F136" s="2">
        <f t="shared" si="23"/>
        <v>0.61090799486373704</v>
      </c>
      <c r="G136" s="37">
        <v>0</v>
      </c>
      <c r="H136" s="39" t="s">
        <v>44</v>
      </c>
      <c r="I136" s="146">
        <f t="shared" si="26"/>
        <v>1</v>
      </c>
      <c r="J136" s="11" t="e">
        <f>C136*(I136)*(1-G136)*(INDEX(Stats!Q:Q,MATCH(K136,Stats!A:A,0)))</f>
        <v>#N/A</v>
      </c>
      <c r="K136" s="39"/>
      <c r="L136" s="1">
        <f>C136*(1+SUMIFS(Stats!S:S,Stats!A:A,K136)*(125-D136)/100*IF(H136="S",0.5,1))</f>
        <v>610907.99486373691</v>
      </c>
      <c r="M136" s="25">
        <f>D136*(1+SUMIFS(Stats!T:T,Stats!A:A,K136)*SQRT(I136))</f>
        <v>10</v>
      </c>
      <c r="N136" s="3">
        <f t="shared" si="27"/>
        <v>0</v>
      </c>
      <c r="O136" s="28">
        <f t="shared" si="28"/>
        <v>11.5</v>
      </c>
      <c r="P136" s="1" t="e">
        <f t="shared" si="29"/>
        <v>#N/A</v>
      </c>
      <c r="Q136" s="39">
        <v>823.88499999999999</v>
      </c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>
        <v>823.88499999999999</v>
      </c>
    </row>
    <row r="137" spans="2:146" x14ac:dyDescent="0.25">
      <c r="B137" s="85" t="s">
        <v>311</v>
      </c>
      <c r="C137" s="1">
        <f t="shared" si="25"/>
        <v>712804.46907333506</v>
      </c>
      <c r="D137" s="19">
        <v>10</v>
      </c>
      <c r="E137" s="13">
        <f t="shared" si="22"/>
        <v>2.0493128485858385</v>
      </c>
      <c r="F137" s="2">
        <f t="shared" si="23"/>
        <v>0.71280446907333506</v>
      </c>
      <c r="G137" s="37">
        <v>0</v>
      </c>
      <c r="H137" s="39" t="s">
        <v>215</v>
      </c>
      <c r="I137" s="146">
        <f t="shared" si="26"/>
        <v>0.25</v>
      </c>
      <c r="J137" s="11">
        <f>C137*(I137)*(1-G137)*(INDEX(Stats!Q:Q,MATCH(K137,Stats!A:A,0)))</f>
        <v>12055.994337247274</v>
      </c>
      <c r="K137" s="39" t="s">
        <v>26</v>
      </c>
      <c r="L137" s="1">
        <f>C137*(1+SUMIFS(Stats!S:S,Stats!A:A,K137)*(125-D137)/100*IF(H137="S",0.5,1))</f>
        <v>743544.16180212272</v>
      </c>
      <c r="M137" s="25">
        <f>D137*(1+SUMIFS(Stats!T:T,Stats!A:A,K137)*SQRT(I137))</f>
        <v>10.018693508627774</v>
      </c>
      <c r="N137" s="3">
        <f t="shared" si="27"/>
        <v>4.134212103055733E-2</v>
      </c>
      <c r="O137" s="28">
        <f t="shared" si="28"/>
        <v>11.500000000000002</v>
      </c>
      <c r="P137" s="1">
        <f t="shared" si="29"/>
        <v>1</v>
      </c>
      <c r="Q137" s="39">
        <v>961.30499999999995</v>
      </c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>
        <v>961.30499999999995</v>
      </c>
    </row>
    <row r="138" spans="2:146" x14ac:dyDescent="0.25">
      <c r="B138" s="85" t="s">
        <v>312</v>
      </c>
      <c r="C138" s="1">
        <f t="shared" si="25"/>
        <v>3426038.7105775927</v>
      </c>
      <c r="D138" s="19">
        <v>10</v>
      </c>
      <c r="E138" s="13">
        <f t="shared" si="22"/>
        <v>39.39944517164232</v>
      </c>
      <c r="F138" s="2">
        <f t="shared" si="23"/>
        <v>3.4260387105775929</v>
      </c>
      <c r="G138" s="37">
        <v>0</v>
      </c>
      <c r="H138" s="39" t="s">
        <v>44</v>
      </c>
      <c r="I138" s="146">
        <f t="shared" si="26"/>
        <v>1</v>
      </c>
      <c r="J138" s="11" t="e">
        <f>C138*(I138)*(1-G138)*(INDEX(Stats!Q:Q,MATCH(K138,Stats!A:A,0)))</f>
        <v>#N/A</v>
      </c>
      <c r="K138" s="39"/>
      <c r="L138" s="1">
        <f>C138*(1+SUMIFS(Stats!S:S,Stats!A:A,K138)*(125-D138)/100*IF(H138="S",0.5,1))</f>
        <v>3426038.7105775927</v>
      </c>
      <c r="M138" s="25">
        <f>D138*(1+SUMIFS(Stats!T:T,Stats!A:A,K138)*SQRT(I138))</f>
        <v>10</v>
      </c>
      <c r="N138" s="3">
        <f t="shared" si="27"/>
        <v>0</v>
      </c>
      <c r="O138" s="28">
        <f t="shared" si="28"/>
        <v>11.500000000000002</v>
      </c>
      <c r="P138" s="1" t="e">
        <f t="shared" si="29"/>
        <v>#N/A</v>
      </c>
      <c r="Q138" s="39">
        <v>4620.4369999999999</v>
      </c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>
        <v>4620.4369999999999</v>
      </c>
    </row>
    <row r="139" spans="2:146" x14ac:dyDescent="0.25">
      <c r="B139" s="85" t="s">
        <v>313</v>
      </c>
      <c r="C139" s="1">
        <f t="shared" si="25"/>
        <v>2088499.5579883133</v>
      </c>
      <c r="D139" s="19">
        <v>10</v>
      </c>
      <c r="E139" s="13">
        <f t="shared" si="22"/>
        <v>24.017744916865603</v>
      </c>
      <c r="F139" s="2">
        <f t="shared" si="23"/>
        <v>2.0884995579883139</v>
      </c>
      <c r="G139" s="37">
        <v>0</v>
      </c>
      <c r="H139" s="39" t="s">
        <v>44</v>
      </c>
      <c r="I139" s="146">
        <f t="shared" si="26"/>
        <v>1</v>
      </c>
      <c r="J139" s="11" t="e">
        <f>C139*(I139)*(1-G139)*(INDEX(Stats!Q:Q,MATCH(K139,Stats!A:A,0)))</f>
        <v>#N/A</v>
      </c>
      <c r="K139" s="39"/>
      <c r="L139" s="1">
        <f>C139*(1+SUMIFS(Stats!S:S,Stats!A:A,K139)*(125-D139)/100*IF(H139="S",0.5,1))</f>
        <v>2088499.5579883133</v>
      </c>
      <c r="M139" s="25">
        <f>D139*(1+SUMIFS(Stats!T:T,Stats!A:A,K139)*SQRT(I139))</f>
        <v>10</v>
      </c>
      <c r="N139" s="3">
        <f t="shared" si="27"/>
        <v>0</v>
      </c>
      <c r="O139" s="28">
        <f t="shared" si="28"/>
        <v>11.5</v>
      </c>
      <c r="P139" s="1" t="e">
        <f t="shared" si="29"/>
        <v>#N/A</v>
      </c>
      <c r="Q139" s="39">
        <v>2816.6</v>
      </c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>
        <v>2816.6</v>
      </c>
    </row>
    <row r="140" spans="2:146" x14ac:dyDescent="0.25">
      <c r="B140" s="85" t="s">
        <v>314</v>
      </c>
      <c r="C140" s="1">
        <f t="shared" si="25"/>
        <v>2734383.2099033711</v>
      </c>
      <c r="D140" s="19">
        <v>10</v>
      </c>
      <c r="E140" s="13">
        <f t="shared" si="22"/>
        <v>31.445406913888764</v>
      </c>
      <c r="F140" s="2">
        <f t="shared" si="23"/>
        <v>2.7343832099033714</v>
      </c>
      <c r="G140" s="37">
        <v>0</v>
      </c>
      <c r="H140" s="39" t="s">
        <v>44</v>
      </c>
      <c r="I140" s="146">
        <f t="shared" si="26"/>
        <v>1</v>
      </c>
      <c r="J140" s="11" t="e">
        <f>C140*(I140)*(1-G140)*(INDEX(Stats!Q:Q,MATCH(K140,Stats!A:A,0)))</f>
        <v>#N/A</v>
      </c>
      <c r="K140" s="39"/>
      <c r="L140" s="1">
        <f>C140*(1+SUMIFS(Stats!S:S,Stats!A:A,K140)*(125-D140)/100*IF(H140="S",0.5,1))</f>
        <v>2734383.2099033711</v>
      </c>
      <c r="M140" s="25">
        <f>D140*(1+SUMIFS(Stats!T:T,Stats!A:A,K140)*SQRT(I140))</f>
        <v>10</v>
      </c>
      <c r="N140" s="3">
        <f t="shared" si="27"/>
        <v>0</v>
      </c>
      <c r="O140" s="28">
        <f t="shared" si="28"/>
        <v>11.499999999999998</v>
      </c>
      <c r="P140" s="1" t="e">
        <f t="shared" si="29"/>
        <v>#N/A</v>
      </c>
      <c r="Q140" s="39">
        <v>3687.654</v>
      </c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>
        <v>3687.654</v>
      </c>
    </row>
    <row r="141" spans="2:146" x14ac:dyDescent="0.25">
      <c r="B141" s="85" t="s">
        <v>315</v>
      </c>
      <c r="C141" s="1">
        <f t="shared" si="25"/>
        <v>745645.35717363411</v>
      </c>
      <c r="D141" s="19">
        <v>10</v>
      </c>
      <c r="E141" s="13">
        <f t="shared" si="22"/>
        <v>8.5749216074967922</v>
      </c>
      <c r="F141" s="2">
        <f t="shared" si="23"/>
        <v>0.74564535717363423</v>
      </c>
      <c r="G141" s="37">
        <v>0</v>
      </c>
      <c r="H141" s="39" t="s">
        <v>44</v>
      </c>
      <c r="I141" s="146">
        <f t="shared" si="26"/>
        <v>1</v>
      </c>
      <c r="J141" s="11" t="e">
        <f>C141*(I141)*(1-G141)*(INDEX(Stats!Q:Q,MATCH(K141,Stats!A:A,0)))</f>
        <v>#N/A</v>
      </c>
      <c r="K141" s="39"/>
      <c r="L141" s="1">
        <f>C141*(1+SUMIFS(Stats!S:S,Stats!A:A,K141)*(125-D141)/100*IF(H141="S",0.5,1))</f>
        <v>745645.35717363411</v>
      </c>
      <c r="M141" s="25">
        <f>D141*(1+SUMIFS(Stats!T:T,Stats!A:A,K141)*SQRT(I141))</f>
        <v>10</v>
      </c>
      <c r="N141" s="3">
        <f t="shared" si="27"/>
        <v>0</v>
      </c>
      <c r="O141" s="28">
        <f t="shared" si="28"/>
        <v>11.5</v>
      </c>
      <c r="P141" s="1" t="e">
        <f t="shared" si="29"/>
        <v>#N/A</v>
      </c>
      <c r="Q141" s="39">
        <v>1005.595</v>
      </c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>
        <v>1005.595</v>
      </c>
    </row>
    <row r="142" spans="2:146" x14ac:dyDescent="0.25">
      <c r="B142" s="85" t="s">
        <v>316</v>
      </c>
      <c r="C142" s="1">
        <f t="shared" si="25"/>
        <v>356860.10873856262</v>
      </c>
      <c r="D142" s="19">
        <v>10</v>
      </c>
      <c r="E142" s="13">
        <f t="shared" si="22"/>
        <v>4.1038912504934704</v>
      </c>
      <c r="F142" s="2">
        <f t="shared" si="23"/>
        <v>0.35686010873856266</v>
      </c>
      <c r="G142" s="37">
        <v>0</v>
      </c>
      <c r="H142" s="39" t="s">
        <v>44</v>
      </c>
      <c r="I142" s="146">
        <f t="shared" si="26"/>
        <v>1</v>
      </c>
      <c r="J142" s="11" t="e">
        <f>C142*(I142)*(1-G142)*(INDEX(Stats!Q:Q,MATCH(K142,Stats!A:A,0)))</f>
        <v>#N/A</v>
      </c>
      <c r="K142" s="39"/>
      <c r="L142" s="1">
        <f>C142*(1+SUMIFS(Stats!S:S,Stats!A:A,K142)*(125-D142)/100*IF(H142="S",0.5,1))</f>
        <v>356860.10873856262</v>
      </c>
      <c r="M142" s="25">
        <f>D142*(1+SUMIFS(Stats!T:T,Stats!A:A,K142)*SQRT(I142))</f>
        <v>10</v>
      </c>
      <c r="N142" s="3">
        <f t="shared" si="27"/>
        <v>0</v>
      </c>
      <c r="O142" s="28">
        <f t="shared" si="28"/>
        <v>11.5</v>
      </c>
      <c r="P142" s="1" t="e">
        <f t="shared" si="29"/>
        <v>#N/A</v>
      </c>
      <c r="Q142" s="39">
        <v>481.27</v>
      </c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>
        <v>481.27</v>
      </c>
    </row>
    <row r="143" spans="2:146" x14ac:dyDescent="0.25">
      <c r="B143" s="85" t="s">
        <v>317</v>
      </c>
      <c r="C143" s="1">
        <f t="shared" si="25"/>
        <v>6928088.2461531907</v>
      </c>
      <c r="D143" s="19">
        <v>10</v>
      </c>
      <c r="E143" s="13">
        <f t="shared" ref="E143:E163" si="30">(C143/1000000+F143*0.15)*I143*(1-G143)*10</f>
        <v>79.673014830761687</v>
      </c>
      <c r="F143" s="2">
        <f t="shared" ref="F143:F163" si="31">(C143*(D143/100)^2/100000)*(1-G143)*10</f>
        <v>6.928088246153191</v>
      </c>
      <c r="G143" s="37">
        <v>0</v>
      </c>
      <c r="H143" s="39" t="s">
        <v>44</v>
      </c>
      <c r="I143" s="146">
        <f t="shared" si="26"/>
        <v>1</v>
      </c>
      <c r="J143" s="11" t="e">
        <f>C143*(I143)*(1-G143)*(INDEX(Stats!Q:Q,MATCH(K143,Stats!A:A,0)))</f>
        <v>#N/A</v>
      </c>
      <c r="K143" s="39" t="s">
        <v>338</v>
      </c>
      <c r="L143" s="1">
        <f>C143*(1+SUMIFS(Stats!S:S,Stats!A:A,K143)*(125-D143)/100*IF(H143="S",0.5,1))</f>
        <v>6928088.2461531907</v>
      </c>
      <c r="M143" s="25">
        <f>D143*(1+SUMIFS(Stats!T:T,Stats!A:A,K143)*SQRT(I143))</f>
        <v>10</v>
      </c>
      <c r="N143" s="3">
        <f t="shared" si="27"/>
        <v>0</v>
      </c>
      <c r="O143" s="28">
        <f t="shared" si="28"/>
        <v>11.499999999999998</v>
      </c>
      <c r="P143" s="1" t="e">
        <f t="shared" si="29"/>
        <v>#N/A</v>
      </c>
      <c r="Q143" s="39">
        <v>9343.384</v>
      </c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>
        <v>3776</v>
      </c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>
        <v>5111</v>
      </c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>
        <v>9343.384</v>
      </c>
    </row>
    <row r="144" spans="2:146" x14ac:dyDescent="0.25">
      <c r="B144" s="85" t="s">
        <v>318</v>
      </c>
      <c r="C144" s="1">
        <f t="shared" ref="C144:C163" si="32">Q144*1000/(2.71^(0.015*20))</f>
        <v>4634682.7532241521</v>
      </c>
      <c r="D144" s="19">
        <v>10</v>
      </c>
      <c r="E144" s="13">
        <f t="shared" si="30"/>
        <v>13.324712915519438</v>
      </c>
      <c r="F144" s="2">
        <f t="shared" si="31"/>
        <v>4.634682753224153</v>
      </c>
      <c r="G144" s="37">
        <v>0</v>
      </c>
      <c r="H144" s="39" t="s">
        <v>215</v>
      </c>
      <c r="I144" s="146">
        <f t="shared" si="26"/>
        <v>0.25</v>
      </c>
      <c r="J144" s="11">
        <f>C144*(I144)*(1-G144)*(INDEX(Stats!Q:Q,MATCH(K144,Stats!A:A,0)))</f>
        <v>103450.48285200931</v>
      </c>
      <c r="K144" s="39" t="s">
        <v>70</v>
      </c>
      <c r="L144" s="1">
        <f>C144*(1+SUMIFS(Stats!S:S,Stats!A:A,K144)*(125-D144)/100*IF(H144="S",0.5,1))</f>
        <v>4834553.4469569437</v>
      </c>
      <c r="M144" s="25">
        <f>D144*(1+SUMIFS(Stats!T:T,Stats!A:A,K144)*SQRT(I144))</f>
        <v>10.016221374045802</v>
      </c>
      <c r="N144" s="3">
        <f t="shared" si="27"/>
        <v>4.1342121030557226E-2</v>
      </c>
      <c r="O144" s="28">
        <f t="shared" si="28"/>
        <v>11.5</v>
      </c>
      <c r="P144" s="1">
        <f t="shared" si="29"/>
        <v>2</v>
      </c>
      <c r="Q144" s="39">
        <v>6250.4430000000002</v>
      </c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>
        <v>6250.4430000000002</v>
      </c>
    </row>
    <row r="145" spans="2:146" x14ac:dyDescent="0.25">
      <c r="B145" s="85" t="s">
        <v>319</v>
      </c>
      <c r="C145" s="1">
        <f t="shared" si="32"/>
        <v>343853.51541800838</v>
      </c>
      <c r="D145" s="19">
        <v>10</v>
      </c>
      <c r="E145" s="13">
        <f t="shared" si="30"/>
        <v>3.9543154273070966</v>
      </c>
      <c r="F145" s="2">
        <f t="shared" si="31"/>
        <v>0.34385351541800846</v>
      </c>
      <c r="G145" s="37">
        <v>0</v>
      </c>
      <c r="H145" s="39" t="s">
        <v>44</v>
      </c>
      <c r="I145" s="146">
        <f t="shared" si="26"/>
        <v>1</v>
      </c>
      <c r="J145" s="11" t="e">
        <f>C145*(I145)*(1-G145)*(INDEX(Stats!Q:Q,MATCH(K145,Stats!A:A,0)))</f>
        <v>#N/A</v>
      </c>
      <c r="K145" s="39"/>
      <c r="L145" s="1">
        <f>C145*(1+SUMIFS(Stats!S:S,Stats!A:A,K145)*(125-D145)/100*IF(H145="S",0.5,1))</f>
        <v>343853.51541800838</v>
      </c>
      <c r="M145" s="25">
        <f>D145*(1+SUMIFS(Stats!T:T,Stats!A:A,K145)*SQRT(I145))</f>
        <v>10</v>
      </c>
      <c r="N145" s="3">
        <f t="shared" si="27"/>
        <v>0</v>
      </c>
      <c r="O145" s="28">
        <f t="shared" si="28"/>
        <v>11.5</v>
      </c>
      <c r="P145" s="1" t="e">
        <f t="shared" si="29"/>
        <v>#N/A</v>
      </c>
      <c r="Q145" s="39">
        <v>463.72899999999998</v>
      </c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>
        <v>463.72899999999998</v>
      </c>
    </row>
    <row r="146" spans="2:146" x14ac:dyDescent="0.25">
      <c r="B146" s="85" t="s">
        <v>320</v>
      </c>
      <c r="C146" s="1">
        <f t="shared" si="32"/>
        <v>2425489.7801063359</v>
      </c>
      <c r="D146" s="19">
        <v>10</v>
      </c>
      <c r="E146" s="13">
        <f t="shared" si="30"/>
        <v>27.893132471222863</v>
      </c>
      <c r="F146" s="2">
        <f t="shared" si="31"/>
        <v>2.4254897801063362</v>
      </c>
      <c r="G146" s="37">
        <v>0</v>
      </c>
      <c r="H146" s="39" t="s">
        <v>44</v>
      </c>
      <c r="I146" s="146">
        <f t="shared" si="26"/>
        <v>1</v>
      </c>
      <c r="J146" s="11" t="e">
        <f>C146*(I146)*(1-G146)*(INDEX(Stats!Q:Q,MATCH(K146,Stats!A:A,0)))</f>
        <v>#N/A</v>
      </c>
      <c r="K146" s="39"/>
      <c r="L146" s="1">
        <f>C146*(1+SUMIFS(Stats!S:S,Stats!A:A,K146)*(125-D146)/100*IF(H146="S",0.5,1))</f>
        <v>2425489.7801063359</v>
      </c>
      <c r="M146" s="25">
        <f>D146*(1+SUMIFS(Stats!T:T,Stats!A:A,K146)*SQRT(I146))</f>
        <v>10</v>
      </c>
      <c r="N146" s="3">
        <f t="shared" si="27"/>
        <v>0</v>
      </c>
      <c r="O146" s="28">
        <f t="shared" si="28"/>
        <v>11.5</v>
      </c>
      <c r="P146" s="1" t="e">
        <f t="shared" si="29"/>
        <v>#N/A</v>
      </c>
      <c r="Q146" s="39">
        <v>3271.0729999999999</v>
      </c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>
        <v>3271.0729999999999</v>
      </c>
    </row>
    <row r="147" spans="2:146" x14ac:dyDescent="0.25">
      <c r="B147" s="85" t="s">
        <v>321</v>
      </c>
      <c r="C147" s="1">
        <f t="shared" si="32"/>
        <v>23577324.80539706</v>
      </c>
      <c r="D147" s="19">
        <v>12</v>
      </c>
      <c r="E147" s="13">
        <f t="shared" si="30"/>
        <v>71.67506740840706</v>
      </c>
      <c r="F147" s="2">
        <f t="shared" si="31"/>
        <v>33.951347719771768</v>
      </c>
      <c r="G147" s="37">
        <v>0</v>
      </c>
      <c r="H147" s="39" t="s">
        <v>215</v>
      </c>
      <c r="I147" s="146">
        <f t="shared" si="26"/>
        <v>0.25</v>
      </c>
      <c r="J147" s="11">
        <f>C147*(I147)*(1-G147)*(INDEX(Stats!Q:Q,MATCH(K147,Stats!A:A,0)))</f>
        <v>465695.23426476982</v>
      </c>
      <c r="K147" s="39" t="s">
        <v>23</v>
      </c>
      <c r="L147" s="1">
        <f>C147*(1+SUMIFS(Stats!S:S,Stats!A:A,K147)*(125-D147)/100*IF(H147="S",0.5,1))</f>
        <v>24631938.89597062</v>
      </c>
      <c r="M147" s="25">
        <f>D147*(1+SUMIFS(Stats!T:T,Stats!A:A,K147)*SQRT(I147))</f>
        <v>12.020616666666667</v>
      </c>
      <c r="N147" s="3">
        <f t="shared" si="27"/>
        <v>4.2814903651213501E-2</v>
      </c>
      <c r="O147" s="28">
        <f t="shared" si="28"/>
        <v>12.16</v>
      </c>
      <c r="P147" s="1">
        <f t="shared" si="29"/>
        <v>2</v>
      </c>
      <c r="Q147" s="39">
        <v>31796.938999999998</v>
      </c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>
        <v>31796.938999999998</v>
      </c>
    </row>
    <row r="148" spans="2:146" x14ac:dyDescent="0.25">
      <c r="B148" s="85" t="s">
        <v>322</v>
      </c>
      <c r="C148" s="1">
        <f t="shared" si="32"/>
        <v>180702.74170338421</v>
      </c>
      <c r="D148" s="19">
        <v>10</v>
      </c>
      <c r="E148" s="13">
        <f t="shared" si="30"/>
        <v>2.0780815295889186</v>
      </c>
      <c r="F148" s="2">
        <f t="shared" si="31"/>
        <v>0.18070274170338424</v>
      </c>
      <c r="G148" s="37">
        <v>0</v>
      </c>
      <c r="H148" s="39" t="s">
        <v>44</v>
      </c>
      <c r="I148" s="146">
        <f t="shared" si="26"/>
        <v>1</v>
      </c>
      <c r="J148" s="11" t="e">
        <f>C148*(I148)*(1-G148)*(INDEX(Stats!Q:Q,MATCH(K148,Stats!A:A,0)))</f>
        <v>#N/A</v>
      </c>
      <c r="K148" s="39"/>
      <c r="L148" s="1">
        <f>C148*(1+SUMIFS(Stats!S:S,Stats!A:A,K148)*(125-D148)/100*IF(H148="S",0.5,1))</f>
        <v>180702.74170338421</v>
      </c>
      <c r="M148" s="25">
        <f>D148*(1+SUMIFS(Stats!T:T,Stats!A:A,K148)*SQRT(I148))</f>
        <v>10</v>
      </c>
      <c r="N148" s="3">
        <f t="shared" si="27"/>
        <v>0</v>
      </c>
      <c r="O148" s="28">
        <f t="shared" si="28"/>
        <v>11.500000000000002</v>
      </c>
      <c r="P148" s="1" t="e">
        <f t="shared" si="29"/>
        <v>#N/A</v>
      </c>
      <c r="Q148" s="39">
        <v>243.7</v>
      </c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>
        <v>243.7</v>
      </c>
    </row>
    <row r="149" spans="2:146" x14ac:dyDescent="0.25">
      <c r="B149" s="85" t="s">
        <v>323</v>
      </c>
      <c r="C149" s="1">
        <f t="shared" si="32"/>
        <v>1808832.9614575093</v>
      </c>
      <c r="D149" s="19">
        <v>10</v>
      </c>
      <c r="E149" s="13">
        <f t="shared" si="30"/>
        <v>20.801579056761355</v>
      </c>
      <c r="F149" s="2">
        <f t="shared" si="31"/>
        <v>1.8088329614575096</v>
      </c>
      <c r="G149" s="37">
        <v>0</v>
      </c>
      <c r="H149" s="39" t="s">
        <v>44</v>
      </c>
      <c r="I149" s="146">
        <f t="shared" si="26"/>
        <v>1</v>
      </c>
      <c r="J149" s="11" t="e">
        <f>C149*(I149)*(1-G149)*(INDEX(Stats!Q:Q,MATCH(K149,Stats!A:A,0)))</f>
        <v>#N/A</v>
      </c>
      <c r="K149" s="39"/>
      <c r="L149" s="1">
        <f>C149*(1+SUMIFS(Stats!S:S,Stats!A:A,K149)*(125-D149)/100*IF(H149="S",0.5,1))</f>
        <v>1808832.9614575093</v>
      </c>
      <c r="M149" s="25">
        <f>D149*(1+SUMIFS(Stats!T:T,Stats!A:A,K149)*SQRT(I149))</f>
        <v>10</v>
      </c>
      <c r="N149" s="3">
        <f t="shared" si="27"/>
        <v>0</v>
      </c>
      <c r="O149" s="28">
        <f t="shared" si="28"/>
        <v>11.499999999999998</v>
      </c>
      <c r="P149" s="1" t="e">
        <f t="shared" si="29"/>
        <v>#N/A</v>
      </c>
      <c r="Q149" s="39">
        <v>2439.4349999999999</v>
      </c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>
        <v>2439.4349999999999</v>
      </c>
    </row>
    <row r="150" spans="2:146" x14ac:dyDescent="0.25">
      <c r="B150" s="85" t="s">
        <v>324</v>
      </c>
      <c r="C150" s="1">
        <f t="shared" si="32"/>
        <v>44289.596889385051</v>
      </c>
      <c r="D150" s="19">
        <v>10</v>
      </c>
      <c r="E150" s="13">
        <f t="shared" si="30"/>
        <v>0.5093303642279281</v>
      </c>
      <c r="F150" s="2">
        <f t="shared" si="31"/>
        <v>4.4289596889385059E-2</v>
      </c>
      <c r="G150" s="37">
        <v>0</v>
      </c>
      <c r="H150" s="39" t="s">
        <v>44</v>
      </c>
      <c r="I150" s="146">
        <f t="shared" si="26"/>
        <v>1</v>
      </c>
      <c r="J150" s="11" t="e">
        <f>C150*(I150)*(1-G150)*(INDEX(Stats!Q:Q,MATCH(K150,Stats!A:A,0)))</f>
        <v>#N/A</v>
      </c>
      <c r="K150" s="39"/>
      <c r="L150" s="1">
        <f>C150*(1+SUMIFS(Stats!S:S,Stats!A:A,K150)*(125-D150)/100*IF(H150="S",0.5,1))</f>
        <v>44289.596889385051</v>
      </c>
      <c r="M150" s="25">
        <f>D150*(1+SUMIFS(Stats!T:T,Stats!A:A,K150)*SQRT(I150))</f>
        <v>10</v>
      </c>
      <c r="N150" s="3">
        <f t="shared" si="27"/>
        <v>0</v>
      </c>
      <c r="O150" s="28">
        <f t="shared" si="28"/>
        <v>11.5</v>
      </c>
      <c r="P150" s="1" t="e">
        <f t="shared" si="29"/>
        <v>#N/A</v>
      </c>
      <c r="Q150" s="39">
        <v>59.73</v>
      </c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>
        <v>59.73</v>
      </c>
    </row>
    <row r="151" spans="2:146" x14ac:dyDescent="0.25">
      <c r="B151" s="85" t="s">
        <v>325</v>
      </c>
      <c r="C151" s="1">
        <f t="shared" si="32"/>
        <v>1967663.0339989467</v>
      </c>
      <c r="D151" s="19">
        <v>10</v>
      </c>
      <c r="E151" s="13">
        <f t="shared" si="30"/>
        <v>22.628124890987888</v>
      </c>
      <c r="F151" s="2">
        <f t="shared" si="31"/>
        <v>1.9676630339989472</v>
      </c>
      <c r="G151" s="37">
        <v>0</v>
      </c>
      <c r="H151" s="39" t="s">
        <v>44</v>
      </c>
      <c r="I151" s="146">
        <f t="shared" si="26"/>
        <v>1</v>
      </c>
      <c r="J151" s="11" t="e">
        <f>C151*(I151)*(1-G151)*(INDEX(Stats!Q:Q,MATCH(K151,Stats!A:A,0)))</f>
        <v>#N/A</v>
      </c>
      <c r="K151" s="39"/>
      <c r="L151" s="1">
        <f>C151*(1+SUMIFS(Stats!S:S,Stats!A:A,K151)*(125-D151)/100*IF(H151="S",0.5,1))</f>
        <v>1967663.0339989467</v>
      </c>
      <c r="M151" s="25">
        <f>D151*(1+SUMIFS(Stats!T:T,Stats!A:A,K151)*SQRT(I151))</f>
        <v>10</v>
      </c>
      <c r="N151" s="3">
        <f t="shared" si="27"/>
        <v>0</v>
      </c>
      <c r="O151" s="28">
        <f t="shared" si="28"/>
        <v>11.5</v>
      </c>
      <c r="P151" s="1" t="e">
        <f t="shared" si="29"/>
        <v>#N/A</v>
      </c>
      <c r="Q151" s="39">
        <v>2653.6370000000002</v>
      </c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>
        <v>2653.6370000000002</v>
      </c>
    </row>
    <row r="152" spans="2:146" x14ac:dyDescent="0.25">
      <c r="B152" s="85" t="s">
        <v>326</v>
      </c>
      <c r="C152" s="1">
        <f t="shared" si="32"/>
        <v>24397.465368348174</v>
      </c>
      <c r="D152" s="19">
        <v>10</v>
      </c>
      <c r="E152" s="13">
        <f t="shared" si="30"/>
        <v>0.28057085173600399</v>
      </c>
      <c r="F152" s="2">
        <f t="shared" si="31"/>
        <v>2.4397465368348178E-2</v>
      </c>
      <c r="G152" s="37">
        <v>0</v>
      </c>
      <c r="H152" s="39" t="s">
        <v>44</v>
      </c>
      <c r="I152" s="146">
        <f t="shared" si="26"/>
        <v>1</v>
      </c>
      <c r="J152" s="11" t="e">
        <f>C152*(I152)*(1-G152)*(INDEX(Stats!Q:Q,MATCH(K152,Stats!A:A,0)))</f>
        <v>#N/A</v>
      </c>
      <c r="K152" s="39"/>
      <c r="L152" s="1">
        <f>C152*(1+SUMIFS(Stats!S:S,Stats!A:A,K152)*(125-D152)/100*IF(H152="S",0.5,1))</f>
        <v>24397.465368348174</v>
      </c>
      <c r="M152" s="25">
        <f>D152*(1+SUMIFS(Stats!T:T,Stats!A:A,K152)*SQRT(I152))</f>
        <v>10</v>
      </c>
      <c r="N152" s="3">
        <f t="shared" si="27"/>
        <v>0</v>
      </c>
      <c r="O152" s="28">
        <f t="shared" si="28"/>
        <v>11.5</v>
      </c>
      <c r="P152" s="1" t="e">
        <f t="shared" si="29"/>
        <v>#N/A</v>
      </c>
      <c r="Q152" s="39">
        <v>32.902999999999999</v>
      </c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>
        <v>32.902999999999999</v>
      </c>
    </row>
    <row r="153" spans="2:146" x14ac:dyDescent="0.25">
      <c r="B153" s="85" t="s">
        <v>327</v>
      </c>
      <c r="C153" s="1">
        <f t="shared" si="32"/>
        <v>1547544.3602205846</v>
      </c>
      <c r="D153" s="19">
        <v>10</v>
      </c>
      <c r="E153" s="13">
        <f t="shared" si="30"/>
        <v>17.796760142536723</v>
      </c>
      <c r="F153" s="2">
        <f t="shared" si="31"/>
        <v>1.5475443602205849</v>
      </c>
      <c r="G153" s="37">
        <v>0</v>
      </c>
      <c r="H153" s="39" t="s">
        <v>44</v>
      </c>
      <c r="I153" s="146">
        <f t="shared" si="26"/>
        <v>1</v>
      </c>
      <c r="J153" s="11" t="e">
        <f>C153*(I153)*(1-G153)*(INDEX(Stats!Q:Q,MATCH(K153,Stats!A:A,0)))</f>
        <v>#N/A</v>
      </c>
      <c r="K153" s="39"/>
      <c r="L153" s="1">
        <f>C153*(1+SUMIFS(Stats!S:S,Stats!A:A,K153)*(125-D153)/100*IF(H153="S",0.5,1))</f>
        <v>1547544.3602205846</v>
      </c>
      <c r="M153" s="25">
        <f>D153*(1+SUMIFS(Stats!T:T,Stats!A:A,K153)*SQRT(I153))</f>
        <v>10</v>
      </c>
      <c r="N153" s="3">
        <f t="shared" si="27"/>
        <v>0</v>
      </c>
      <c r="O153" s="28">
        <f t="shared" si="28"/>
        <v>11.5</v>
      </c>
      <c r="P153" s="1" t="e">
        <f t="shared" si="29"/>
        <v>#N/A</v>
      </c>
      <c r="Q153" s="39">
        <v>2087.0549999999998</v>
      </c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>
        <v>2087.0549999999998</v>
      </c>
    </row>
    <row r="154" spans="2:146" x14ac:dyDescent="0.25">
      <c r="B154" s="85" t="s">
        <v>328</v>
      </c>
      <c r="C154" s="1">
        <f t="shared" si="32"/>
        <v>1807718.4919426132</v>
      </c>
      <c r="D154" s="19">
        <v>10</v>
      </c>
      <c r="E154" s="13">
        <f t="shared" si="30"/>
        <v>20.788762657340051</v>
      </c>
      <c r="F154" s="2">
        <f t="shared" si="31"/>
        <v>1.8077184919426135</v>
      </c>
      <c r="G154" s="37">
        <v>0</v>
      </c>
      <c r="H154" s="39" t="s">
        <v>44</v>
      </c>
      <c r="I154" s="146">
        <f t="shared" si="26"/>
        <v>1</v>
      </c>
      <c r="J154" s="11" t="e">
        <f>C154*(I154)*(1-G154)*(INDEX(Stats!Q:Q,MATCH(K154,Stats!A:A,0)))</f>
        <v>#N/A</v>
      </c>
      <c r="K154" s="39"/>
      <c r="L154" s="1">
        <f>C154*(1+SUMIFS(Stats!S:S,Stats!A:A,K154)*(125-D154)/100*IF(H154="S",0.5,1))</f>
        <v>1807718.4919426132</v>
      </c>
      <c r="M154" s="25">
        <f>D154*(1+SUMIFS(Stats!T:T,Stats!A:A,K154)*SQRT(I154))</f>
        <v>10</v>
      </c>
      <c r="N154" s="3">
        <f t="shared" si="27"/>
        <v>0</v>
      </c>
      <c r="O154" s="28">
        <f t="shared" si="28"/>
        <v>11.5</v>
      </c>
      <c r="P154" s="1" t="e">
        <f t="shared" si="29"/>
        <v>#N/A</v>
      </c>
      <c r="Q154" s="39">
        <v>2437.9319999999998</v>
      </c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>
        <v>2437.9319999999998</v>
      </c>
    </row>
    <row r="155" spans="2:146" x14ac:dyDescent="0.25">
      <c r="B155" s="85" t="s">
        <v>329</v>
      </c>
      <c r="C155" s="1">
        <f t="shared" si="32"/>
        <v>5969901.7626916021</v>
      </c>
      <c r="D155" s="19">
        <v>10</v>
      </c>
      <c r="E155" s="13">
        <f t="shared" si="30"/>
        <v>68.653870270953433</v>
      </c>
      <c r="F155" s="2">
        <f t="shared" si="31"/>
        <v>5.9699017626916024</v>
      </c>
      <c r="G155" s="37">
        <v>0</v>
      </c>
      <c r="H155" s="39" t="s">
        <v>44</v>
      </c>
      <c r="I155" s="146">
        <f t="shared" si="26"/>
        <v>1</v>
      </c>
      <c r="J155" s="11" t="e">
        <f>C155*(I155)*(1-G155)*(INDEX(Stats!Q:Q,MATCH(K155,Stats!A:A,0)))</f>
        <v>#N/A</v>
      </c>
      <c r="K155" s="39"/>
      <c r="L155" s="1">
        <f>C155*(1+SUMIFS(Stats!S:S,Stats!A:A,K155)*(125-D155)/100*IF(H155="S",0.5,1))</f>
        <v>5969901.7626916021</v>
      </c>
      <c r="M155" s="25">
        <f>D155*(1+SUMIFS(Stats!T:T,Stats!A:A,K155)*SQRT(I155))</f>
        <v>10</v>
      </c>
      <c r="N155" s="3">
        <f t="shared" si="27"/>
        <v>0</v>
      </c>
      <c r="O155" s="28">
        <f t="shared" si="28"/>
        <v>11.500000000000002</v>
      </c>
      <c r="P155" s="1" t="e">
        <f t="shared" si="29"/>
        <v>#N/A</v>
      </c>
      <c r="Q155" s="39">
        <v>8051.1509999999998</v>
      </c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>
        <v>8051.1509999999998</v>
      </c>
    </row>
    <row r="156" spans="2:146" x14ac:dyDescent="0.25">
      <c r="B156" s="85" t="s">
        <v>330</v>
      </c>
      <c r="C156" s="1">
        <f t="shared" si="32"/>
        <v>205679.31598133573</v>
      </c>
      <c r="D156" s="19">
        <v>10</v>
      </c>
      <c r="E156" s="13">
        <f t="shared" si="30"/>
        <v>2.3653121337853609</v>
      </c>
      <c r="F156" s="2">
        <f t="shared" si="31"/>
        <v>0.20567931598133579</v>
      </c>
      <c r="G156" s="37">
        <v>0</v>
      </c>
      <c r="H156" s="39" t="s">
        <v>44</v>
      </c>
      <c r="I156" s="146">
        <f t="shared" si="26"/>
        <v>1</v>
      </c>
      <c r="J156" s="11" t="e">
        <f>C156*(I156)*(1-G156)*(INDEX(Stats!Q:Q,MATCH(K156,Stats!A:A,0)))</f>
        <v>#N/A</v>
      </c>
      <c r="K156" s="39"/>
      <c r="L156" s="1">
        <f>C156*(1+SUMIFS(Stats!S:S,Stats!A:A,K156)*(125-D156)/100*IF(H156="S",0.5,1))</f>
        <v>205679.31598133573</v>
      </c>
      <c r="M156" s="25">
        <f>D156*(1+SUMIFS(Stats!T:T,Stats!A:A,K156)*SQRT(I156))</f>
        <v>10</v>
      </c>
      <c r="N156" s="3">
        <f t="shared" si="27"/>
        <v>0</v>
      </c>
      <c r="O156" s="28">
        <f t="shared" si="28"/>
        <v>11.5</v>
      </c>
      <c r="P156" s="1" t="e">
        <f t="shared" si="29"/>
        <v>#N/A</v>
      </c>
      <c r="Q156" s="39">
        <v>277.38400000000001</v>
      </c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>
        <v>277.38400000000001</v>
      </c>
    </row>
    <row r="157" spans="2:146" x14ac:dyDescent="0.25">
      <c r="B157" s="85" t="s">
        <v>331</v>
      </c>
      <c r="C157" s="1">
        <f t="shared" si="32"/>
        <v>5883719.8276897175</v>
      </c>
      <c r="D157" s="19">
        <v>10</v>
      </c>
      <c r="E157" s="13">
        <f t="shared" si="30"/>
        <v>67.662778018431752</v>
      </c>
      <c r="F157" s="2">
        <f t="shared" si="31"/>
        <v>5.8837198276897187</v>
      </c>
      <c r="G157" s="37">
        <v>0</v>
      </c>
      <c r="H157" s="39" t="s">
        <v>44</v>
      </c>
      <c r="I157" s="146">
        <f t="shared" si="26"/>
        <v>1</v>
      </c>
      <c r="J157" s="11" t="e">
        <f>C157*(I157)*(1-G157)*(INDEX(Stats!Q:Q,MATCH(K157,Stats!A:A,0)))</f>
        <v>#N/A</v>
      </c>
      <c r="K157" s="39"/>
      <c r="L157" s="1">
        <f>C157*(1+SUMIFS(Stats!S:S,Stats!A:A,K157)*(125-D157)/100*IF(H157="S",0.5,1))</f>
        <v>5883719.8276897175</v>
      </c>
      <c r="M157" s="25">
        <f>D157*(1+SUMIFS(Stats!T:T,Stats!A:A,K157)*SQRT(I157))</f>
        <v>10</v>
      </c>
      <c r="N157" s="3">
        <f t="shared" si="27"/>
        <v>0</v>
      </c>
      <c r="O157" s="28">
        <f t="shared" si="28"/>
        <v>11.5</v>
      </c>
      <c r="P157" s="1" t="e">
        <f t="shared" si="29"/>
        <v>#N/A</v>
      </c>
      <c r="Q157" s="39">
        <v>7934.924</v>
      </c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>
        <v>7934.924</v>
      </c>
    </row>
    <row r="158" spans="2:146" x14ac:dyDescent="0.25">
      <c r="B158" s="85" t="s">
        <v>332</v>
      </c>
      <c r="C158" s="1">
        <f t="shared" si="32"/>
        <v>868957.73858830868</v>
      </c>
      <c r="D158" s="19">
        <v>10</v>
      </c>
      <c r="E158" s="13">
        <f t="shared" si="30"/>
        <v>9.9930139937655511</v>
      </c>
      <c r="F158" s="2">
        <f t="shared" si="31"/>
        <v>0.86895773858830894</v>
      </c>
      <c r="G158" s="37">
        <v>0</v>
      </c>
      <c r="H158" s="39" t="s">
        <v>44</v>
      </c>
      <c r="I158" s="146">
        <f t="shared" si="26"/>
        <v>1</v>
      </c>
      <c r="J158" s="11" t="e">
        <f>C158*(I158)*(1-G158)*(INDEX(Stats!Q:Q,MATCH(K158,Stats!A:A,0)))</f>
        <v>#N/A</v>
      </c>
      <c r="K158" s="39"/>
      <c r="L158" s="1">
        <f>C158*(1+SUMIFS(Stats!S:S,Stats!A:A,K158)*(125-D158)/100*IF(H158="S",0.5,1))</f>
        <v>868957.73858830868</v>
      </c>
      <c r="M158" s="25">
        <f>D158*(1+SUMIFS(Stats!T:T,Stats!A:A,K158)*SQRT(I158))</f>
        <v>10</v>
      </c>
      <c r="N158" s="3">
        <f t="shared" si="27"/>
        <v>0</v>
      </c>
      <c r="O158" s="28">
        <f t="shared" si="28"/>
        <v>11.500000000000002</v>
      </c>
      <c r="P158" s="1" t="e">
        <f t="shared" si="29"/>
        <v>#N/A</v>
      </c>
      <c r="Q158" s="39">
        <v>1171.8969999999999</v>
      </c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>
        <v>1171.8969999999999</v>
      </c>
    </row>
    <row r="159" spans="2:146" x14ac:dyDescent="0.25">
      <c r="B159" s="85" t="s">
        <v>333</v>
      </c>
      <c r="C159" s="1">
        <f t="shared" si="32"/>
        <v>2607999.5492267539</v>
      </c>
      <c r="D159" s="19">
        <v>10</v>
      </c>
      <c r="E159" s="13">
        <f t="shared" si="30"/>
        <v>29.991994816107667</v>
      </c>
      <c r="F159" s="2">
        <f t="shared" si="31"/>
        <v>2.6079995492267543</v>
      </c>
      <c r="G159" s="37">
        <v>0</v>
      </c>
      <c r="H159" s="39" t="s">
        <v>44</v>
      </c>
      <c r="I159" s="146">
        <f t="shared" si="26"/>
        <v>1</v>
      </c>
      <c r="J159" s="11" t="e">
        <f>C159*(I159)*(1-G159)*(INDEX(Stats!Q:Q,MATCH(K159,Stats!A:A,0)))</f>
        <v>#N/A</v>
      </c>
      <c r="K159" s="39"/>
      <c r="L159" s="1">
        <f>C159*(1+SUMIFS(Stats!S:S,Stats!A:A,K159)*(125-D159)/100*IF(H159="S",0.5,1))</f>
        <v>2607999.5492267539</v>
      </c>
      <c r="M159" s="25">
        <f>D159*(1+SUMIFS(Stats!T:T,Stats!A:A,K159)*SQRT(I159))</f>
        <v>10</v>
      </c>
      <c r="N159" s="3">
        <f t="shared" si="27"/>
        <v>0</v>
      </c>
      <c r="O159" s="28">
        <f t="shared" si="28"/>
        <v>11.499999999999998</v>
      </c>
      <c r="P159" s="1" t="e">
        <f t="shared" si="29"/>
        <v>#N/A</v>
      </c>
      <c r="Q159" s="39">
        <v>3517.21</v>
      </c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>
        <v>1176</v>
      </c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>
        <v>1870</v>
      </c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>
        <v>3517.21</v>
      </c>
    </row>
    <row r="160" spans="2:146" x14ac:dyDescent="0.25">
      <c r="B160" s="85" t="s">
        <v>334</v>
      </c>
      <c r="C160" s="1">
        <f t="shared" si="32"/>
        <v>4094365.2426040019</v>
      </c>
      <c r="D160" s="19">
        <v>10</v>
      </c>
      <c r="E160" s="13">
        <f t="shared" si="30"/>
        <v>47.085200289946023</v>
      </c>
      <c r="F160" s="2">
        <f t="shared" si="31"/>
        <v>4.0943652426040025</v>
      </c>
      <c r="G160" s="37">
        <v>0</v>
      </c>
      <c r="H160" s="39" t="s">
        <v>44</v>
      </c>
      <c r="I160" s="146">
        <f t="shared" si="26"/>
        <v>1</v>
      </c>
      <c r="J160" s="11" t="e">
        <f>C160*(I160)*(1-G160)*(INDEX(Stats!Q:Q,MATCH(K160,Stats!A:A,0)))</f>
        <v>#N/A</v>
      </c>
      <c r="K160" s="39"/>
      <c r="L160" s="1">
        <f>C160*(1+SUMIFS(Stats!S:S,Stats!A:A,K160)*(125-D160)/100*IF(H160="S",0.5,1))</f>
        <v>4094365.2426040019</v>
      </c>
      <c r="M160" s="25">
        <f>D160*(1+SUMIFS(Stats!T:T,Stats!A:A,K160)*SQRT(I160))</f>
        <v>10</v>
      </c>
      <c r="N160" s="3">
        <f t="shared" si="27"/>
        <v>0</v>
      </c>
      <c r="O160" s="28">
        <f t="shared" si="28"/>
        <v>11.5</v>
      </c>
      <c r="P160" s="1" t="e">
        <f t="shared" si="29"/>
        <v>#N/A</v>
      </c>
      <c r="Q160" s="39">
        <v>5521.7579999999998</v>
      </c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>
        <v>5521.7579999999998</v>
      </c>
    </row>
    <row r="161" spans="2:146" x14ac:dyDescent="0.25">
      <c r="B161" s="85" t="s">
        <v>335</v>
      </c>
      <c r="C161" s="1">
        <f t="shared" si="32"/>
        <v>10061192.018550245</v>
      </c>
      <c r="D161" s="19">
        <v>10</v>
      </c>
      <c r="E161" s="13">
        <f t="shared" si="30"/>
        <v>115.70370821332784</v>
      </c>
      <c r="F161" s="2">
        <f t="shared" si="31"/>
        <v>10.061192018550248</v>
      </c>
      <c r="G161" s="37">
        <v>0</v>
      </c>
      <c r="H161" s="39" t="s">
        <v>44</v>
      </c>
      <c r="I161" s="146">
        <f t="shared" si="26"/>
        <v>1</v>
      </c>
      <c r="J161" s="11" t="e">
        <f>C161*(I161)*(1-G161)*(INDEX(Stats!Q:Q,MATCH(K161,Stats!A:A,0)))</f>
        <v>#N/A</v>
      </c>
      <c r="K161" s="39"/>
      <c r="L161" s="1">
        <f>C161*(1+SUMIFS(Stats!S:S,Stats!A:A,K161)*(125-D161)/100*IF(H161="S",0.5,1))</f>
        <v>10061192.018550245</v>
      </c>
      <c r="M161" s="25">
        <f>D161*(1+SUMIFS(Stats!T:T,Stats!A:A,K161)*SQRT(I161))</f>
        <v>10</v>
      </c>
      <c r="N161" s="3">
        <f t="shared" si="27"/>
        <v>0</v>
      </c>
      <c r="O161" s="28">
        <f t="shared" si="28"/>
        <v>11.500000000000002</v>
      </c>
      <c r="P161" s="1" t="e">
        <f t="shared" si="29"/>
        <v>#N/A</v>
      </c>
      <c r="Q161" s="39">
        <v>13568.762000000001</v>
      </c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>
        <v>13568.762000000001</v>
      </c>
    </row>
    <row r="162" spans="2:146" x14ac:dyDescent="0.25">
      <c r="B162" s="85" t="s">
        <v>336</v>
      </c>
      <c r="C162" s="1">
        <f t="shared" si="32"/>
        <v>1893041.0322886328</v>
      </c>
      <c r="D162" s="19">
        <v>10</v>
      </c>
      <c r="E162" s="13">
        <f t="shared" si="30"/>
        <v>21.769971871319278</v>
      </c>
      <c r="F162" s="2">
        <f t="shared" si="31"/>
        <v>1.8930410322886333</v>
      </c>
      <c r="G162" s="37">
        <v>0</v>
      </c>
      <c r="H162" s="39" t="s">
        <v>44</v>
      </c>
      <c r="I162" s="146">
        <f t="shared" si="26"/>
        <v>1</v>
      </c>
      <c r="J162" s="11" t="e">
        <f>C162*(I162)*(1-G162)*(INDEX(Stats!Q:Q,MATCH(K162,Stats!A:A,0)))</f>
        <v>#N/A</v>
      </c>
      <c r="K162" s="39"/>
      <c r="L162" s="1">
        <f>C162*(1+SUMIFS(Stats!S:S,Stats!A:A,K162)*(125-D162)/100*IF(H162="S",0.5,1))</f>
        <v>1893041.0322886328</v>
      </c>
      <c r="M162" s="25">
        <f>D162*(1+SUMIFS(Stats!T:T,Stats!A:A,K162)*SQRT(I162))</f>
        <v>10</v>
      </c>
      <c r="N162" s="3">
        <f t="shared" si="27"/>
        <v>0</v>
      </c>
      <c r="O162" s="28">
        <f t="shared" si="28"/>
        <v>11.5</v>
      </c>
      <c r="P162" s="1" t="e">
        <f t="shared" si="29"/>
        <v>#N/A</v>
      </c>
      <c r="Q162" s="39">
        <v>2553</v>
      </c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>
        <v>2553</v>
      </c>
    </row>
    <row r="163" spans="2:146" x14ac:dyDescent="0.25">
      <c r="B163" s="85" t="s">
        <v>337</v>
      </c>
      <c r="C163" s="1">
        <f t="shared" si="32"/>
        <v>2115602.0032570879</v>
      </c>
      <c r="D163" s="19">
        <v>10</v>
      </c>
      <c r="E163" s="13">
        <f t="shared" si="30"/>
        <v>24.329423037456511</v>
      </c>
      <c r="F163" s="2">
        <f t="shared" si="31"/>
        <v>2.1156020032570884</v>
      </c>
      <c r="G163" s="37">
        <v>0</v>
      </c>
      <c r="H163" s="39" t="s">
        <v>44</v>
      </c>
      <c r="I163" s="146">
        <f t="shared" si="26"/>
        <v>1</v>
      </c>
      <c r="J163" s="11" t="e">
        <f>C163*(I163)*(1-G163)*(INDEX(Stats!Q:Q,MATCH(K163,Stats!A:A,0)))</f>
        <v>#N/A</v>
      </c>
      <c r="K163" s="39"/>
      <c r="L163" s="1">
        <f>C163*(1+SUMIFS(Stats!S:S,Stats!A:A,K163)*(125-D163)/100*IF(H163="S",0.5,1))</f>
        <v>2115602.0032570879</v>
      </c>
      <c r="M163" s="25">
        <f>D163*(1+SUMIFS(Stats!T:T,Stats!A:A,K163)*SQRT(I163))</f>
        <v>10</v>
      </c>
      <c r="N163" s="3">
        <f t="shared" si="27"/>
        <v>0</v>
      </c>
      <c r="O163" s="28">
        <f t="shared" si="28"/>
        <v>11.5</v>
      </c>
      <c r="P163" s="1" t="e">
        <f t="shared" si="29"/>
        <v>#N/A</v>
      </c>
      <c r="Q163" s="39">
        <v>2853.1509999999998</v>
      </c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>
        <v>2853.1509999999998</v>
      </c>
    </row>
    <row r="164" spans="2:146" x14ac:dyDescent="0.25">
      <c r="B164" s="85"/>
    </row>
    <row r="165" spans="2:146" x14ac:dyDescent="0.25">
      <c r="B165" s="85"/>
    </row>
    <row r="166" spans="2:146" x14ac:dyDescent="0.25">
      <c r="B166" s="8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50"/>
  <sheetViews>
    <sheetView workbookViewId="0">
      <selection activeCell="D4" sqref="D4"/>
    </sheetView>
  </sheetViews>
  <sheetFormatPr defaultColWidth="8.85546875" defaultRowHeight="15" x14ac:dyDescent="0.25"/>
  <cols>
    <col min="1" max="1" width="3.140625" bestFit="1" customWidth="1"/>
    <col min="2" max="2" width="20.140625" bestFit="1" customWidth="1"/>
    <col min="3" max="3" width="7.140625" customWidth="1"/>
    <col min="4" max="4" width="7.7109375" bestFit="1" customWidth="1"/>
    <col min="6" max="6" width="8.140625" bestFit="1" customWidth="1"/>
    <col min="7" max="7" width="7.85546875" bestFit="1" customWidth="1"/>
    <col min="8" max="8" width="9" bestFit="1" customWidth="1"/>
    <col min="9" max="9" width="10.140625" style="23" bestFit="1" customWidth="1"/>
    <col min="10" max="10" width="14.140625" style="26" bestFit="1" customWidth="1"/>
    <col min="11" max="11" width="17.7109375" bestFit="1" customWidth="1"/>
    <col min="13" max="13" width="8.85546875" style="12"/>
    <col min="15" max="18" width="8.85546875" style="29"/>
  </cols>
  <sheetData>
    <row r="1" spans="1:18" ht="15.75" x14ac:dyDescent="0.25">
      <c r="B1" s="20" t="s">
        <v>48</v>
      </c>
      <c r="C1" s="20">
        <v>1930</v>
      </c>
      <c r="D1" t="s">
        <v>43</v>
      </c>
      <c r="E1">
        <f>AVERAGE(IC)</f>
        <v>132.48275862068965</v>
      </c>
    </row>
    <row r="2" spans="1:18" x14ac:dyDescent="0.25">
      <c r="D2" t="s">
        <v>431</v>
      </c>
      <c r="E2">
        <f>AVERAGE(SCIENCE)</f>
        <v>2.3674830322118217</v>
      </c>
    </row>
    <row r="3" spans="1:18" x14ac:dyDescent="0.25">
      <c r="A3" s="6" t="s">
        <v>420</v>
      </c>
      <c r="B3" s="27" t="s">
        <v>384</v>
      </c>
      <c r="C3" s="6" t="s">
        <v>441</v>
      </c>
      <c r="D3" s="108" t="s">
        <v>436</v>
      </c>
      <c r="E3" s="108" t="s">
        <v>437</v>
      </c>
      <c r="F3" s="108" t="s">
        <v>438</v>
      </c>
      <c r="G3" s="108" t="s">
        <v>439</v>
      </c>
      <c r="H3" s="108" t="s">
        <v>440</v>
      </c>
      <c r="I3" s="6" t="s">
        <v>421</v>
      </c>
      <c r="J3"/>
      <c r="M3"/>
      <c r="O3"/>
      <c r="P3"/>
      <c r="Q3"/>
      <c r="R3"/>
    </row>
    <row r="4" spans="1:18" x14ac:dyDescent="0.25">
      <c r="A4">
        <v>1</v>
      </c>
      <c r="B4" s="33" t="s">
        <v>383</v>
      </c>
      <c r="C4" t="s">
        <v>23</v>
      </c>
      <c r="D4">
        <f>LN($C$1-E4)</f>
        <v>5.2983173665480363</v>
      </c>
      <c r="E4">
        <v>1730</v>
      </c>
      <c r="I4">
        <v>0</v>
      </c>
      <c r="J4"/>
      <c r="M4"/>
      <c r="O4"/>
      <c r="P4"/>
      <c r="Q4"/>
      <c r="R4"/>
    </row>
    <row r="5" spans="1:18" x14ac:dyDescent="0.25">
      <c r="A5">
        <v>2</v>
      </c>
      <c r="B5" s="26" t="s">
        <v>385</v>
      </c>
      <c r="C5" t="s">
        <v>23</v>
      </c>
      <c r="D5">
        <f t="shared" ref="D5:D13" si="0">LN($C$1-E5)</f>
        <v>5.1357984370502621</v>
      </c>
      <c r="E5">
        <v>1760</v>
      </c>
      <c r="I5">
        <v>0</v>
      </c>
      <c r="J5"/>
      <c r="M5"/>
      <c r="O5"/>
      <c r="P5"/>
      <c r="Q5"/>
      <c r="R5"/>
    </row>
    <row r="6" spans="1:18" x14ac:dyDescent="0.25">
      <c r="A6">
        <v>3</v>
      </c>
      <c r="B6" s="26" t="s">
        <v>386</v>
      </c>
      <c r="C6" t="s">
        <v>23</v>
      </c>
      <c r="D6">
        <f t="shared" si="0"/>
        <v>4.7874917427820458</v>
      </c>
      <c r="E6">
        <v>1810</v>
      </c>
      <c r="I6">
        <v>0</v>
      </c>
      <c r="J6"/>
      <c r="M6"/>
      <c r="O6"/>
      <c r="P6"/>
      <c r="Q6"/>
      <c r="R6"/>
    </row>
    <row r="7" spans="1:18" x14ac:dyDescent="0.25">
      <c r="A7">
        <v>4</v>
      </c>
      <c r="B7" s="26" t="s">
        <v>387</v>
      </c>
      <c r="C7" t="s">
        <v>58</v>
      </c>
      <c r="D7">
        <f t="shared" si="0"/>
        <v>4.0943445622221004</v>
      </c>
      <c r="E7">
        <v>1870</v>
      </c>
      <c r="I7">
        <v>1</v>
      </c>
      <c r="J7"/>
      <c r="M7"/>
      <c r="O7"/>
      <c r="P7"/>
      <c r="Q7"/>
      <c r="R7"/>
    </row>
    <row r="8" spans="1:18" x14ac:dyDescent="0.25">
      <c r="A8">
        <v>5</v>
      </c>
      <c r="B8" s="26" t="s">
        <v>388</v>
      </c>
      <c r="C8" t="s">
        <v>58</v>
      </c>
      <c r="D8">
        <f t="shared" si="0"/>
        <v>3.6888794541139363</v>
      </c>
      <c r="E8">
        <v>1890</v>
      </c>
      <c r="I8">
        <v>1</v>
      </c>
      <c r="J8"/>
      <c r="M8"/>
      <c r="O8"/>
      <c r="P8"/>
      <c r="Q8"/>
      <c r="R8"/>
    </row>
    <row r="9" spans="1:18" x14ac:dyDescent="0.25">
      <c r="A9">
        <v>6</v>
      </c>
      <c r="B9" s="26" t="s">
        <v>389</v>
      </c>
      <c r="C9" t="s">
        <v>28</v>
      </c>
      <c r="D9">
        <f t="shared" si="0"/>
        <v>3.2188758248682006</v>
      </c>
      <c r="E9">
        <v>1905</v>
      </c>
      <c r="I9">
        <v>1</v>
      </c>
      <c r="J9"/>
      <c r="M9"/>
      <c r="O9"/>
      <c r="P9"/>
      <c r="Q9"/>
      <c r="R9"/>
    </row>
    <row r="10" spans="1:18" x14ac:dyDescent="0.25">
      <c r="A10">
        <v>7</v>
      </c>
      <c r="B10" s="26" t="s">
        <v>390</v>
      </c>
      <c r="C10" t="s">
        <v>28</v>
      </c>
      <c r="D10">
        <f t="shared" si="0"/>
        <v>2.7080502011022101</v>
      </c>
      <c r="E10">
        <v>1915</v>
      </c>
      <c r="I10" t="s">
        <v>422</v>
      </c>
      <c r="J10"/>
      <c r="M10"/>
      <c r="O10"/>
      <c r="P10"/>
      <c r="Q10"/>
      <c r="R10"/>
    </row>
    <row r="11" spans="1:18" x14ac:dyDescent="0.25">
      <c r="A11">
        <v>8</v>
      </c>
      <c r="B11" s="26" t="s">
        <v>391</v>
      </c>
      <c r="C11" t="s">
        <v>23</v>
      </c>
      <c r="D11">
        <f t="shared" si="0"/>
        <v>3.4011973816621555</v>
      </c>
      <c r="E11">
        <v>1900</v>
      </c>
      <c r="I11">
        <v>3</v>
      </c>
      <c r="J11"/>
      <c r="M11"/>
      <c r="O11"/>
      <c r="P11"/>
      <c r="Q11"/>
      <c r="R11"/>
    </row>
    <row r="12" spans="1:18" x14ac:dyDescent="0.25">
      <c r="A12">
        <v>9</v>
      </c>
      <c r="B12" s="26" t="s">
        <v>392</v>
      </c>
      <c r="C12" t="s">
        <v>23</v>
      </c>
      <c r="D12">
        <f t="shared" si="0"/>
        <v>3.4011973816621555</v>
      </c>
      <c r="E12">
        <v>1900</v>
      </c>
      <c r="I12">
        <v>3</v>
      </c>
      <c r="J12"/>
      <c r="M12"/>
      <c r="O12"/>
      <c r="P12"/>
      <c r="Q12"/>
      <c r="R12"/>
    </row>
    <row r="13" spans="1:18" x14ac:dyDescent="0.25">
      <c r="A13">
        <v>10</v>
      </c>
      <c r="B13" s="26" t="s">
        <v>393</v>
      </c>
      <c r="C13" t="s">
        <v>58</v>
      </c>
      <c r="D13">
        <f t="shared" si="0"/>
        <v>2.9957322735539909</v>
      </c>
      <c r="E13">
        <v>1910</v>
      </c>
      <c r="I13">
        <v>4</v>
      </c>
      <c r="J13"/>
      <c r="M13"/>
      <c r="O13"/>
      <c r="P13"/>
      <c r="Q13"/>
      <c r="R13"/>
    </row>
    <row r="14" spans="1:18" x14ac:dyDescent="0.25">
      <c r="A14">
        <v>11</v>
      </c>
      <c r="B14" s="26" t="s">
        <v>394</v>
      </c>
      <c r="I14" t="s">
        <v>423</v>
      </c>
      <c r="J14"/>
      <c r="M14"/>
      <c r="O14"/>
      <c r="P14"/>
      <c r="Q14"/>
      <c r="R14"/>
    </row>
    <row r="15" spans="1:18" x14ac:dyDescent="0.25">
      <c r="A15">
        <v>12</v>
      </c>
      <c r="B15" s="26" t="s">
        <v>395</v>
      </c>
      <c r="I15" t="s">
        <v>424</v>
      </c>
      <c r="J15"/>
      <c r="M15"/>
      <c r="O15"/>
      <c r="P15"/>
      <c r="Q15"/>
      <c r="R15"/>
    </row>
    <row r="16" spans="1:18" x14ac:dyDescent="0.25">
      <c r="A16">
        <v>13</v>
      </c>
      <c r="B16" s="26" t="s">
        <v>396</v>
      </c>
      <c r="C16" t="s">
        <v>58</v>
      </c>
      <c r="D16">
        <f t="shared" ref="D16:D17" si="1">LN($C$1-E16)</f>
        <v>3.2188758248682006</v>
      </c>
      <c r="E16">
        <v>1905</v>
      </c>
      <c r="I16">
        <v>8</v>
      </c>
      <c r="J16"/>
      <c r="M16"/>
      <c r="O16"/>
      <c r="P16"/>
      <c r="Q16"/>
      <c r="R16"/>
    </row>
    <row r="17" spans="1:18" x14ac:dyDescent="0.25">
      <c r="A17">
        <v>14</v>
      </c>
      <c r="B17" s="26" t="s">
        <v>397</v>
      </c>
      <c r="C17" t="s">
        <v>26</v>
      </c>
      <c r="D17">
        <f t="shared" si="1"/>
        <v>3.1780538303479458</v>
      </c>
      <c r="E17">
        <v>1906</v>
      </c>
      <c r="I17">
        <v>8</v>
      </c>
      <c r="J17"/>
      <c r="M17"/>
      <c r="O17"/>
      <c r="P17"/>
      <c r="Q17"/>
      <c r="R17"/>
    </row>
    <row r="18" spans="1:18" x14ac:dyDescent="0.25">
      <c r="A18">
        <v>15</v>
      </c>
      <c r="B18" s="26" t="s">
        <v>398</v>
      </c>
      <c r="I18">
        <v>10</v>
      </c>
      <c r="J18"/>
      <c r="M18"/>
      <c r="O18"/>
      <c r="P18"/>
      <c r="Q18"/>
      <c r="R18"/>
    </row>
    <row r="19" spans="1:18" x14ac:dyDescent="0.25">
      <c r="A19">
        <v>16</v>
      </c>
      <c r="B19" s="26" t="s">
        <v>399</v>
      </c>
      <c r="I19">
        <v>4</v>
      </c>
      <c r="J19"/>
      <c r="M19"/>
      <c r="O19"/>
      <c r="P19"/>
      <c r="Q19"/>
      <c r="R19"/>
    </row>
    <row r="20" spans="1:18" x14ac:dyDescent="0.25">
      <c r="A20">
        <v>17</v>
      </c>
      <c r="B20" s="26" t="s">
        <v>400</v>
      </c>
      <c r="I20">
        <v>11</v>
      </c>
      <c r="J20"/>
      <c r="M20"/>
      <c r="O20"/>
      <c r="P20"/>
      <c r="Q20"/>
      <c r="R20"/>
    </row>
    <row r="21" spans="1:18" x14ac:dyDescent="0.25">
      <c r="A21">
        <v>18</v>
      </c>
      <c r="B21" s="26" t="s">
        <v>401</v>
      </c>
      <c r="I21">
        <v>11</v>
      </c>
      <c r="J21"/>
      <c r="M21"/>
      <c r="O21"/>
      <c r="P21"/>
      <c r="Q21"/>
      <c r="R21"/>
    </row>
    <row r="22" spans="1:18" x14ac:dyDescent="0.25">
      <c r="A22">
        <v>19</v>
      </c>
      <c r="B22" s="26" t="s">
        <v>402</v>
      </c>
      <c r="C22" t="s">
        <v>54</v>
      </c>
      <c r="D22">
        <f t="shared" ref="D22" si="2">LN($C$1-E22)</f>
        <v>2.1972245773362196</v>
      </c>
      <c r="E22">
        <v>1921</v>
      </c>
      <c r="I22">
        <v>7</v>
      </c>
      <c r="J22"/>
      <c r="M22"/>
      <c r="O22"/>
      <c r="P22"/>
      <c r="Q22"/>
      <c r="R22"/>
    </row>
    <row r="23" spans="1:18" x14ac:dyDescent="0.25">
      <c r="A23">
        <v>20</v>
      </c>
      <c r="B23" s="26" t="s">
        <v>403</v>
      </c>
      <c r="I23">
        <v>14</v>
      </c>
      <c r="J23"/>
      <c r="M23"/>
      <c r="O23"/>
      <c r="P23"/>
      <c r="Q23"/>
      <c r="R23"/>
    </row>
    <row r="24" spans="1:18" x14ac:dyDescent="0.25">
      <c r="A24">
        <v>21</v>
      </c>
      <c r="B24" s="26" t="s">
        <v>404</v>
      </c>
      <c r="I24">
        <v>14</v>
      </c>
      <c r="J24"/>
      <c r="M24"/>
      <c r="O24"/>
      <c r="P24"/>
      <c r="Q24"/>
      <c r="R24"/>
    </row>
    <row r="25" spans="1:18" x14ac:dyDescent="0.25">
      <c r="A25">
        <v>22</v>
      </c>
      <c r="B25" s="26" t="s">
        <v>405</v>
      </c>
      <c r="I25">
        <v>9</v>
      </c>
      <c r="J25"/>
      <c r="M25"/>
      <c r="O25"/>
      <c r="P25"/>
      <c r="Q25"/>
      <c r="R25"/>
    </row>
    <row r="26" spans="1:18" x14ac:dyDescent="0.25">
      <c r="A26">
        <v>23</v>
      </c>
      <c r="B26" s="26" t="s">
        <v>406</v>
      </c>
      <c r="I26">
        <v>9</v>
      </c>
      <c r="J26"/>
      <c r="M26"/>
      <c r="O26"/>
      <c r="P26"/>
      <c r="Q26"/>
      <c r="R26"/>
    </row>
    <row r="27" spans="1:18" x14ac:dyDescent="0.25">
      <c r="A27">
        <v>24</v>
      </c>
      <c r="B27" s="26" t="s">
        <v>407</v>
      </c>
      <c r="I27" t="s">
        <v>425</v>
      </c>
      <c r="J27"/>
      <c r="M27"/>
      <c r="O27"/>
      <c r="P27"/>
      <c r="Q27"/>
      <c r="R27"/>
    </row>
    <row r="28" spans="1:18" x14ac:dyDescent="0.25">
      <c r="A28">
        <v>25</v>
      </c>
      <c r="B28" s="26" t="s">
        <v>408</v>
      </c>
      <c r="I28">
        <v>13</v>
      </c>
      <c r="J28"/>
      <c r="M28"/>
      <c r="O28"/>
      <c r="P28"/>
      <c r="Q28"/>
      <c r="R28"/>
    </row>
    <row r="29" spans="1:18" x14ac:dyDescent="0.25">
      <c r="A29">
        <v>26</v>
      </c>
      <c r="B29" s="26" t="s">
        <v>409</v>
      </c>
      <c r="I29">
        <v>22</v>
      </c>
      <c r="J29"/>
      <c r="M29"/>
      <c r="O29"/>
      <c r="P29"/>
      <c r="Q29"/>
      <c r="R29"/>
    </row>
    <row r="30" spans="1:18" x14ac:dyDescent="0.25">
      <c r="A30">
        <v>27</v>
      </c>
      <c r="B30" s="26" t="s">
        <v>410</v>
      </c>
      <c r="I30">
        <v>24</v>
      </c>
      <c r="J30"/>
      <c r="M30"/>
      <c r="O30"/>
      <c r="P30"/>
      <c r="Q30"/>
      <c r="R30"/>
    </row>
    <row r="31" spans="1:18" x14ac:dyDescent="0.25">
      <c r="A31">
        <v>28</v>
      </c>
      <c r="B31" s="26" t="s">
        <v>411</v>
      </c>
      <c r="I31">
        <v>18</v>
      </c>
      <c r="J31"/>
      <c r="M31"/>
      <c r="O31"/>
      <c r="P31"/>
      <c r="Q31"/>
      <c r="R31"/>
    </row>
    <row r="32" spans="1:18" x14ac:dyDescent="0.25">
      <c r="A32">
        <v>29</v>
      </c>
      <c r="B32" s="26" t="s">
        <v>412</v>
      </c>
      <c r="I32">
        <v>2</v>
      </c>
      <c r="J32"/>
      <c r="M32"/>
      <c r="O32"/>
      <c r="P32"/>
      <c r="Q32"/>
      <c r="R32"/>
    </row>
    <row r="33" spans="1:18" x14ac:dyDescent="0.25">
      <c r="A33">
        <v>30</v>
      </c>
      <c r="B33" s="26" t="s">
        <v>413</v>
      </c>
      <c r="I33">
        <v>25</v>
      </c>
      <c r="J33"/>
      <c r="M33"/>
      <c r="O33"/>
      <c r="P33"/>
      <c r="Q33"/>
      <c r="R33"/>
    </row>
    <row r="34" spans="1:18" x14ac:dyDescent="0.25">
      <c r="A34">
        <v>31</v>
      </c>
      <c r="B34" s="26" t="s">
        <v>414</v>
      </c>
      <c r="I34">
        <v>21</v>
      </c>
      <c r="J34"/>
      <c r="M34"/>
      <c r="O34"/>
      <c r="P34"/>
      <c r="Q34"/>
      <c r="R34"/>
    </row>
    <row r="35" spans="1:18" x14ac:dyDescent="0.25">
      <c r="A35">
        <v>32</v>
      </c>
      <c r="B35" s="26" t="s">
        <v>415</v>
      </c>
      <c r="I35" t="s">
        <v>426</v>
      </c>
      <c r="J35"/>
      <c r="M35"/>
      <c r="O35"/>
      <c r="P35"/>
      <c r="Q35"/>
      <c r="R35"/>
    </row>
    <row r="36" spans="1:18" x14ac:dyDescent="0.25">
      <c r="A36">
        <v>33</v>
      </c>
      <c r="B36" s="26" t="s">
        <v>416</v>
      </c>
      <c r="I36" t="s">
        <v>427</v>
      </c>
      <c r="J36"/>
      <c r="M36"/>
      <c r="O36"/>
      <c r="P36"/>
      <c r="Q36"/>
      <c r="R36"/>
    </row>
    <row r="37" spans="1:18" x14ac:dyDescent="0.25">
      <c r="A37">
        <v>34</v>
      </c>
      <c r="B37" s="26" t="s">
        <v>417</v>
      </c>
      <c r="I37" t="s">
        <v>428</v>
      </c>
      <c r="J37"/>
      <c r="M37"/>
      <c r="O37"/>
      <c r="P37"/>
      <c r="Q37"/>
      <c r="R37"/>
    </row>
    <row r="38" spans="1:18" x14ac:dyDescent="0.25">
      <c r="A38">
        <v>35</v>
      </c>
      <c r="B38" s="26" t="s">
        <v>418</v>
      </c>
      <c r="I38" t="s">
        <v>429</v>
      </c>
      <c r="J38"/>
      <c r="M38"/>
      <c r="O38"/>
      <c r="P38"/>
      <c r="Q38"/>
      <c r="R38"/>
    </row>
    <row r="39" spans="1:18" x14ac:dyDescent="0.25">
      <c r="A39">
        <v>36</v>
      </c>
      <c r="B39" s="26" t="s">
        <v>419</v>
      </c>
      <c r="I39" t="s">
        <v>430</v>
      </c>
      <c r="J39"/>
      <c r="M39"/>
      <c r="O39"/>
      <c r="P39"/>
      <c r="Q39"/>
      <c r="R39"/>
    </row>
    <row r="40" spans="1:18" x14ac:dyDescent="0.25">
      <c r="B40" s="6"/>
      <c r="I40"/>
      <c r="J40"/>
      <c r="M40"/>
      <c r="O40"/>
      <c r="P40"/>
      <c r="Q40"/>
      <c r="R40"/>
    </row>
    <row r="41" spans="1:18" x14ac:dyDescent="0.25">
      <c r="B41" s="24"/>
      <c r="I41"/>
      <c r="J41"/>
      <c r="M41"/>
      <c r="O41"/>
      <c r="P41"/>
      <c r="Q41"/>
      <c r="R41"/>
    </row>
    <row r="42" spans="1:18" x14ac:dyDescent="0.25">
      <c r="I42"/>
      <c r="J42"/>
      <c r="M42"/>
      <c r="O42"/>
      <c r="P42"/>
      <c r="Q42"/>
      <c r="R42"/>
    </row>
    <row r="43" spans="1:18" x14ac:dyDescent="0.25">
      <c r="I43"/>
      <c r="J43"/>
      <c r="M43"/>
      <c r="O43"/>
      <c r="P43"/>
      <c r="Q43"/>
      <c r="R43"/>
    </row>
    <row r="44" spans="1:18" x14ac:dyDescent="0.25">
      <c r="I44"/>
      <c r="J44"/>
      <c r="M44"/>
      <c r="O44"/>
      <c r="P44"/>
      <c r="Q44"/>
      <c r="R44"/>
    </row>
    <row r="45" spans="1:18" x14ac:dyDescent="0.25">
      <c r="I45"/>
      <c r="J45"/>
      <c r="M45"/>
      <c r="O45"/>
      <c r="P45"/>
      <c r="Q45"/>
      <c r="R45"/>
    </row>
    <row r="46" spans="1:18" x14ac:dyDescent="0.25">
      <c r="I46"/>
      <c r="J46"/>
      <c r="M46"/>
      <c r="O46"/>
      <c r="P46"/>
      <c r="Q46"/>
      <c r="R46"/>
    </row>
    <row r="47" spans="1:18" x14ac:dyDescent="0.25">
      <c r="I47"/>
      <c r="J47"/>
      <c r="M47"/>
      <c r="O47"/>
      <c r="P47"/>
      <c r="Q47"/>
      <c r="R47"/>
    </row>
    <row r="48" spans="1:18" x14ac:dyDescent="0.25">
      <c r="I48"/>
      <c r="J48"/>
      <c r="M48"/>
      <c r="O48"/>
      <c r="P48"/>
      <c r="Q48"/>
      <c r="R48"/>
    </row>
    <row r="49" spans="9:18" x14ac:dyDescent="0.25">
      <c r="I49"/>
      <c r="J49"/>
      <c r="M49"/>
      <c r="O49"/>
      <c r="P49"/>
      <c r="Q49"/>
      <c r="R49"/>
    </row>
    <row r="50" spans="9:18" x14ac:dyDescent="0.25">
      <c r="I50"/>
      <c r="J50"/>
      <c r="M50"/>
      <c r="O50"/>
      <c r="P50"/>
      <c r="Q50"/>
      <c r="R50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ColWidth="11.42578125" defaultRowHeight="1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8"/>
  <sheetViews>
    <sheetView workbookViewId="0">
      <selection activeCell="J6" sqref="J6"/>
    </sheetView>
  </sheetViews>
  <sheetFormatPr defaultColWidth="11.42578125" defaultRowHeight="15" x14ac:dyDescent="0.25"/>
  <cols>
    <col min="1" max="1" width="5.140625" bestFit="1" customWidth="1"/>
    <col min="2" max="2" width="5.5703125" style="123" bestFit="1" customWidth="1"/>
    <col min="3" max="3" width="8" bestFit="1" customWidth="1"/>
    <col min="4" max="4" width="5.85546875" style="123" bestFit="1" customWidth="1"/>
    <col min="5" max="5" width="5.42578125" bestFit="1" customWidth="1"/>
    <col min="6" max="6" width="7.42578125" style="126" customWidth="1"/>
    <col min="7" max="7" width="21.42578125" bestFit="1" customWidth="1"/>
    <col min="8" max="8" width="5.7109375" style="25" customWidth="1"/>
    <col min="9" max="9" width="5.42578125" style="29" bestFit="1" customWidth="1"/>
    <col min="10" max="10" width="6.85546875" style="25" customWidth="1"/>
    <col min="11" max="11" width="7.7109375" style="3" bestFit="1" customWidth="1"/>
    <col min="12" max="12" width="7.85546875" style="29" bestFit="1" customWidth="1"/>
    <col min="13" max="13" width="5.28515625" style="12" bestFit="1" customWidth="1"/>
    <col min="14" max="14" width="7.28515625" style="12" bestFit="1" customWidth="1"/>
    <col min="15" max="15" width="6.85546875" bestFit="1" customWidth="1"/>
    <col min="16" max="16" width="7.85546875" customWidth="1"/>
    <col min="17" max="17" width="7.7109375" style="3" bestFit="1" customWidth="1"/>
    <col min="18" max="18" width="8.140625" style="3" bestFit="1" customWidth="1"/>
    <col min="19" max="19" width="7.7109375" style="3" bestFit="1" customWidth="1"/>
    <col min="20" max="20" width="9" bestFit="1" customWidth="1"/>
  </cols>
  <sheetData>
    <row r="1" spans="1:20" s="93" customFormat="1" x14ac:dyDescent="0.25">
      <c r="B1" s="121"/>
      <c r="D1" s="121"/>
      <c r="F1" s="124"/>
      <c r="H1" s="144" t="s">
        <v>355</v>
      </c>
      <c r="I1" s="137"/>
      <c r="J1" s="137"/>
      <c r="K1" s="137"/>
      <c r="L1" s="137"/>
      <c r="M1" s="137"/>
      <c r="N1" s="137"/>
      <c r="O1" s="144" t="s">
        <v>356</v>
      </c>
      <c r="P1" s="144"/>
      <c r="Q1" s="145"/>
      <c r="R1" s="145"/>
      <c r="S1" s="145"/>
    </row>
    <row r="2" spans="1:20" s="31" customFormat="1" x14ac:dyDescent="0.25">
      <c r="A2" s="30" t="s">
        <v>0</v>
      </c>
      <c r="B2" s="122" t="s">
        <v>455</v>
      </c>
      <c r="C2" s="120" t="s">
        <v>457</v>
      </c>
      <c r="D2" s="122" t="s">
        <v>461</v>
      </c>
      <c r="E2" s="120" t="s">
        <v>452</v>
      </c>
      <c r="F2" s="125" t="s">
        <v>453</v>
      </c>
      <c r="G2" s="30" t="s">
        <v>51</v>
      </c>
      <c r="H2" s="118" t="s">
        <v>220</v>
      </c>
      <c r="I2" s="32" t="s">
        <v>41</v>
      </c>
      <c r="J2" s="119" t="s">
        <v>40</v>
      </c>
      <c r="K2" s="117" t="s">
        <v>38</v>
      </c>
      <c r="L2" s="90" t="s">
        <v>249</v>
      </c>
      <c r="M2" s="90" t="s">
        <v>354</v>
      </c>
      <c r="N2" s="30" t="s">
        <v>434</v>
      </c>
      <c r="O2" s="90" t="s">
        <v>39</v>
      </c>
      <c r="P2" s="90" t="s">
        <v>22</v>
      </c>
      <c r="Q2" s="117" t="s">
        <v>447</v>
      </c>
      <c r="R2" s="117" t="s">
        <v>442</v>
      </c>
      <c r="S2" s="117" t="s">
        <v>443</v>
      </c>
      <c r="T2" s="30" t="s">
        <v>481</v>
      </c>
    </row>
    <row r="3" spans="1:20" x14ac:dyDescent="0.25">
      <c r="A3" t="s">
        <v>23</v>
      </c>
      <c r="B3" s="123">
        <f>FLOOR(SUMIFS(Stats!O:O,Stats!A:A,A3),0.01)</f>
        <v>24.91</v>
      </c>
      <c r="C3" t="s">
        <v>458</v>
      </c>
      <c r="D3" s="123">
        <f t="shared" ref="D3:D8" si="0">IF(C3="Excellent",1.4,IF(C3="Good",1.2,IF(C3="Average",1,IF(C3="Poor",0.8,IF(C3="Horrible",0.4,1)))))</f>
        <v>1.2</v>
      </c>
      <c r="E3">
        <v>100</v>
      </c>
      <c r="F3" s="126">
        <f t="shared" ref="F3:F8" si="1">SQRT(E3/B3)*D3</f>
        <v>2.4043316991025825</v>
      </c>
      <c r="G3" t="s">
        <v>448</v>
      </c>
      <c r="I3" s="25">
        <f>-0.2/F3</f>
        <v>-8.3183198089785235E-2</v>
      </c>
      <c r="N3" s="3"/>
      <c r="O3" s="3">
        <f>-2.5%/F3</f>
        <v>-1.0397899761223154E-2</v>
      </c>
      <c r="P3" s="3">
        <f>2.5%*F3</f>
        <v>6.0108292477564565E-2</v>
      </c>
    </row>
    <row r="4" spans="1:20" x14ac:dyDescent="0.25">
      <c r="A4" t="s">
        <v>58</v>
      </c>
      <c r="B4" s="123">
        <f>FLOOR(SUMIFS(Stats!O:O,Stats!A:A,A4),0.01)</f>
        <v>29.22</v>
      </c>
      <c r="C4" t="s">
        <v>459</v>
      </c>
      <c r="D4" s="123">
        <f t="shared" si="0"/>
        <v>1</v>
      </c>
      <c r="E4">
        <v>20</v>
      </c>
      <c r="F4" s="126">
        <f t="shared" si="1"/>
        <v>0.82732260744103048</v>
      </c>
      <c r="G4" t="s">
        <v>450</v>
      </c>
      <c r="I4" s="25">
        <f>0.2*F4</f>
        <v>0.16546452148820612</v>
      </c>
      <c r="K4" s="3">
        <f>5*F4%</f>
        <v>4.1366130372051522E-2</v>
      </c>
      <c r="N4" s="3"/>
      <c r="O4" s="3"/>
    </row>
    <row r="5" spans="1:20" x14ac:dyDescent="0.25">
      <c r="A5" t="s">
        <v>27</v>
      </c>
      <c r="B5" s="123">
        <f>FLOOR(SUMIFS(Stats!O:O,Stats!A:A,A5),0.01)</f>
        <v>23.36</v>
      </c>
      <c r="C5" t="s">
        <v>460</v>
      </c>
      <c r="D5" s="123">
        <f t="shared" si="0"/>
        <v>0.8</v>
      </c>
      <c r="E5">
        <v>200</v>
      </c>
      <c r="F5" s="126">
        <f t="shared" si="1"/>
        <v>2.3408229439226114</v>
      </c>
      <c r="G5" t="s">
        <v>451</v>
      </c>
      <c r="H5" s="25">
        <v>0.5</v>
      </c>
      <c r="J5" s="25">
        <f>0.5*F5</f>
        <v>1.1704114719613057</v>
      </c>
      <c r="L5" s="29">
        <f>-0.5%*F5</f>
        <v>-1.1704114719613056E-2</v>
      </c>
      <c r="N5" s="3">
        <f>-5%/F5</f>
        <v>-2.1360009363293828E-2</v>
      </c>
      <c r="O5" s="3">
        <f>-2.5%/F5</f>
        <v>-1.0680004681646914E-2</v>
      </c>
    </row>
    <row r="6" spans="1:20" x14ac:dyDescent="0.25">
      <c r="A6" t="s">
        <v>55</v>
      </c>
      <c r="B6" s="123">
        <f>FLOOR(SUMIFS(Stats!O:O,Stats!A:A,A6),0.01)</f>
        <v>23.85</v>
      </c>
      <c r="C6" t="s">
        <v>462</v>
      </c>
      <c r="D6" s="123">
        <f t="shared" si="0"/>
        <v>1.4</v>
      </c>
      <c r="E6">
        <v>50</v>
      </c>
      <c r="F6" s="126">
        <f t="shared" si="1"/>
        <v>2.0270704662276566</v>
      </c>
      <c r="G6" t="s">
        <v>454</v>
      </c>
      <c r="K6" s="3">
        <f>5*F6%</f>
        <v>0.10135352331138284</v>
      </c>
      <c r="M6" s="12">
        <f>2%*F6</f>
        <v>4.0541409324553135E-2</v>
      </c>
      <c r="N6" s="3">
        <f>-5%/F6</f>
        <v>-2.4666138071188587E-2</v>
      </c>
      <c r="O6" s="3">
        <f>-2.5%/F6</f>
        <v>-1.2333069035594293E-2</v>
      </c>
    </row>
    <row r="7" spans="1:20" x14ac:dyDescent="0.25">
      <c r="A7" t="s">
        <v>59</v>
      </c>
      <c r="B7" s="123">
        <f>FLOOR(SUMIFS(Stats!O:O,Stats!A:A,A7),0.01)</f>
        <v>11.17</v>
      </c>
      <c r="C7" t="s">
        <v>459</v>
      </c>
      <c r="D7" s="123">
        <f t="shared" si="0"/>
        <v>1</v>
      </c>
      <c r="E7">
        <v>52</v>
      </c>
      <c r="F7" s="126">
        <f t="shared" si="1"/>
        <v>2.1576206265534532</v>
      </c>
      <c r="G7" t="s">
        <v>463</v>
      </c>
      <c r="O7" s="3">
        <f>-2.5%/F7</f>
        <v>-1.1586837691635614E-2</v>
      </c>
      <c r="P7" s="3">
        <f>2.5%*F7</f>
        <v>5.3940515663836335E-2</v>
      </c>
    </row>
    <row r="8" spans="1:20" x14ac:dyDescent="0.25">
      <c r="A8" t="s">
        <v>57</v>
      </c>
      <c r="B8" s="123">
        <f>FLOOR(SUMIFS(Stats!O:O,Stats!A:A,A8),0.01)</f>
        <v>33.99</v>
      </c>
      <c r="C8" t="s">
        <v>459</v>
      </c>
      <c r="D8" s="123">
        <f t="shared" si="0"/>
        <v>1</v>
      </c>
      <c r="E8">
        <v>50</v>
      </c>
      <c r="F8" s="126">
        <f t="shared" si="1"/>
        <v>1.2128564995483251</v>
      </c>
      <c r="G8" t="s">
        <v>483</v>
      </c>
      <c r="O8" s="12">
        <v>-0.02</v>
      </c>
      <c r="Q8" s="3">
        <v>0.5</v>
      </c>
      <c r="R8" s="3">
        <v>-2E-3</v>
      </c>
      <c r="S8" s="3">
        <v>5.0000000000000001E-3</v>
      </c>
      <c r="T8" s="12">
        <v>-0.25</v>
      </c>
    </row>
  </sheetData>
  <mergeCells count="2">
    <mergeCell ref="H1:N1"/>
    <mergeCell ref="O1:S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33</vt:i4>
      </vt:variant>
    </vt:vector>
  </HeadingPairs>
  <TitlesOfParts>
    <vt:vector size="41" baseType="lpstr">
      <vt:lpstr>TOWORLD</vt:lpstr>
      <vt:lpstr>Stats</vt:lpstr>
      <vt:lpstr>Govt</vt:lpstr>
      <vt:lpstr>Univ</vt:lpstr>
      <vt:lpstr>Regions</vt:lpstr>
      <vt:lpstr>Tech</vt:lpstr>
      <vt:lpstr>Military</vt:lpstr>
      <vt:lpstr>Modifiers</vt:lpstr>
      <vt:lpstr>CC</vt:lpstr>
      <vt:lpstr>Dev</vt:lpstr>
      <vt:lpstr>DomDis</vt:lpstr>
      <vt:lpstr>DomTech</vt:lpstr>
      <vt:lpstr>GovernmentGrowth</vt:lpstr>
      <vt:lpstr>Gro</vt:lpstr>
      <vt:lpstr>IC</vt:lpstr>
      <vt:lpstr>InfCap</vt:lpstr>
      <vt:lpstr>MobSize</vt:lpstr>
      <vt:lpstr>ModAP</vt:lpstr>
      <vt:lpstr>ModEP</vt:lpstr>
      <vt:lpstr>ModEprinE</vt:lpstr>
      <vt:lpstr>ModIC</vt:lpstr>
      <vt:lpstr>ModIGR</vt:lpstr>
      <vt:lpstr>ModIT</vt:lpstr>
      <vt:lpstr>ModMilit</vt:lpstr>
      <vt:lpstr>ModMP</vt:lpstr>
      <vt:lpstr>ModMS</vt:lpstr>
      <vt:lpstr>ModPGR</vt:lpstr>
      <vt:lpstr>ModSci</vt:lpstr>
      <vt:lpstr>ModSTAB</vt:lpstr>
      <vt:lpstr>ModTags</vt:lpstr>
      <vt:lpstr>ModTXP</vt:lpstr>
      <vt:lpstr>Owner</vt:lpstr>
      <vt:lpstr>Owner1</vt:lpstr>
      <vt:lpstr>PrivateGrowth</vt:lpstr>
      <vt:lpstr>SCIENCE</vt:lpstr>
      <vt:lpstr>StartInfCap</vt:lpstr>
      <vt:lpstr>Tags</vt:lpstr>
      <vt:lpstr>TechEP</vt:lpstr>
      <vt:lpstr>TechESL</vt:lpstr>
      <vt:lpstr>TechGrowth</vt:lpstr>
      <vt:lpstr>TechMxMP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</dc:creator>
  <cp:lastModifiedBy>Owen</cp:lastModifiedBy>
  <dcterms:created xsi:type="dcterms:W3CDTF">2014-09-18T19:06:28Z</dcterms:created>
  <dcterms:modified xsi:type="dcterms:W3CDTF">2015-12-10T08:11:26Z</dcterms:modified>
</cp:coreProperties>
</file>