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71ecf029a405de/01_Duoc/0_2024/CAPSTONE_003V/FINAL/"/>
    </mc:Choice>
  </mc:AlternateContent>
  <xr:revisionPtr revIDLastSave="25" documentId="8_{7E0330C0-ACE1-4875-AFE1-2F8135223265}" xr6:coauthVersionLast="47" xr6:coauthVersionMax="47" xr10:uidLastSave="{6A540816-EA43-4421-A687-B0CC9BBCD299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<sst xmlns="http://schemas.openxmlformats.org/spreadsheetml/2006/main" count="164" uniqueCount="66">
  <si>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</si>
  <si>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</si>
  <si>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</si>
  <si>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</si>
  <si>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</si>
  <si>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</si>
  <si>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</si>
  <si>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</si>
  <si>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</si>
  <si>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</si>
  <si>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</si>
  <si>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</si>
  <si>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</si>
  <si>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</si>
  <si>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</si>
  <si>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</si>
  <si>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</si>
  <si>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</si>
  <si>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</si>
  <si>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</si>
  <si>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</si>
  <si>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</si>
  <si>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</si>
  <si>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</si>
  <si>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</si>
  <si>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</si>
  <si>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</si>
  <si>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</si>
  <si>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</si>
  <si>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</si>
  <si>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</si>
  <si>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</si>
  <si>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</si>
  <si>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</si>
  <si>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</si>
  <si>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</si>
  <si>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</si>
  <si>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</si>
  <si>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</si>
  <si>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</si>
  <si>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</si>
  <si>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</si>
  <si>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</si>
  <si>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</si>
  <si>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</si>
  <si>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</si>
  <si>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</si>
  <si>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</si>
  <si>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</si>
  <si>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</si>
  <si>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</si>
  <si>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</si>
  <si>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</si>
  <si>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</si>
  <si>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</si>
  <si>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</si>
  <si>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</si>
  <si>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</si>
  <si>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</si>
  <si>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</si>
  <si>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</si>
  <si>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</si>
  <si>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</si>
  <si>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FLORES GUAJARDO CRISTOPHER SEBASTIAN</t>
  </si>
  <si>
    <t>NAVARRETE ULLOA LUIS REINALDO</t>
  </si>
  <si>
    <t>NAVARRO MEDINA JULIO ARMANDO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</si>
</sst>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C79" sqref="C79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</row>
    <row r="4" spans="1:11" ht="14.4" x14ac:dyDescent="0.3">
      <c r="A4" s="3">
        <v>1</v>
      </c>
      <c r="B4" s="16" t="s">
        <v>63</v>
      </c>
      <c r="C4" s="31">
        <f>C21</f>
        <v>5.8</v>
      </c>
      <c r="D4" s="37">
        <f>C60</f>
        <v>5.8</v>
      </c>
      <c r="E4" s="36">
        <f>C4*C$2+D4*D$2</f>
        <v>5.8</v>
      </c>
    </row>
    <row r="5" spans="1:11" ht="14.4" x14ac:dyDescent="0.3">
      <c r="A5" s="3">
        <v>2</v>
      </c>
      <c r="B5" s="16" t="s">
        <v>64</v>
      </c>
      <c r="C5" s="31">
        <f>C34</f>
        <v>5.8</v>
      </c>
      <c r="D5" s="37">
        <f>C73</f>
        <v>5.8</v>
      </c>
      <c r="E5" s="36">
        <f t="shared" ref="E5:E6" si="0">C5*C$2+D5*D$2</f>
        <v>5.8</v>
      </c>
    </row>
    <row r="6" spans="1:11" ht="14.4" x14ac:dyDescent="0.3">
      <c r="A6" s="3">
        <v>3</v>
      </c>
      <c r="B6" s="16" t="s">
        <v>65</v>
      </c>
      <c r="C6" s="31">
        <f>C47</f>
        <v>5.7</v>
      </c>
      <c r="D6" s="37">
        <f>C86</f>
        <v>5.7</v>
      </c>
      <c r="E6" s="36">
        <f t="shared" si="0"/>
        <v>5.6999999999999993</v>
      </c>
    </row>
    <row r="11" spans="1:11" ht="18" outlineLevel="1" x14ac:dyDescent="0.3">
      <c r="A11" s="48" t="s">
        <v>4</v>
      </c>
      <c r="B11" s="11" t="str">
        <f>B4</f>
        <v>FLORES GUAJARDO CRISTOPHER SEBASTIAN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ht="14.4" outlineLevel="1" x14ac:dyDescent="0.3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3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9</v>
      </c>
      <c r="D13" s="12" t="str">
        <f t="shared" ref="D13:D17" si="1">IF($C13=CL,"X","")</f>
        <v/>
      </c>
      <c r="E13" s="12" t="str">
        <f>IF(D13="X",100*0.15,"")</f>
        <v/>
      </c>
      <c r="F13" s="12" t="str">
        <f t="shared" ref="F13:F17" si="2">IF($C13=L,"X","")</f>
        <v>X</v>
      </c>
      <c r="G13" s="12">
        <f>IF(F13="X",60*0.15,"")</f>
        <v>9</v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" customHeight="1" outlineLevel="1" x14ac:dyDescent="0.3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9</v>
      </c>
      <c r="D14" s="12" t="str">
        <f t="shared" si="1"/>
        <v/>
      </c>
      <c r="E14" s="12" t="str">
        <f>IF(D14="X",100*0.25,"")</f>
        <v/>
      </c>
      <c r="F14" s="12" t="str">
        <f t="shared" si="2"/>
        <v>X</v>
      </c>
      <c r="G14" s="12">
        <f>IF(F14="X",60*0.25,"")</f>
        <v>15</v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3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3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3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4" outlineLevel="1" x14ac:dyDescent="0.3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3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5">
      <c r="A20" s="40"/>
      <c r="B20" s="18" t="s">
        <v>12</v>
      </c>
      <c r="C20" s="22">
        <f>E20+G20+I20+K20</f>
        <v>84</v>
      </c>
      <c r="D20" s="13"/>
      <c r="E20" s="13">
        <f>SUM(E13:E19)</f>
        <v>60</v>
      </c>
      <c r="F20" s="13"/>
      <c r="G20" s="13">
        <f>SUM(G13:G19)</f>
        <v>24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5">
      <c r="A21" s="42"/>
      <c r="B21" s="21" t="s">
        <v>13</v>
      </c>
      <c r="C21" s="14">
        <f>VLOOKUP(C20,ESCALA_IEP!A2:B202,2,FALSE)</f>
        <v>5.8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8" t="s">
        <v>4</v>
      </c>
      <c r="B24" s="11" t="str">
        <f>B5</f>
        <v>NAVARRETE ULLOA LUIS REINALDO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3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9</v>
      </c>
      <c r="D26" s="12" t="str">
        <f t="shared" ref="D26:D30" si="7">IF($C26=CL,"X","")</f>
        <v/>
      </c>
      <c r="E26" s="12" t="str">
        <f>IF(D26="X",100*0.15,"")</f>
        <v/>
      </c>
      <c r="F26" s="12" t="str">
        <f t="shared" ref="F26:F30" si="8">IF($C26=L,"X","")</f>
        <v>X</v>
      </c>
      <c r="G26" s="12">
        <f>IF(F26="X",60*0.15,"")</f>
        <v>9</v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3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9</v>
      </c>
      <c r="D27" s="12" t="str">
        <f t="shared" si="7"/>
        <v/>
      </c>
      <c r="E27" s="12" t="str">
        <f>IF(D27="X",100*0.25,"")</f>
        <v/>
      </c>
      <c r="F27" s="12" t="str">
        <f t="shared" si="8"/>
        <v>X</v>
      </c>
      <c r="G27" s="12">
        <f>IF(F27="X",60*0.25,"")</f>
        <v>15</v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3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3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3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3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3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35">
      <c r="A33" s="40"/>
      <c r="B33" s="18" t="s">
        <v>12</v>
      </c>
      <c r="C33" s="22">
        <f>E33+G33+I33+K33</f>
        <v>84</v>
      </c>
      <c r="D33" s="13"/>
      <c r="E33" s="13">
        <f>SUM(E26:E32)</f>
        <v>60</v>
      </c>
      <c r="F33" s="13"/>
      <c r="G33" s="13">
        <f>SUM(G26:G32)</f>
        <v>24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2"/>
      <c r="B34" s="21" t="s">
        <v>13</v>
      </c>
      <c r="C34" s="14">
        <f>VLOOKUP(C33,ESCALA_IEP!A15:B215,2,FALSE)</f>
        <v>5.8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48" t="s">
        <v>4</v>
      </c>
      <c r="B37" s="11" t="str">
        <f>B6</f>
        <v>NAVARRO MEDINA JULIO ARMANDO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3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9</v>
      </c>
      <c r="D39" s="12" t="str">
        <f t="shared" ref="D39:D43" si="12">IF($C39=CL,"X","")</f>
        <v/>
      </c>
      <c r="E39" s="12" t="str">
        <f>IF(D39="X",100*0.15,"")</f>
        <v/>
      </c>
      <c r="F39" s="12" t="str">
        <f t="shared" ref="F39:F43" si="13">IF($C39=L,"X","")</f>
        <v>X</v>
      </c>
      <c r="G39" s="12">
        <f>IF(F39="X",60*0.15,"")</f>
        <v>9</v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3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9</v>
      </c>
      <c r="D40" s="12" t="str">
        <f t="shared" si="12"/>
        <v/>
      </c>
      <c r="E40" s="12" t="str">
        <f>IF(D40="X",100*0.25,"")</f>
        <v/>
      </c>
      <c r="F40" s="12" t="str">
        <f t="shared" si="13"/>
        <v>X</v>
      </c>
      <c r="G40" s="12">
        <f>IF(F40="X",60*0.25,"")</f>
        <v>15</v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3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3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3">
      <c r="A43" s="41"/>
      <c r="B43" s="19" t="str">
        <f>RUBRICA!A8</f>
        <v>5. Expresa sus ideas con fluidez, claridad y precisión, utilizando lenguaje técnico propio de la disciplina.</v>
      </c>
      <c r="C43" s="17" t="s">
        <v>9</v>
      </c>
      <c r="D43" s="12" t="str">
        <f t="shared" si="12"/>
        <v/>
      </c>
      <c r="E43" s="12" t="str">
        <f>IF(D43="X",100*0.05,"")</f>
        <v/>
      </c>
      <c r="F43" s="12" t="str">
        <f t="shared" si="13"/>
        <v>X</v>
      </c>
      <c r="G43" s="12">
        <f>IF(F43="X",60*0.05,"")</f>
        <v>3</v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3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3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5">
      <c r="A46" s="40"/>
      <c r="B46" s="18" t="s">
        <v>12</v>
      </c>
      <c r="C46" s="22">
        <f>E46+G46+I46+K46</f>
        <v>82</v>
      </c>
      <c r="D46" s="13"/>
      <c r="E46" s="13">
        <f>SUM(E39:E45)</f>
        <v>55</v>
      </c>
      <c r="F46" s="13"/>
      <c r="G46" s="13">
        <f>SUM(G39:G45)</f>
        <v>27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2"/>
      <c r="B47" s="21" t="s">
        <v>13</v>
      </c>
      <c r="C47" s="14">
        <f>VLOOKUP(C46,ESCALA_IEP!A28:B228,2,FALSE)</f>
        <v>5.7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39" t="s">
        <v>14</v>
      </c>
      <c r="B50" s="11" t="str">
        <f>B4</f>
        <v>FLORES GUAJARDO CRISTOPHER SEBASTIAN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3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9</v>
      </c>
      <c r="D52" s="12" t="str">
        <f t="shared" ref="D52:D56" si="17">IF($C52=CL,"X","")</f>
        <v/>
      </c>
      <c r="E52" s="12" t="str">
        <f>IF(D52="X",100*0.15,"")</f>
        <v/>
      </c>
      <c r="F52" s="12" t="str">
        <f t="shared" ref="F52:F56" si="18">IF($C52=L,"X","")</f>
        <v>X</v>
      </c>
      <c r="G52" s="12">
        <f>IF(F52="X",60*0.15,"")</f>
        <v>9</v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3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9</v>
      </c>
      <c r="D53" s="12" t="str">
        <f t="shared" si="17"/>
        <v/>
      </c>
      <c r="E53" s="12" t="str">
        <f>IF(D53="X",100*0.25,"")</f>
        <v/>
      </c>
      <c r="F53" s="12" t="str">
        <f t="shared" si="18"/>
        <v>X</v>
      </c>
      <c r="G53" s="12">
        <f>IF(F53="X",60*0.25,"")</f>
        <v>15</v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3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3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3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3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3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5">
      <c r="A59" s="40"/>
      <c r="B59" s="18" t="s">
        <v>12</v>
      </c>
      <c r="C59" s="22">
        <f>E59+G59+I59+K59</f>
        <v>84</v>
      </c>
      <c r="D59" s="13"/>
      <c r="E59" s="13">
        <f>SUM(E52:E58)</f>
        <v>60</v>
      </c>
      <c r="F59" s="13"/>
      <c r="G59" s="13">
        <f>SUM(G52:G58)</f>
        <v>24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2"/>
      <c r="B60" s="21" t="s">
        <v>13</v>
      </c>
      <c r="C60" s="14">
        <f>VLOOKUP(C59,ESCALA_IEP!A41:B241,2,FALSE)</f>
        <v>5.8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39" t="s">
        <v>15</v>
      </c>
      <c r="B63" s="11" t="str">
        <f>B5</f>
        <v>NAVARRETE ULLOA LUIS REINALDO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3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3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9</v>
      </c>
      <c r="D65" s="12" t="str">
        <f t="shared" ref="D65:D69" si="22">IF($C65=CL,"X","")</f>
        <v/>
      </c>
      <c r="E65" s="12" t="str">
        <f>IF(D65="X",100*0.15,"")</f>
        <v/>
      </c>
      <c r="F65" s="12" t="str">
        <f t="shared" ref="F65:F69" si="23">IF($C65=L,"X","")</f>
        <v>X</v>
      </c>
      <c r="G65" s="12">
        <f>IF(F65="X",60*0.15,"")</f>
        <v>9</v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3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9</v>
      </c>
      <c r="D66" s="12" t="str">
        <f t="shared" si="22"/>
        <v/>
      </c>
      <c r="E66" s="12" t="str">
        <f>IF(D66="X",100*0.25,"")</f>
        <v/>
      </c>
      <c r="F66" s="12" t="str">
        <f t="shared" si="23"/>
        <v>X</v>
      </c>
      <c r="G66" s="12">
        <f>IF(F66="X",60*0.25,"")</f>
        <v>15</v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3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3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3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3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3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5">
      <c r="A72" s="40"/>
      <c r="B72" s="18" t="s">
        <v>12</v>
      </c>
      <c r="C72" s="22">
        <f>E72+G72+I72+K72</f>
        <v>84</v>
      </c>
      <c r="D72" s="13"/>
      <c r="E72" s="13">
        <f>SUM(E65:E71)</f>
        <v>60</v>
      </c>
      <c r="F72" s="13"/>
      <c r="G72" s="13">
        <f>SUM(G65:G71)</f>
        <v>24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2"/>
      <c r="B73" s="21" t="s">
        <v>13</v>
      </c>
      <c r="C73" s="14">
        <f>VLOOKUP(C72,ESCALA_IEP!A54:B254,2,FALSE)</f>
        <v>5.8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39" t="s">
        <v>16</v>
      </c>
      <c r="B76" s="11" t="str">
        <f>B6</f>
        <v>NAVARRO MEDINA JULIO ARMANDO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3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3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9</v>
      </c>
      <c r="D78" s="12" t="str">
        <f t="shared" ref="D78:D82" si="27">IF($C78=CL,"X","")</f>
        <v/>
      </c>
      <c r="E78" s="12" t="str">
        <f>IF(D78="X",100*0.15,"")</f>
        <v/>
      </c>
      <c r="F78" s="12" t="str">
        <f t="shared" ref="F78:F82" si="28">IF($C78=L,"X","")</f>
        <v>X</v>
      </c>
      <c r="G78" s="12">
        <f>IF(F78="X",60*0.15,"")</f>
        <v>9</v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3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9</v>
      </c>
      <c r="D79" s="12" t="str">
        <f t="shared" si="27"/>
        <v/>
      </c>
      <c r="E79" s="12" t="str">
        <f>IF(D79="X",100*0.25,"")</f>
        <v/>
      </c>
      <c r="F79" s="12" t="str">
        <f t="shared" si="28"/>
        <v>X</v>
      </c>
      <c r="G79" s="12">
        <f>IF(F79="X",60*0.25,"")</f>
        <v>15</v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3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3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3">
      <c r="A82" s="41"/>
      <c r="B82" s="19" t="str">
        <f>RUBRICA!A8</f>
        <v>5. Expresa sus ideas con fluidez, claridad y precisión, utilizando lenguaje técnico propio de la disciplina.</v>
      </c>
      <c r="C82" s="17" t="s">
        <v>9</v>
      </c>
      <c r="D82" s="12" t="str">
        <f t="shared" si="27"/>
        <v/>
      </c>
      <c r="E82" s="12" t="str">
        <f>IF(D82="X",100*0.05,"")</f>
        <v/>
      </c>
      <c r="F82" s="12" t="str">
        <f t="shared" si="28"/>
        <v>X</v>
      </c>
      <c r="G82" s="12">
        <f>IF(F82="X",60*0.05,"")</f>
        <v>3</v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3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3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5">
      <c r="A85" s="40"/>
      <c r="B85" s="18" t="s">
        <v>12</v>
      </c>
      <c r="C85" s="22">
        <f>E85+G85+I85+K85</f>
        <v>82</v>
      </c>
      <c r="D85" s="13"/>
      <c r="E85" s="13">
        <f>SUM(E78:E84)</f>
        <v>55</v>
      </c>
      <c r="F85" s="13"/>
      <c r="G85" s="13">
        <f>SUM(G78:G84)</f>
        <v>27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2"/>
      <c r="B86" s="21" t="s">
        <v>13</v>
      </c>
      <c r="C86" s="14">
        <f>VLOOKUP(C85,ESCALA_IEP!A67:B267,2,FALSE)</f>
        <v>5.7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4140625" defaultRowHeight="14.4" x14ac:dyDescent="0.3"/>
  <cols>
    <col min="1" max="1" width="45.5546875" customWidth="1"/>
    <col min="2" max="2" width="31.33203125" customWidth="1"/>
    <col min="3" max="3" width="24.109375" customWidth="1"/>
    <col min="4" max="4" width="29.88671875" customWidth="1"/>
    <col min="5" max="5" width="30.6640625" customWidth="1"/>
    <col min="6" max="6" width="15.33203125" customWidth="1"/>
  </cols>
  <sheetData>
    <row r="1" spans="1:6" ht="15" thickBot="1" x14ac:dyDescent="0.3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3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3">
      <c r="A3" s="50"/>
      <c r="B3" s="55"/>
      <c r="C3" s="55"/>
      <c r="D3" s="27">
        <v>0.3</v>
      </c>
      <c r="E3" s="27">
        <v>0</v>
      </c>
      <c r="F3" s="50"/>
    </row>
    <row r="4" spans="1:6" ht="110.4" x14ac:dyDescent="0.3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4999999999999" customHeight="1" x14ac:dyDescent="0.3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3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96.6" x14ac:dyDescent="0.3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96.6" x14ac:dyDescent="0.3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96.6" x14ac:dyDescent="0.3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3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58</v>
      </c>
      <c r="B1" t="s">
        <v>59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60</v>
      </c>
      <c r="B1" s="4" t="s">
        <v>12</v>
      </c>
      <c r="C1" s="5"/>
      <c r="D1" s="5"/>
      <c r="E1" s="6"/>
    </row>
    <row r="2" spans="1:5" ht="43.8" thickBot="1" x14ac:dyDescent="0.35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29.4" thickBot="1" x14ac:dyDescent="0.3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thickBot="1" x14ac:dyDescent="0.35">
      <c r="A4" s="9"/>
      <c r="B4" s="10"/>
      <c r="C4" s="10"/>
      <c r="D4" s="10"/>
      <c r="E4" s="10"/>
    </row>
    <row r="5" spans="1:5" thickBot="1" x14ac:dyDescent="0.35">
      <c r="A5" s="9"/>
      <c r="B5" s="10"/>
      <c r="C5" s="10"/>
      <c r="D5" s="10"/>
      <c r="E5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Alejandro Sepúlveda Montero</cp:lastModifiedBy>
  <cp:revision/>
  <dcterms:created xsi:type="dcterms:W3CDTF">2023-08-07T04:08:01Z</dcterms:created>
  <dcterms:modified xsi:type="dcterms:W3CDTF">2024-12-12T13:29:00Z</dcterms:modified>
  <cp:category/>
  <cp:contentStatus/>
</cp:coreProperties>
</file>