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a Inicial - Calendário" sheetId="1" r:id="rId5"/>
    <sheet state="visible" name="Semana 1" sheetId="2" r:id="rId6"/>
    <sheet state="visible" name="Semana 2" sheetId="3" r:id="rId7"/>
    <sheet state="visible" name="Semana 3" sheetId="4" r:id="rId8"/>
    <sheet state="visible" name="Semana 4" sheetId="5" r:id="rId9"/>
    <sheet state="visible" name="Semana 5" sheetId="6" r:id="rId10"/>
    <sheet state="visible" name="PSR e PSE" sheetId="7" r:id="rId11"/>
    <sheet state="visible" name="Relatório Semanal" sheetId="8" r:id="rId12"/>
    <sheet state="visible" name="Dados de Base" sheetId="9" r:id="rId13"/>
    <sheet state="visible" name="Periodização Macrociclo" sheetId="10" r:id="rId14"/>
    <sheet state="visible" name="Anotações gerais" sheetId="11" r:id="rId15"/>
    <sheet state="visible" name="Montagem" sheetId="12" r:id="rId16"/>
    <sheet state="visible" name="Biblioteca" sheetId="13" r:id="rId17"/>
    <sheet state="visible" name="Progresso" sheetId="14" r:id="rId18"/>
    <sheet state="visible" name="Rotina Atualização" sheetId="15" r:id="rId19"/>
    <sheet state="hidden" name="Registro" sheetId="16" r:id="rId20"/>
    <sheet state="hidden" name="Imagens" sheetId="17" r:id="rId21"/>
  </sheets>
  <definedNames>
    <definedName hidden="1" localSheetId="11" name="_xlnm._FilterDatabase">Montagem!$A$1:$I$301</definedName>
    <definedName hidden="1" localSheetId="12" name="_xlnm._FilterDatabase">Biblioteca!$A$1:$I$202</definedName>
  </definedNames>
  <calcPr/>
</workbook>
</file>

<file path=xl/sharedStrings.xml><?xml version="1.0" encoding="utf-8"?>
<sst xmlns="http://schemas.openxmlformats.org/spreadsheetml/2006/main" count="5329" uniqueCount="653">
  <si>
    <t>Semana</t>
  </si>
  <si>
    <t>Dias</t>
  </si>
  <si>
    <t>Acesso</t>
  </si>
  <si>
    <t>Área do professor</t>
  </si>
  <si>
    <t>Versão 2.6.03</t>
  </si>
  <si>
    <t xml:space="preserve">Meso </t>
  </si>
  <si>
    <t>Micro</t>
  </si>
  <si>
    <t>Sessões na semana</t>
  </si>
  <si>
    <t>Volume Total de Treinamento (min)</t>
  </si>
  <si>
    <t>Volume de Treinamento Cíclico (min)</t>
  </si>
  <si>
    <t>Quao recuperado você esta se sentindo (PSR)?</t>
  </si>
  <si>
    <t>10 - Totalmente Recuperado</t>
  </si>
  <si>
    <t>Volume de Treinamento Cíclico (km)</t>
  </si>
  <si>
    <t>Volume de Treinamento Resistido (séries)</t>
  </si>
  <si>
    <t>Volume</t>
  </si>
  <si>
    <t>Método</t>
  </si>
  <si>
    <t>KCAL est.</t>
  </si>
  <si>
    <t>Numero de Repetições</t>
  </si>
  <si>
    <t>Volume de Treinamento Resistido (t)</t>
  </si>
  <si>
    <t>N. Séries</t>
  </si>
  <si>
    <t>N. repetições</t>
  </si>
  <si>
    <t>Tempo sob Tensão (min)</t>
  </si>
  <si>
    <t>TEMPO ESTIMADO PARA A SESSÃO (min)</t>
  </si>
  <si>
    <t>Gasto Energético (kcal)</t>
  </si>
  <si>
    <t>ORIENTAÇÕES GERAIS</t>
  </si>
  <si>
    <t>Gasto Energético Média/dia (kcal)</t>
  </si>
  <si>
    <t>Carga Interna de Treinamento (ua)</t>
  </si>
  <si>
    <t>Carga Interna de Treinamento Média da Sessão</t>
  </si>
  <si>
    <t>Carga Interna de Treinamento Média Diária</t>
  </si>
  <si>
    <t>MOBILIDADE | AQUECIMENTO | ATIVAÇÃO | TÉCNICO</t>
  </si>
  <si>
    <t>Carga Interna de Treinamento - Desvio Padrão</t>
  </si>
  <si>
    <t>Exercício</t>
  </si>
  <si>
    <t>Sistema</t>
  </si>
  <si>
    <t>Séries</t>
  </si>
  <si>
    <t>Reps</t>
  </si>
  <si>
    <t>Int</t>
  </si>
  <si>
    <t>C</t>
  </si>
  <si>
    <t>E</t>
  </si>
  <si>
    <t>Carga</t>
  </si>
  <si>
    <t>PSR Média</t>
  </si>
  <si>
    <t>PSE Média</t>
  </si>
  <si>
    <t>Sessões na Semana</t>
  </si>
  <si>
    <t>Realizadas</t>
  </si>
  <si>
    <t>Constância</t>
  </si>
  <si>
    <t>Monotonia</t>
  </si>
  <si>
    <t>Strain</t>
  </si>
  <si>
    <t>Notas do Treino</t>
  </si>
  <si>
    <t>SESSÃO</t>
  </si>
  <si>
    <t>RESFRIAMENTO | FINALIZAÇÃO</t>
  </si>
  <si>
    <t>IMPRESSÕES, PERCEPÇÕES E NOTAS DO TREINO</t>
  </si>
  <si>
    <t>Como foi seu treino em relação à intensidade (PSE)?</t>
  </si>
  <si>
    <t>Exercício cíclico</t>
  </si>
  <si>
    <t>Vol. (min)</t>
  </si>
  <si>
    <t>Vol. (km)</t>
  </si>
  <si>
    <t>FC média</t>
  </si>
  <si>
    <t>Ver Progresso Completo</t>
  </si>
  <si>
    <t>3 - Razoavelmente Fácil</t>
  </si>
  <si>
    <t>4 - Um Pouco Difícil</t>
  </si>
  <si>
    <t>ESCALA DE PERCEPÇÃO SUBJETIVA DE ESFORÇO (PSE)</t>
  </si>
  <si>
    <t>MUITO, MUITO FÁCIL</t>
  </si>
  <si>
    <t>MUITO FÁCIL</t>
  </si>
  <si>
    <t>RAZOAVELMENTE FÁCIL</t>
  </si>
  <si>
    <t>UM POUCO DIFÍCIL</t>
  </si>
  <si>
    <t>DIFÍCIL</t>
  </si>
  <si>
    <t>MUITO DIFÍCIL</t>
  </si>
  <si>
    <t>MUITO, MUITO DIFÍCIL</t>
  </si>
  <si>
    <t>ESFORÇO MÁXIMO</t>
  </si>
  <si>
    <t>ESCALA DE PERCEPÇÃO SUBJETIVA DE RECUPERAÇÃO (PSR)</t>
  </si>
  <si>
    <t xml:space="preserve">MUITO MAL RECUPERADO </t>
  </si>
  <si>
    <t>MUITO POUCA RECUPERAÇÃO</t>
  </si>
  <si>
    <t>POUCA RECUPERAÇÃO</t>
  </si>
  <si>
    <t>RECUPERAÇÃO MODERADA</t>
  </si>
  <si>
    <t>BOA RECUPERAÇÃO</t>
  </si>
  <si>
    <t>MUITO BOA RECUPERAÇÃO</t>
  </si>
  <si>
    <t>MUITO, MUITO BOA RECUPERAÇÃO</t>
  </si>
  <si>
    <t>TOTALMENTE RECUPERADO</t>
  </si>
  <si>
    <t>Relatório Semanal</t>
  </si>
  <si>
    <t>SEMANA</t>
  </si>
  <si>
    <t>ESTATÍSTICA DA SEMANA</t>
  </si>
  <si>
    <t>Volume Treinamento Cíclico (min)</t>
  </si>
  <si>
    <t>Nº de séries realizadas</t>
  </si>
  <si>
    <t>Nº de repetições realizadas</t>
  </si>
  <si>
    <t>CIT Média da Sessão</t>
  </si>
  <si>
    <t>Razão Ag/Cr</t>
  </si>
  <si>
    <t>CONQUISTAS</t>
  </si>
  <si>
    <t>Carga levantada (t)</t>
  </si>
  <si>
    <t>Sequência de constância (semanas)</t>
  </si>
  <si>
    <t>Sessões Realizadas</t>
  </si>
  <si>
    <t>Gasto Energético</t>
  </si>
  <si>
    <t>Outras estatísticas</t>
  </si>
  <si>
    <t>Claudinei Gasparoto</t>
  </si>
  <si>
    <t>Planilha 37</t>
  </si>
  <si>
    <t>Peso</t>
  </si>
  <si>
    <t>%G</t>
  </si>
  <si>
    <t>MM</t>
  </si>
  <si>
    <t>G.A</t>
  </si>
  <si>
    <t>VO2Máx (ml)</t>
  </si>
  <si>
    <t>FC Rep</t>
  </si>
  <si>
    <t>Lan Km/h</t>
  </si>
  <si>
    <t>TMB/dia</t>
  </si>
  <si>
    <t>VO2Máx (MET)</t>
  </si>
  <si>
    <t>FC Máx</t>
  </si>
  <si>
    <t>LAn FC</t>
  </si>
  <si>
    <t>CIT Méd Ant.</t>
  </si>
  <si>
    <t>% VO2Máx</t>
  </si>
  <si>
    <t>FC
 (min)</t>
  </si>
  <si>
    <t>FC
 (15”)</t>
  </si>
  <si>
    <t>Vel (km/h)</t>
  </si>
  <si>
    <t>Pace (min/km)</t>
  </si>
  <si>
    <t>EPE</t>
  </si>
  <si>
    <t>1</t>
  </si>
  <si>
    <t>2</t>
  </si>
  <si>
    <t>2-3</t>
  </si>
  <si>
    <t>3</t>
  </si>
  <si>
    <t>3-4</t>
  </si>
  <si>
    <t>4</t>
  </si>
  <si>
    <t>5</t>
  </si>
  <si>
    <t>6</t>
  </si>
  <si>
    <t>7-8</t>
  </si>
  <si>
    <t>9</t>
  </si>
  <si>
    <t>10</t>
  </si>
  <si>
    <t>↩ Voltar para a aba</t>
  </si>
  <si>
    <t xml:space="preserve">Plano Geral de Treinamento de  </t>
  </si>
  <si>
    <t>Calendário</t>
  </si>
  <si>
    <t>Mesociclo</t>
  </si>
  <si>
    <t>Microciclo</t>
  </si>
  <si>
    <t xml:space="preserve">REF </t>
  </si>
  <si>
    <t>Data</t>
  </si>
  <si>
    <t>X</t>
  </si>
  <si>
    <t>Carga Microciclo</t>
  </si>
  <si>
    <t>ORD</t>
  </si>
  <si>
    <t>CHO</t>
  </si>
  <si>
    <t>Objetivo</t>
  </si>
  <si>
    <t>RML</t>
  </si>
  <si>
    <t>Força</t>
  </si>
  <si>
    <t>Potência</t>
  </si>
  <si>
    <t>Maratona SP</t>
  </si>
  <si>
    <t>Avaliações</t>
  </si>
  <si>
    <t>Estímulo Resistido</t>
  </si>
  <si>
    <t>% Carga TR</t>
  </si>
  <si>
    <t>Zona Rep.</t>
  </si>
  <si>
    <t>Séries                 Grupo M.</t>
  </si>
  <si>
    <t>Rep Reserva</t>
  </si>
  <si>
    <t>Montagem</t>
  </si>
  <si>
    <t>AS</t>
  </si>
  <si>
    <t>CGM</t>
  </si>
  <si>
    <t>CA</t>
  </si>
  <si>
    <t>BS</t>
  </si>
  <si>
    <t>TS</t>
  </si>
  <si>
    <t>Freq. Semanal</t>
  </si>
  <si>
    <t>Divisão do Treino</t>
  </si>
  <si>
    <t>Obs</t>
  </si>
  <si>
    <t>ESTÍMULO CÍCLICO</t>
  </si>
  <si>
    <t>VOLUME GERAL MIN</t>
  </si>
  <si>
    <t>VOLUME GERAL KM</t>
  </si>
  <si>
    <t>% Z1</t>
  </si>
  <si>
    <t>% Z2</t>
  </si>
  <si>
    <t>% Z3</t>
  </si>
  <si>
    <t>% Z4</t>
  </si>
  <si>
    <t>% Z5</t>
  </si>
  <si>
    <t>Z1 (min)</t>
  </si>
  <si>
    <t>Z2 (min)</t>
  </si>
  <si>
    <t>Z3 (min)</t>
  </si>
  <si>
    <t>Z4 (min)</t>
  </si>
  <si>
    <t>Z5 (min)</t>
  </si>
  <si>
    <t>Nutrição</t>
  </si>
  <si>
    <t>GE Est/Dia</t>
  </si>
  <si>
    <t>Ênfase</t>
  </si>
  <si>
    <t>Suplem.</t>
  </si>
  <si>
    <t>|</t>
  </si>
  <si>
    <t>Micro Ciclo</t>
  </si>
  <si>
    <t>Séries por Grupo Muscular</t>
  </si>
  <si>
    <t>Volume Geral Cíclico</t>
  </si>
  <si>
    <t>GE por dia</t>
  </si>
  <si>
    <t>Observações</t>
  </si>
  <si>
    <t>Impressões</t>
  </si>
  <si>
    <t>Obs importante 1</t>
  </si>
  <si>
    <t>Obs importante 2</t>
  </si>
  <si>
    <t>Anotações gerais</t>
  </si>
  <si>
    <t>Frequência Total</t>
  </si>
  <si>
    <t>Frequência Cíclico</t>
  </si>
  <si>
    <t>Frequência Resistido</t>
  </si>
  <si>
    <t>Tempo sessão total</t>
  </si>
  <si>
    <t>Treinamento Cíclico</t>
  </si>
  <si>
    <t>Treinamento Resistido</t>
  </si>
  <si>
    <t>Seg</t>
  </si>
  <si>
    <t>Sáb</t>
  </si>
  <si>
    <t>Liberar Semana</t>
  </si>
  <si>
    <t>Volume Total (min)</t>
  </si>
  <si>
    <t>Volume Total (km)</t>
  </si>
  <si>
    <t>Sér. Gr. M.</t>
  </si>
  <si>
    <t>Freq. Semanal M</t>
  </si>
  <si>
    <t>Ter</t>
  </si>
  <si>
    <t>Dom</t>
  </si>
  <si>
    <t>Zonas</t>
  </si>
  <si>
    <t>Z1</t>
  </si>
  <si>
    <t>Z2</t>
  </si>
  <si>
    <t>Z3</t>
  </si>
  <si>
    <t>Z4</t>
  </si>
  <si>
    <t>Z5</t>
  </si>
  <si>
    <t>Total</t>
  </si>
  <si>
    <t>Freq. Semanal F</t>
  </si>
  <si>
    <t>Qua</t>
  </si>
  <si>
    <t>Distribuição (%)</t>
  </si>
  <si>
    <t>Qui</t>
  </si>
  <si>
    <t>Absoluto</t>
  </si>
  <si>
    <t>Sex</t>
  </si>
  <si>
    <t>Planejamento</t>
  </si>
  <si>
    <t>Restante</t>
  </si>
  <si>
    <t>Segunda-Feira</t>
  </si>
  <si>
    <t>Terça-Feira</t>
  </si>
  <si>
    <t>Quarta-Feira</t>
  </si>
  <si>
    <t>Quinta Feira</t>
  </si>
  <si>
    <t>Sexta-Feira</t>
  </si>
  <si>
    <t>Sábado</t>
  </si>
  <si>
    <t>Domingo</t>
  </si>
  <si>
    <t>Observação</t>
  </si>
  <si>
    <t>Tempo da sessão</t>
  </si>
  <si>
    <t>Cíclico</t>
  </si>
  <si>
    <t>Resistido</t>
  </si>
  <si>
    <t>Segunda</t>
  </si>
  <si>
    <t>Terça</t>
  </si>
  <si>
    <t>Quarta</t>
  </si>
  <si>
    <t xml:space="preserve">Quinta </t>
  </si>
  <si>
    <t>Sexta</t>
  </si>
  <si>
    <t>n</t>
  </si>
  <si>
    <t>S</t>
  </si>
  <si>
    <t>Rep</t>
  </si>
  <si>
    <t>Crg</t>
  </si>
  <si>
    <t>Aj</t>
  </si>
  <si>
    <t>Tempo do estímulo</t>
  </si>
  <si>
    <t>Local</t>
  </si>
  <si>
    <t>Esteira</t>
  </si>
  <si>
    <t>Bicicleta</t>
  </si>
  <si>
    <t>Corda</t>
  </si>
  <si>
    <t>Pista</t>
  </si>
  <si>
    <t>Mobilidade de Quadril - Iliopsoas</t>
  </si>
  <si>
    <t>Seriado</t>
  </si>
  <si>
    <t>Mobilidade de Quadril em S</t>
  </si>
  <si>
    <t>Mobilidade de Quadril - Cócoras</t>
  </si>
  <si>
    <t>Mobilidade Torácica na Parede</t>
  </si>
  <si>
    <t>Mobilidade de Pelve no solo</t>
  </si>
  <si>
    <t>Mobilidade de tornozelo</t>
  </si>
  <si>
    <t>CEXT</t>
  </si>
  <si>
    <t>IINT</t>
  </si>
  <si>
    <t>Mobilidade Posterior de Coxa</t>
  </si>
  <si>
    <t>Alongamento Iliotibial III</t>
  </si>
  <si>
    <t>Mobilidade de Pelve na bola</t>
  </si>
  <si>
    <t>Intensidade 1</t>
  </si>
  <si>
    <t>Mobilidade Quadril - Sumô</t>
  </si>
  <si>
    <t>Prancha</t>
  </si>
  <si>
    <t>Alongamento piriforme com bola</t>
  </si>
  <si>
    <t>Mobilidade Quadril - Abdução/Adução</t>
  </si>
  <si>
    <t>Skipping Baixo</t>
  </si>
  <si>
    <t>Intensidade 2</t>
  </si>
  <si>
    <t>Skipping Alto</t>
  </si>
  <si>
    <t>Inserção</t>
  </si>
  <si>
    <t>Sessão</t>
  </si>
  <si>
    <t>Nº sessões</t>
  </si>
  <si>
    <t>Agachamento</t>
  </si>
  <si>
    <t>Bi-SET</t>
  </si>
  <si>
    <t>Stiff</t>
  </si>
  <si>
    <t>Agachamento Búlgaro</t>
  </si>
  <si>
    <t>Nº de séries</t>
  </si>
  <si>
    <t>cão caçador com a bola</t>
  </si>
  <si>
    <t>Levantamento Terra</t>
  </si>
  <si>
    <t>Elevação Pélvica</t>
  </si>
  <si>
    <t>Tempo intenso</t>
  </si>
  <si>
    <t>Leg Press</t>
  </si>
  <si>
    <t>Cadeira Abdutora</t>
  </si>
  <si>
    <t>Flexão Nórdica</t>
  </si>
  <si>
    <t>Cadeira Extensora</t>
  </si>
  <si>
    <t>Tempo repouso</t>
  </si>
  <si>
    <t>Panturrilha Leg Press</t>
  </si>
  <si>
    <t>Extensão de quadril com elástico</t>
  </si>
  <si>
    <t>Cadeira Flexora</t>
  </si>
  <si>
    <t>%VO2Máx interv.</t>
  </si>
  <si>
    <t>Remada Frontal Máquina</t>
  </si>
  <si>
    <t>Supino</t>
  </si>
  <si>
    <t>Pulley com pegada Supinada</t>
  </si>
  <si>
    <t>Tempo IEXT IINT</t>
  </si>
  <si>
    <t>Abdominal Obliquo na polia média</t>
  </si>
  <si>
    <t>Banco Sóleo</t>
  </si>
  <si>
    <t>Fly no peck deck</t>
  </si>
  <si>
    <t>%VO2Máx</t>
  </si>
  <si>
    <t>Pulley frente</t>
  </si>
  <si>
    <t>Supino Inclinado</t>
  </si>
  <si>
    <t>Rosca Inclinado</t>
  </si>
  <si>
    <t>Remada Alta na Polia</t>
  </si>
  <si>
    <t>FC alvo</t>
  </si>
  <si>
    <t>Abdominal Canoa</t>
  </si>
  <si>
    <t>Abdominal roda</t>
  </si>
  <si>
    <t>Fly Inverso</t>
  </si>
  <si>
    <t>Velocidade</t>
  </si>
  <si>
    <t>Lat PullDown</t>
  </si>
  <si>
    <t>Crucifixo</t>
  </si>
  <si>
    <t>Tríceps Polia</t>
  </si>
  <si>
    <t>Arremesso</t>
  </si>
  <si>
    <t>Detalhamento</t>
  </si>
  <si>
    <t>Rosca Direta</t>
  </si>
  <si>
    <t>Tríceps Testa polia</t>
  </si>
  <si>
    <t>Flexão de braço na bola</t>
  </si>
  <si>
    <t>Complemento</t>
  </si>
  <si>
    <t xml:space="preserve">- Correr 15 km no menor tempo possível.
</t>
  </si>
  <si>
    <t xml:space="preserve">***TRAJETO***
- 2 km à 11,0km/h;
- 25km à 12,5 km/h;
- 2 km All out </t>
  </si>
  <si>
    <t>Remada Horizontal com Movimentação do Tronco</t>
  </si>
  <si>
    <t>Pace</t>
  </si>
  <si>
    <t>Objetivo aluno</t>
  </si>
  <si>
    <t>Objetivo meso</t>
  </si>
  <si>
    <t>Observação 1</t>
  </si>
  <si>
    <t>Observação 2</t>
  </si>
  <si>
    <t>PSE da sessão</t>
  </si>
  <si>
    <t>IEXT</t>
  </si>
  <si>
    <t>Mobilidade de Ombro I</t>
  </si>
  <si>
    <t>Rotação Externa com Elástico</t>
  </si>
  <si>
    <t>Flexão com impulsão</t>
  </si>
  <si>
    <t>Desenvolvimento Deltoide</t>
  </si>
  <si>
    <t>Flexão Nórdica Reversa</t>
  </si>
  <si>
    <t>Triceps Coice na Polia</t>
  </si>
  <si>
    <t>Rosca Scott</t>
  </si>
  <si>
    <t>Deslocamento Lateral com Miniband</t>
  </si>
  <si>
    <t>Abdominal Reto</t>
  </si>
  <si>
    <t>Tri-SET</t>
  </si>
  <si>
    <t>Extensão de Quadril com elástico</t>
  </si>
  <si>
    <t>Abdominal canoa lateral</t>
  </si>
  <si>
    <t>Abdominal infra no solo</t>
  </si>
  <si>
    <t xml:space="preserve">***TRAJETO***
- 2 km à 11,0km/h;
- 16km à 12,5 km/h;
- 2 km All out </t>
  </si>
  <si>
    <t>Afundo</t>
  </si>
  <si>
    <t>Superman</t>
  </si>
  <si>
    <t>Abdominal Bicicleta</t>
  </si>
  <si>
    <t>Flexão Plantar na Máquina</t>
  </si>
  <si>
    <t>Abdominal canoa</t>
  </si>
  <si>
    <t>Abdominal Remador</t>
  </si>
  <si>
    <t xml:space="preserve">***TRAJETO***
- 2 km à 11,0km/h;
- 20km à 12,5 km/h;
- 2 km All out </t>
  </si>
  <si>
    <t xml:space="preserve">***TRAJETO***
- 2 km à 11,0km/h;
- 26km à 12,5 km/h;
- 2 km All out </t>
  </si>
  <si>
    <t>Link Vídeo Youtube</t>
  </si>
  <si>
    <t>Mov</t>
  </si>
  <si>
    <t>Contag</t>
  </si>
  <si>
    <t>anterior</t>
  </si>
  <si>
    <t>Máx</t>
  </si>
  <si>
    <t>Tipo</t>
  </si>
  <si>
    <t>Opções</t>
  </si>
  <si>
    <t>https://www.youtube.com/watch?v=b0HQ_YahhIw</t>
  </si>
  <si>
    <t>O</t>
  </si>
  <si>
    <t>R</t>
  </si>
  <si>
    <t>https://www.youtube.com/watch?v=9EYiA8gbnRA&amp;ab_channel=EXECU%C3%87%C3%83ODEEXERC%C3%8DCIOS</t>
  </si>
  <si>
    <t>Abdominal Pé a Pé</t>
  </si>
  <si>
    <t>https://www.youtube.com/watch?v=OsRjsjeqQkE</t>
  </si>
  <si>
    <t>A</t>
  </si>
  <si>
    <t>https://www.youtube.com/watch?v=AcOd9heDh0M</t>
  </si>
  <si>
    <t>https://www.youtube.com/watch?v=gL-QzFrjDvE</t>
  </si>
  <si>
    <t>Abdominal Reto na Prancha</t>
  </si>
  <si>
    <t>https://www.youtube.com/watch?v=V3oi1dMzeqU&amp;ab_channel=EXECU%C3%87%C3%83ODEEXERC%C3%8DCIOS</t>
  </si>
  <si>
    <t>Abdominal Reto Vela</t>
  </si>
  <si>
    <t>https://www.youtube.com/watch?v=iUOqq6z0UWU&amp;ab_channel=RedePersonalTrainer</t>
  </si>
  <si>
    <t>https://www.youtube.com/shorts/8KwjIcKKJEY</t>
  </si>
  <si>
    <t>Abdominal Twist</t>
  </si>
  <si>
    <t>https://www.youtube.com/watch?v=lEfJvTBeVOw&amp;ab_channel=GoLiveConsultoriaFitness</t>
  </si>
  <si>
    <t>Abdução de quadril com caneleira</t>
  </si>
  <si>
    <t>https://www.youtube.com/watch?v=h2Etkvq5OZs&amp;ab_channel=TreinoCorreto</t>
  </si>
  <si>
    <t>H</t>
  </si>
  <si>
    <t>https://www.youtube.com/watch?v=oVIzHQOE4-0</t>
  </si>
  <si>
    <t>https://www.youtube.com/watch?v=fzofRJAufTs</t>
  </si>
  <si>
    <t>https://www.youtube.com/watch?v=Kki52we6xsk&amp;ab_channel=Let%C3%ADciaAlvesPersonalTrainer</t>
  </si>
  <si>
    <t>U</t>
  </si>
  <si>
    <t>Agachamento com Arremesso</t>
  </si>
  <si>
    <t>Agachamento Livre</t>
  </si>
  <si>
    <t>https://www.youtube.com/watch?v=bceruIjFAZ0&amp;ab_channel=DillDinizBodyHealthy</t>
  </si>
  <si>
    <t>Arco e Flecha na banda</t>
  </si>
  <si>
    <t>https://www.youtube.com/watch?v=krVa7y6KKLc&amp;ab_channel=EstelaAlto%C3%A9</t>
  </si>
  <si>
    <t>https://www.youtube.com/watch?v=nCIfBeO8bK8</t>
  </si>
  <si>
    <t xml:space="preserve">Barra fixa </t>
  </si>
  <si>
    <t>https://www.youtube.com/shorts/UYWz_zrVIwM</t>
  </si>
  <si>
    <t>-</t>
  </si>
  <si>
    <t>https://www.youtube.com/watch?v=LwnVvj44g6Y&amp;ab_channel=CloudGym</t>
  </si>
  <si>
    <t>Cadeira Adutora</t>
  </si>
  <si>
    <t>https://www.youtube.com/watch?v=svne6eikuek</t>
  </si>
  <si>
    <t>https://www.youtube.com/watch?v=FhwuM3VjAEs</t>
  </si>
  <si>
    <t>https://www.youtube.com/watch?v=hlH9c3N7q7o</t>
  </si>
  <si>
    <t>Cão Caçador</t>
  </si>
  <si>
    <t>https://www.youtube.com/watch?v=ZVr9oxya9ks&amp;ab_channel=GoLiveConsultoriaFitness</t>
  </si>
  <si>
    <t>https://www.youtube.com/watch?v=IWv6yR3_IYE</t>
  </si>
  <si>
    <t>Crucifixo Inclinado</t>
  </si>
  <si>
    <t>https://www.youtube.com/watch?v=lAwcPh307qY</t>
  </si>
  <si>
    <t>Crucifixo Inverso na Polia</t>
  </si>
  <si>
    <t>https://www.youtube.com/watch?v=73RM_iOmgk4</t>
  </si>
  <si>
    <t>Crucifixo Inverso Sentado</t>
  </si>
  <si>
    <t>https://www.youtube.com/watch?v=_tzNDF-0HFE</t>
  </si>
  <si>
    <t>Crucifixo no Crossover</t>
  </si>
  <si>
    <t>https://www.youtube.com/watch?v=8OylwuOodgo</t>
  </si>
  <si>
    <t>https://www.youtube.com/watch?v=o2LfBH1I8r8&amp;ab_channel=MyTrainingPRO</t>
  </si>
  <si>
    <t>Desenvolvimento Lombar</t>
  </si>
  <si>
    <t>https://www.youtube.com/watch?v=jcQCfZ3saUo&amp;ab_channel=4NutritionOficial</t>
  </si>
  <si>
    <t>Desenvolvimento Quebrado</t>
  </si>
  <si>
    <t>https://www.youtube.com/watch?v=-txSmuNw51Y</t>
  </si>
  <si>
    <t>Dorsiflexão Unilateral com Elástico</t>
  </si>
  <si>
    <t>https://www.youtube.com/watch?v=xKG2t33G96c&amp;ab_channel=DiogenesPersonal</t>
  </si>
  <si>
    <t>Elevação de Quadril com Abdução na Banda Elástica</t>
  </si>
  <si>
    <t>https://www.youtube.com/watch?v=qfVOU5SffxM</t>
  </si>
  <si>
    <t>Elevação de quadril com flexão de joelho no pano</t>
  </si>
  <si>
    <t>https://www.youtube.com/watch?v=ncR572Iq5mc&amp;ab_channel=PedroNogueira</t>
  </si>
  <si>
    <t>Elevação de Quadril e Flexão de Joelho na Bola</t>
  </si>
  <si>
    <t>https://www.youtube.com/watch?v=CmQ7XQXcFZg</t>
  </si>
  <si>
    <t>Elevação de Quadril Unilateral no Banco</t>
  </si>
  <si>
    <t>https://www.youtube.com/watch?v=IYi2bnAYWq0&amp;ab_channel=AcessoSa%C3%BAdeePerformance</t>
  </si>
  <si>
    <t>T</t>
  </si>
  <si>
    <t>Elevação Frontal</t>
  </si>
  <si>
    <t>https://www.youtube.com/watch?v=3K7iSpMydmU</t>
  </si>
  <si>
    <t>Elevação Frontal na Polia</t>
  </si>
  <si>
    <t>https://www.youtube.com/watch?v=w6_jyJeVJrQ</t>
  </si>
  <si>
    <t>Elevação Lateral</t>
  </si>
  <si>
    <t>https://www.youtube.com/watch?v=Fze5dpzM-cc&amp;ab_channel=AcessoSa%C3%BAdeePerformance</t>
  </si>
  <si>
    <t>Elevação Lateral e Frontal</t>
  </si>
  <si>
    <t>https://www.youtube.com/watch?v=IMYFbHr1O9E&amp;ab_channel=MetafitAcademiaNogueira</t>
  </si>
  <si>
    <t>https://www.youtube.com/watch?v=CIeWtTNpS5M</t>
  </si>
  <si>
    <t>Eliptico</t>
  </si>
  <si>
    <t>Equilíbrio em cruz no trampolim</t>
  </si>
  <si>
    <t>https://www.youtube.com/watch?v=hK1jFiCNsgQ&amp;ab_channel=SSO</t>
  </si>
  <si>
    <t>Equilibrio Monopedal II</t>
  </si>
  <si>
    <t>https://www.youtube.com/watch?v=Xxgk-HZj_5w</t>
  </si>
  <si>
    <t>Flexão de Braço</t>
  </si>
  <si>
    <t>https://www.youtube.com/watch?v=eDxuLnx30N4</t>
  </si>
  <si>
    <t>Flexão de braço Declinada</t>
  </si>
  <si>
    <t>https://www.youtube.com/shorts/6LBPIZCchXk</t>
  </si>
  <si>
    <t>https://www.youtube.com/watch?v=Gsk6UnZj0-A&amp;ab_channel=BRUNORABELO</t>
  </si>
  <si>
    <t>Flexão de braço spider man</t>
  </si>
  <si>
    <t>https://www.youtube.com/watch?v=aU14xbyQZN4&amp;ab_channel=AcessoSa%C3%BAdeePerformance</t>
  </si>
  <si>
    <t>https://www.youtube.com/watch?v=0PZItOvQjBU&amp;ab_channel=MarcosAlves</t>
  </si>
  <si>
    <t>https://www.youtube.com/watch?v=TWsEnefYd44&amp;ab_channel=CloudGym</t>
  </si>
  <si>
    <t>Flexão Plantar com Halteres</t>
  </si>
  <si>
    <t>https://www.youtube.com/shorts/hjUuSB6QjSM</t>
  </si>
  <si>
    <t>https://www.youtube.com/watch?v=6sSivxVgsS4</t>
  </si>
  <si>
    <t>https://www.youtube.com/watch?v=zK5P-I1UQVc</t>
  </si>
  <si>
    <t>https://www.youtube.com/watch?v=1D9x_U6PkY8&amp;ab_channel=MyTrainingPRO</t>
  </si>
  <si>
    <t>Gato Camelo</t>
  </si>
  <si>
    <t>https://www.youtube.com/watch?v=comObBAaUjc&amp;ab_channel=FisicAcademia</t>
  </si>
  <si>
    <t>https://www.youtube.com/watch?v=7XYIrBg9n7o</t>
  </si>
  <si>
    <t>https://www.youtube.com/watch?v=2vGqIvWl35M</t>
  </si>
  <si>
    <t>Leg Pull Down</t>
  </si>
  <si>
    <t>https://www.youtube.com/watch?v=thWCfX407QY&amp;ab_channel=EricMiyamoto</t>
  </si>
  <si>
    <t>https://www.youtube.com/watch?v=wFf6OZF_jcQ</t>
  </si>
  <si>
    <t>https://www.youtube.com/watch?v=hkEp2LNjuLM</t>
  </si>
  <si>
    <t>https://www.youtube.com/watch?v=Mpsq-Fy7lJE&amp;ab_channel=FisicAcademia</t>
  </si>
  <si>
    <t>I</t>
  </si>
  <si>
    <t>https://www.youtube.com/watch?v=0S5ZFH1ZXIk</t>
  </si>
  <si>
    <t>Mobilidade de Quadril Alternado</t>
  </si>
  <si>
    <t>https://www.youtube.com/watch?v=ZVhI3KRVkJU</t>
  </si>
  <si>
    <t>https://www.youtube.com/watch?app=desktop&amp;v=PuqGqrkNjuo&amp;ab_channel=LuisDiasTreinador</t>
  </si>
  <si>
    <t>https://www.youtube.com/watch?v=qh7KaN8FRZk&amp;ab_channel=FisicAcademia</t>
  </si>
  <si>
    <t>https://youtube.com/shorts/IwgLZfrgiJ8?feature=share</t>
  </si>
  <si>
    <t>https://www.youtube.com/watch?app=desktop&amp;v=M1WdayPrL9M&amp;ab_channel=MatheusPersonalNutri</t>
  </si>
  <si>
    <t>https://www.youtube.com/watch?app=desktop&amp;v=JHEzkSZfGFE&amp;ab_channel=FisicAcademia</t>
  </si>
  <si>
    <t>Natação</t>
  </si>
  <si>
    <t>Ostra</t>
  </si>
  <si>
    <t>https://www.youtube.com/watch?v=ODeJeMrib_Y</t>
  </si>
  <si>
    <t>https://www.youtube.com/watch?v=aPhesY3Z0RI&amp;t=1s&amp;ab_channel=MyTrainingPRO</t>
  </si>
  <si>
    <t>Peck Deck</t>
  </si>
  <si>
    <t>https://www.youtube.com/watch?v=_EVWlFF6isM</t>
  </si>
  <si>
    <t>Polichinelo</t>
  </si>
  <si>
    <t>https://www.youtube.com/watch?v=UcUfmsfrteQ&amp;ab_channel=SuporteSa%C3%BAde</t>
  </si>
  <si>
    <t>Polichinelo (Tempo)</t>
  </si>
  <si>
    <t>https://www.youtube.com/watch?v=_Mtelnmyuy</t>
  </si>
  <si>
    <t>Prancha Dinâmica na Bola</t>
  </si>
  <si>
    <t>https://www.youtube.com/watch?v=JOXCgIBTzxU&amp;ab_channel=TreinoCorreto</t>
  </si>
  <si>
    <t>Prancha Dorsal</t>
  </si>
  <si>
    <t>https://www.youtube.com/watch?v=dVU3sRU3HGQ</t>
  </si>
  <si>
    <t>Prancha Lateral</t>
  </si>
  <si>
    <t>https://www.youtube.com/watch?v=Nh2Xx2XhyYE&amp;ab_channel=4NutritionOficial</t>
  </si>
  <si>
    <t>Prancha Lateral com Rotação</t>
  </si>
  <si>
    <t>https://www.youtube.com/watch?v=8k281Y-3dUM</t>
  </si>
  <si>
    <t>https://www.youtube.com/watch?v=FeMAUZAeGpA</t>
  </si>
  <si>
    <t>Remada Alta</t>
  </si>
  <si>
    <t>https://www.youtube.com/watch?v=QZD6vq22qJg&amp;ab_channel=MyTrainingPRO</t>
  </si>
  <si>
    <t>https://www.youtube.com/watch?v=nK7jNqFtacw</t>
  </si>
  <si>
    <t>Remada Curvada</t>
  </si>
  <si>
    <t>https://www.youtube.com/watch?v=-wDGlBM12ME</t>
  </si>
  <si>
    <t>https://www.youtube.com/watch?v=mWtLSTGH_TQ&amp;ab_channel=MuriloPereira</t>
  </si>
  <si>
    <t>https://www.youtube.com/watch?v=EZq1W-9BvSE</t>
  </si>
  <si>
    <t>Remada Horizontal sem Movimentação do Tronco</t>
  </si>
  <si>
    <t>Rosca Alternada</t>
  </si>
  <si>
    <t>https://www.youtube.com/watch?v=pZaYFAQ4iXE</t>
  </si>
  <si>
    <t>Rosca Biceps na Polia</t>
  </si>
  <si>
    <t>https://www.youtube.com/watch?v=xoQyfNQmbII</t>
  </si>
  <si>
    <t>https://www.youtube.com/watch?v=qDnkwCak8dY</t>
  </si>
  <si>
    <t>Rosca Direta com Halteres</t>
  </si>
  <si>
    <t>https://www.youtube.com/watch?v=Zs_ouM2Hls8</t>
  </si>
  <si>
    <t>https://www.youtube.com/watch?v=Os0CbdSre6I&amp;ab_channel=TreinoCorreto</t>
  </si>
  <si>
    <t>Rosca Martelo com Halteres</t>
  </si>
  <si>
    <t>https://www.youtube.com/watch?v=5vPGH1uTtbs&amp;ab_channel=MyTrainingPRO</t>
  </si>
  <si>
    <t>https://www.youtube.com/watch?v=A5mR54wS3sM</t>
  </si>
  <si>
    <t>Rotação Externa com Halter</t>
  </si>
  <si>
    <t>https://www.youtube.com/shorts/HwrvCBMHzE0</t>
  </si>
  <si>
    <t>Rotação Externa na Polia</t>
  </si>
  <si>
    <t>https://www.youtube.com/watch?v=FnrGqZSJtFg&amp;ab_channel=TreinoCorreto</t>
  </si>
  <si>
    <t>https://www.youtube.com/watch?v=rx6Mp3l4KXM&amp;ab_channel=FisicAcademia</t>
  </si>
  <si>
    <t>https://www.youtube.com/watch?v=8Ko6fh_BhkE&amp;ab_channel=FisicAcademia</t>
  </si>
  <si>
    <t>https://www.youtube.com/watch?v=c63ny-K72AM</t>
  </si>
  <si>
    <t>https://www.youtube.com/watch?v=GQr90DLBHuU</t>
  </si>
  <si>
    <t>https://www.youtube.com/watch?v=fDecNfPreTw</t>
  </si>
  <si>
    <t>Supino (Tempo)</t>
  </si>
  <si>
    <t>Supino Declinado</t>
  </si>
  <si>
    <t>https://www.youtube.com/watch?v=T55wncAz1tM</t>
  </si>
  <si>
    <t>https://www.youtube.com/watch?v=Yo2PeAt3Z-g</t>
  </si>
  <si>
    <t>https://www.youtube.com/watch?v=zn8e8NhYPLI</t>
  </si>
  <si>
    <t>Tríceps Francês</t>
  </si>
  <si>
    <t>https://www.youtube.com/watch?v=hMY9E-qy20k&amp;ab_channel=MyTrainingPRO</t>
  </si>
  <si>
    <t>https://www.youtube.com/watch?v=lqkY-rU_UTQ</t>
  </si>
  <si>
    <t>Tríceps Testa</t>
  </si>
  <si>
    <t>https://www.youtube.com/watch?v=qUJfyM5hQEY</t>
  </si>
  <si>
    <t>https://www.youtube.com/watch?v=ZB-3ROMTEg4&amp;ab_channel=CloudGym</t>
  </si>
  <si>
    <t>Abdominal reto no Smith</t>
  </si>
  <si>
    <t>https://www.youtube.com/watch?v=n0gE2shdzcA</t>
  </si>
  <si>
    <t>Inclinação Lateral do Tronco</t>
  </si>
  <si>
    <t>https://www.youtube.com/watch?v=k2UtDH8PBhA</t>
  </si>
  <si>
    <t>Elevação Lateral Sentado</t>
  </si>
  <si>
    <t>https://www.youtube.com/shorts/BQ1yXM2J5Vs</t>
  </si>
  <si>
    <t>Encolhimento no Smith</t>
  </si>
  <si>
    <t>https://www.youtube.com/watch?v=cT5_GyOXIgE</t>
  </si>
  <si>
    <t>Supino com Halteres</t>
  </si>
  <si>
    <t>Supino Inclinado com Halteres</t>
  </si>
  <si>
    <t>Flexão de braço com rotação de tronco</t>
  </si>
  <si>
    <t>Prancha tocando os ombros</t>
  </si>
  <si>
    <t>Prancha tocando os pés</t>
  </si>
  <si>
    <t>https://www.youtube.com/watch?v=_QWb5heCfjE&amp;ab_channel=CrossOpenOficial</t>
  </si>
  <si>
    <t>Supino na Máquina</t>
  </si>
  <si>
    <t>Supino no Smith</t>
  </si>
  <si>
    <t>Supino com arremesso</t>
  </si>
  <si>
    <t>Pullover</t>
  </si>
  <si>
    <t>Subida unilateral no Degrau</t>
  </si>
  <si>
    <t>https://www.youtube.com/shorts/dy-RfrEBzxU</t>
  </si>
  <si>
    <t>https://www.youtube.com/shorts/2gdz0ezBSbU</t>
  </si>
  <si>
    <t>Face Pull</t>
  </si>
  <si>
    <t>https://www.youtube.com/shorts/OqlnDwp1PEc</t>
  </si>
  <si>
    <t xml:space="preserve">Kettlebell Swing </t>
  </si>
  <si>
    <t>https://www.youtube.com/shorts/vSCbZwkoYcY</t>
  </si>
  <si>
    <t>Abdominal Escalador</t>
  </si>
  <si>
    <t>https://www.youtube.com/shorts/z1PN3Ct-2Ww</t>
  </si>
  <si>
    <t>Burpee</t>
  </si>
  <si>
    <t>https://www.youtube.com/watch?v=auBLPXO8Fww&amp;ab_channel=CrossFit</t>
  </si>
  <si>
    <t>Remada Invertida no Smith</t>
  </si>
  <si>
    <t>https://www.youtube.com/shorts/tY48_hQHfuk</t>
  </si>
  <si>
    <t>Salto bipodal</t>
  </si>
  <si>
    <t>https://www.youtube.com/watch?v=iiJcBBucUp4&amp;ab_channel=UnderTrackCenter</t>
  </si>
  <si>
    <t>Remada Horizontal com pegada aberta</t>
  </si>
  <si>
    <t>Remada Cavalinho</t>
  </si>
  <si>
    <t>Crucifixo inverso em pé</t>
  </si>
  <si>
    <t>Crucifixo inverso com apoio ventral no banco</t>
  </si>
  <si>
    <t>Crucifixo inverso ao nível da escápula</t>
  </si>
  <si>
    <t>Abdominal Máquina</t>
  </si>
  <si>
    <t>LED Desloc. Anteroposterior</t>
  </si>
  <si>
    <t>LED Desloc. Médio lateral</t>
  </si>
  <si>
    <t>LED Desloc. Médio lateral Cruzado</t>
  </si>
  <si>
    <t>LED Prancha Super Man</t>
  </si>
  <si>
    <t>Stiff Polia Baixa</t>
  </si>
  <si>
    <t xml:space="preserve">Sissy Squat </t>
  </si>
  <si>
    <t>Agachamento livre com peso do corpo</t>
  </si>
  <si>
    <t>https://youtu.be/gC5WDrdXzMQ?feature=shared</t>
  </si>
  <si>
    <t>Agachamento smith</t>
  </si>
  <si>
    <t>Leg press 45º</t>
  </si>
  <si>
    <t>Cadeira Adutora + Cadeira Abdutora</t>
  </si>
  <si>
    <t>Crucifixo máquina</t>
  </si>
  <si>
    <t>Mesa flexora (deitada)</t>
  </si>
  <si>
    <t>https://www.youtube.com/shorts/LZ_Uv8WcGeo</t>
  </si>
  <si>
    <t>https://www.youtube.com/shorts/ihm2nvsgKSM</t>
  </si>
  <si>
    <t>https://www.youtube.com/shorts/MHyv4Eiod5c</t>
  </si>
  <si>
    <t>Abdominal obliquo na polia alta</t>
  </si>
  <si>
    <t>https://www.youtube.com/shorts/qc1imAzPk5s</t>
  </si>
  <si>
    <t>https://www.youtube.com/watch?v=aMpBcqian_s</t>
  </si>
  <si>
    <t>https://www.youtube.com/shorts/b5RkrNs_EGM</t>
  </si>
  <si>
    <t>Cadeira Extensora - Perna Direita</t>
  </si>
  <si>
    <t>Descanso de 2 minutos</t>
  </si>
  <si>
    <t>Esteira - 5 km o mais rápido possível</t>
  </si>
  <si>
    <t>Esteira - 2 km o mais rápido possível</t>
  </si>
  <si>
    <t>Esteira - 3 km o mais rápido possível</t>
  </si>
  <si>
    <t>Esteira - 10 km o mais rápido possível</t>
  </si>
  <si>
    <t>Rosca Inversa</t>
  </si>
  <si>
    <t>https://www.youtube.com/shorts/mcUpjlWlGZY</t>
  </si>
  <si>
    <t>https://www.youtube.com/shorts/90_d-DsrOkE</t>
  </si>
  <si>
    <t>https://www.youtube.com/watch?v=pQE8R8H9c-E&amp;ab_channel=CinesioPro</t>
  </si>
  <si>
    <t>Flexão do arco plantar com estabilidade</t>
  </si>
  <si>
    <t>https://www.youtube.com/shorts/74t1CvNN5Iw</t>
  </si>
  <si>
    <t>Fortalecimento isométrico do arco plantar</t>
  </si>
  <si>
    <t>https://www.youtube.com/watch?v=3wlD0wrAJ0k&amp;ab_channel=Eric</t>
  </si>
  <si>
    <t>Alongamento Iliotibial I</t>
  </si>
  <si>
    <t>https://www.youtube.com/watch?v=MhSCRCsEktg&amp;ab_channel=ClinitiMovimentoHumano</t>
  </si>
  <si>
    <t>Alongamento Iliotibial II</t>
  </si>
  <si>
    <t>https://www.youtube.com/shorts/s_tp1a_yZFI</t>
  </si>
  <si>
    <t>https://www.youtube.com/shorts/j4wDNkvImVc</t>
  </si>
  <si>
    <t>Esteira Intervalada</t>
  </si>
  <si>
    <t>P</t>
  </si>
  <si>
    <t>4x (3 minutos à 17km/h + 1 minuto de descanso passivo)</t>
  </si>
  <si>
    <t>https://www.youtube.com/watch?v=NVk7h55tHsU&amp;ab_channel=MizaelPereiraPilates</t>
  </si>
  <si>
    <t>https://www.youtube.com/shorts/yMtObsaGMHU</t>
  </si>
  <si>
    <t>https://www.youtube.com/watch?v=D-2ttzZIyPA&amp;ab_channel=GrupoLongevit%C3%A1</t>
  </si>
  <si>
    <t>Afundo com salto</t>
  </si>
  <si>
    <t>https://www.youtube.com/watch?v=1In6USFzDsw&amp;ab_channel=TreinoCorreto</t>
  </si>
  <si>
    <t>Afundo com Elevação de Joelhos</t>
  </si>
  <si>
    <t>https://www.youtube.com/shorts/YLsysb5YvmY</t>
  </si>
  <si>
    <t>Agachamento Búlgaro com salto</t>
  </si>
  <si>
    <t>https://www.youtube.com/shorts/CoGkyFIfrsc</t>
  </si>
  <si>
    <t>Agachamento com Salto</t>
  </si>
  <si>
    <t>https://www.youtube.com/watch?v=p6miSld2sGs&amp;ab_channel=DNAPlus</t>
  </si>
  <si>
    <t>Cadeira Flexora unilateral</t>
  </si>
  <si>
    <t>https://www.youtube.com/shorts/2lP3h0KzLiw</t>
  </si>
  <si>
    <t>Salto Unipodal na caixa</t>
  </si>
  <si>
    <t>https://www.youtube.com/watch?v=scQ2_XwPIDM&amp;ab_channel=OttoLeonePersonal</t>
  </si>
  <si>
    <t xml:space="preserve">Salto unipodal </t>
  </si>
  <si>
    <t>https://www.youtube.com/watch?v=Kimgp0WGR34&amp;ab_channel=NicolasCastroBrull</t>
  </si>
  <si>
    <t>Salto unipodal com descida</t>
  </si>
  <si>
    <t>https://www.youtube.com/shorts/7VuAFdKIgk8</t>
  </si>
  <si>
    <t>Salto bipodal na caixa</t>
  </si>
  <si>
    <t>https://www.youtube.com/shorts/fjFCtaIFUks</t>
  </si>
  <si>
    <t>Kettlebell Swing</t>
  </si>
  <si>
    <t>https://www.youtube.com/watch?v=KkYOW3jDhoM&amp;ab_channel=MarcusFilly</t>
  </si>
  <si>
    <t>Agachamento Búlgaro c/ salto cone</t>
  </si>
  <si>
    <t>https://www.youtube.com/shorts/W-XYD2e_3C8</t>
  </si>
  <si>
    <t>Semi-agachamento com abdução</t>
  </si>
  <si>
    <t>https://www.youtube.com/shorts/du4mFj-8qdM</t>
  </si>
  <si>
    <t>Saltitos Bipodais</t>
  </si>
  <si>
    <t>https://www.youtube.com/watch?v=a9mVsf9-hOs&amp;ab_channel=VictorAlves-FisioterapiaEsportiva</t>
  </si>
  <si>
    <t>Equilíbrio em 4 apoios na bola</t>
  </si>
  <si>
    <t>https://www.youtube.com/watch?v=PGyrgckWxHc&amp;ab_channel=MarcioCorchs</t>
  </si>
  <si>
    <t>B</t>
  </si>
  <si>
    <t>https://www.youtube.com/watch?v=zT-9L3CEcmk&amp;ab_channel=LivestrongWoman</t>
  </si>
  <si>
    <t>MICROCICLO</t>
  </si>
  <si>
    <t>Anterior</t>
  </si>
  <si>
    <t>Resumo Semanal da sessão</t>
  </si>
  <si>
    <t>Número de Repetições Realizadas</t>
  </si>
  <si>
    <t>Volume de Treinamento Resistido (min)</t>
  </si>
  <si>
    <t>Acumulado</t>
  </si>
  <si>
    <t>Carga Acumulada Levantada (t)</t>
  </si>
  <si>
    <t>Constância Máxima</t>
  </si>
  <si>
    <t>Notas de Atualização</t>
  </si>
  <si>
    <t>1 - Backup do arquivo</t>
  </si>
  <si>
    <t>Correção fórmula aba macrociclo linha 13, rep reserva (add CHO)</t>
  </si>
  <si>
    <t>2 - Clicar no Botão abaixo</t>
  </si>
  <si>
    <t>Opções em lista na aba macrociclo - linha 7, Carga micro ciclo</t>
  </si>
  <si>
    <t>3 - Atualizar dados de Base</t>
  </si>
  <si>
    <t>Aba Biblioteca com guia de preenchimento de tipo de exercício, Célula C2, D2, E2.</t>
  </si>
  <si>
    <t>Anotações Gerais criação</t>
  </si>
  <si>
    <t>Ajuste Tela calendário fórmula data do microciclo/ Otimização formula de busca macrociclo no cabeçario montagem/Arredondamento casa decimal FC dados de base</t>
  </si>
  <si>
    <t>Correção fórmula aba macrociclo linha 19 e 20, formula progressao de volume ciclico</t>
  </si>
  <si>
    <t>Objetivo do mesociclo e objetivo do aluno na montagem/ formula observações na anotações gerais</t>
  </si>
  <si>
    <t>Otimização da fórmula de cálculo de carga</t>
  </si>
  <si>
    <t>Descrição PSR e PSE</t>
  </si>
  <si>
    <t>Correção proteção de página PSR e PSE</t>
  </si>
  <si>
    <t>Correção da velocidade e pace nos treinos de pista em blocos com intervalo ativo</t>
  </si>
  <si>
    <t>Bloqueador de prescrição para treinos sem macrociclo</t>
  </si>
  <si>
    <t>Correção do bloqueador de prescrição</t>
  </si>
  <si>
    <t>Correção de comando atualização rotina semana 5</t>
  </si>
  <si>
    <t>Ideias</t>
  </si>
  <si>
    <t>Contador repetições para exercício corporal</t>
  </si>
  <si>
    <t>Multiplicador de carga da sessão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</si>
</sst>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"/>
    <numFmt numFmtId="165" formatCode="0.0"/>
    <numFmt numFmtId="166" formatCode="hh:mm:ss"/>
    <numFmt numFmtId="167" formatCode="[hh]:mm:ss"/>
    <numFmt numFmtId="168" formatCode="0.0%"/>
    <numFmt numFmtId="169" formatCode="#,##0.0"/>
    <numFmt numFmtId="170" formatCode="dd/mm/yy"/>
    <numFmt numFmtId="171" formatCode="d.m.yy"/>
  </numFmts>
  <fonts count="82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u/>
      <sz val="10.0"/>
      <color rgb="FF000000"/>
      <name val="AriaL"/>
    </font>
    <font>
      <b/>
      <u/>
      <sz val="8.0"/>
      <color rgb="FF0000FF"/>
      <name val="AriaL"/>
    </font>
    <font>
      <color theme="1"/>
      <name val="Calibri"/>
      <scheme val="minor"/>
    </font>
    <font>
      <b/>
      <u/>
      <sz val="10.0"/>
      <color rgb="FF000000"/>
      <name val="AriaL"/>
    </font>
    <font>
      <b/>
      <u/>
      <sz val="8.0"/>
      <color rgb="FF0000FF"/>
      <name val="AriaL"/>
    </font>
    <font>
      <u/>
      <sz val="6.0"/>
      <color rgb="FF0000FF"/>
      <name val="AriaL"/>
    </font>
    <font>
      <sz val="6.0"/>
      <color rgb="FF0000FF"/>
      <name val="AriaL"/>
    </font>
    <font>
      <sz val="6.0"/>
      <color theme="1"/>
      <name val="Calibri"/>
    </font>
    <font/>
    <font>
      <b/>
      <sz val="14.0"/>
      <color theme="1"/>
      <name val="Calibri"/>
    </font>
    <font>
      <color theme="1"/>
      <name val="Calibri"/>
    </font>
    <font>
      <b/>
      <sz val="11.0"/>
      <color theme="1"/>
      <name val="Calibri"/>
    </font>
    <font>
      <b/>
      <color theme="1"/>
      <name val="Calibri"/>
    </font>
    <font>
      <sz val="11.0"/>
      <color rgb="FF000000"/>
      <name val="Calibri"/>
    </font>
    <font>
      <b/>
      <sz val="12.0"/>
      <color rgb="FFFFFFFF"/>
      <name val="Calibri"/>
    </font>
    <font>
      <b/>
      <sz val="10.0"/>
      <color theme="1"/>
      <name val="Calibri"/>
    </font>
    <font>
      <sz val="10.0"/>
      <color theme="1"/>
      <name val="Calibri"/>
    </font>
    <font>
      <u/>
      <color theme="1"/>
      <name val="Calibri"/>
    </font>
    <font>
      <i/>
      <sz val="8.0"/>
      <color theme="1"/>
      <name val="Calibri"/>
    </font>
    <font>
      <sz val="8.0"/>
      <color theme="1"/>
      <name val="Calibri"/>
    </font>
    <font>
      <u/>
      <color theme="1"/>
      <name val="Calibri"/>
    </font>
    <font>
      <sz val="11.0"/>
      <color rgb="FFF7981D"/>
      <name val="Calibri"/>
    </font>
    <font>
      <color rgb="FFFFFFFF"/>
      <name val="Calibri"/>
    </font>
    <font>
      <color rgb="FF000000"/>
      <name val="Calibri"/>
    </font>
    <font>
      <b/>
      <sz val="12.0"/>
      <color rgb="FF000000"/>
      <name val="Calibri"/>
    </font>
    <font>
      <sz val="13.0"/>
      <color theme="1"/>
      <name val="Calibri"/>
    </font>
    <font>
      <b/>
      <u/>
      <sz val="13.0"/>
      <color theme="1"/>
      <name val="Calibri"/>
    </font>
    <font>
      <b/>
      <sz val="8.0"/>
      <color theme="1"/>
      <name val="Calibri"/>
    </font>
    <font>
      <b/>
      <u/>
      <sz val="12.0"/>
      <color theme="0"/>
      <name val="Calibri"/>
    </font>
    <font>
      <b/>
      <u/>
      <sz val="12.0"/>
      <color rgb="FFFFFFFF"/>
      <name val="Calibri"/>
    </font>
    <font>
      <b/>
      <sz val="11.0"/>
      <color rgb="FFFFFFFF"/>
      <name val="Calibri"/>
    </font>
    <font>
      <sz val="36.0"/>
      <color theme="1"/>
      <name val="Lobster"/>
    </font>
    <font>
      <b/>
      <sz val="15.0"/>
      <color theme="1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b/>
      <sz val="24.0"/>
      <color theme="1"/>
      <name val="Calibri"/>
      <scheme val="minor"/>
    </font>
    <font>
      <color rgb="FF000000"/>
      <name val="Calibri"/>
      <scheme val="minor"/>
    </font>
    <font>
      <b/>
      <u/>
      <color theme="1"/>
      <name val="Calibri"/>
      <scheme val="minor"/>
    </font>
    <font>
      <b/>
      <u/>
      <color theme="1"/>
      <name val="Calibri"/>
      <scheme val="minor"/>
    </font>
    <font>
      <b/>
      <u/>
      <color theme="1"/>
      <name val="Calibri"/>
      <scheme val="minor"/>
    </font>
    <font>
      <b/>
      <u/>
      <color theme="1"/>
      <name val="Calibri"/>
      <scheme val="minor"/>
    </font>
    <font>
      <sz val="10.0"/>
      <color theme="1"/>
      <name val="Calibri"/>
      <scheme val="minor"/>
    </font>
    <font>
      <sz val="10.0"/>
      <color theme="1"/>
      <name val="Arial"/>
    </font>
    <font>
      <sz val="8.0"/>
      <color theme="1"/>
      <name val="Arial"/>
    </font>
    <font>
      <sz val="7.0"/>
      <color theme="1"/>
      <name val="Arial"/>
    </font>
    <font>
      <b/>
      <sz val="7.0"/>
      <color rgb="FFFFFFFF"/>
      <name val="Arial"/>
    </font>
    <font>
      <b/>
      <sz val="6.0"/>
      <color rgb="FFFFFFFF"/>
      <name val="Arial"/>
    </font>
    <font>
      <b/>
      <sz val="8.0"/>
      <color theme="1"/>
      <name val="Arial"/>
    </font>
    <font>
      <color theme="0"/>
    </font>
    <font>
      <b/>
      <sz val="14.0"/>
      <color rgb="FF000000"/>
      <name val="Calibri"/>
    </font>
    <font>
      <b/>
      <u/>
      <sz val="14.0"/>
      <color theme="0"/>
      <name val="Calibri"/>
    </font>
    <font>
      <b/>
      <sz val="8.0"/>
      <color rgb="FF000000"/>
      <name val="Calibri"/>
    </font>
    <font>
      <b/>
      <sz val="10.0"/>
      <color rgb="FF000000"/>
      <name val="Calibri"/>
    </font>
    <font>
      <sz val="8.0"/>
      <color rgb="FF000000"/>
      <name val="Calibri"/>
    </font>
    <font>
      <sz val="8.0"/>
      <color theme="1"/>
      <name val="AriaL"/>
    </font>
    <font>
      <b/>
      <sz val="8.0"/>
      <color rgb="FFF3F3F3"/>
      <name val="Arial"/>
    </font>
    <font>
      <sz val="8.0"/>
      <color rgb="FFEFEFEF"/>
      <name val="Arial"/>
    </font>
    <font>
      <sz val="8.0"/>
      <color rgb="FF000000"/>
      <name val="Arial"/>
    </font>
    <font>
      <color rgb="FFFFFFFF"/>
      <name val="Calibri"/>
      <scheme val="minor"/>
    </font>
    <font>
      <sz val="9.0"/>
      <color rgb="FF000000"/>
      <name val="&quot;Google Sans Mono&quot;"/>
    </font>
    <font>
      <b/>
      <sz val="13.0"/>
      <color theme="1"/>
      <name val="Calibri"/>
    </font>
    <font>
      <b/>
      <sz val="13.0"/>
      <color rgb="FF000000"/>
      <name val="Inconsolata"/>
    </font>
    <font>
      <b/>
      <sz val="12.0"/>
      <color theme="0"/>
      <name val="Calibri"/>
    </font>
    <font>
      <color theme="0"/>
      <name val="Calibri"/>
    </font>
    <font>
      <sz val="10.0"/>
      <color rgb="FFFFFFFF"/>
      <name val="Calibri"/>
    </font>
    <font>
      <sz val="10.0"/>
      <color theme="0"/>
      <name val="Calibri"/>
    </font>
    <font>
      <sz val="11.0"/>
      <color theme="0"/>
      <name val="Calibri"/>
    </font>
    <font>
      <color theme="0"/>
      <name val="Calibri"/>
      <scheme val="minor"/>
    </font>
    <font>
      <sz val="11.0"/>
      <color rgb="FFFFFFFF"/>
      <name val="Calibri"/>
    </font>
    <font>
      <b/>
      <sz val="11.0"/>
      <color rgb="FFE5DFE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2.0"/>
      <color theme="1"/>
      <name val="Calibri"/>
    </font>
    <font>
      <sz val="11.0"/>
      <color rgb="FF000000"/>
      <name val="Inconsolata"/>
    </font>
  </fonts>
  <fills count="3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theme="4"/>
        <bgColor theme="4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E69138"/>
        <bgColor rgb="FFE69138"/>
      </patternFill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990000"/>
        <bgColor rgb="FF990000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  <fill>
      <patternFill patternType="solid">
        <fgColor rgb="FFC2D79C"/>
        <bgColor rgb="FFC2D79C"/>
      </patternFill>
    </fill>
    <fill>
      <patternFill patternType="solid">
        <fgColor rgb="FFFFFF0A"/>
        <bgColor rgb="FFFFFF0A"/>
      </patternFill>
    </fill>
    <fill>
      <patternFill patternType="solid">
        <fgColor rgb="FFFD8008"/>
        <bgColor rgb="FFFD8008"/>
      </patternFill>
    </fill>
    <fill>
      <patternFill patternType="solid">
        <fgColor rgb="FFFB0207"/>
        <bgColor rgb="FFFB0207"/>
      </patternFill>
    </fill>
    <fill>
      <patternFill patternType="solid">
        <fgColor rgb="FFD6E3BC"/>
        <bgColor rgb="FFD6E3BC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E5DFEC"/>
        <bgColor rgb="FFE5DFEC"/>
      </patternFill>
    </fill>
  </fills>
  <borders count="16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/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FFFF"/>
      </left>
      <right style="thin">
        <color rgb="FFFFFFFF"/>
      </right>
      <bottom/>
    </border>
    <border>
      <bottom/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top style="thin">
        <color rgb="FFFFFFFF"/>
      </top>
      <bottom style="thick">
        <color rgb="FF000000"/>
      </bottom>
    </border>
    <border>
      <top style="thin">
        <color rgb="FFFFFFFF"/>
      </top>
      <bottom style="thick">
        <color rgb="FF000000"/>
      </bottom>
    </border>
    <border>
      <right style="thick">
        <color rgb="FF000000"/>
      </right>
      <top style="thin">
        <color rgb="FFFFFFFF"/>
      </top>
      <bottom style="thick">
        <color rgb="FF000000"/>
      </bottom>
    </border>
    <border>
      <top/>
      <bottom/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top/>
      <bottom style="medium">
        <color rgb="FFFFFFFF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left/>
      <right style="thin">
        <color rgb="FFFFFFFF"/>
      </right>
      <top/>
      <bottom style="thin">
        <color rgb="FFFFFFFF"/>
      </bottom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/>
    </border>
    <border>
      <left/>
      <top style="thick">
        <color rgb="FF000000"/>
      </top>
      <bottom style="medium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ck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ck">
        <color rgb="FF000000"/>
      </left>
      <right style="medium">
        <color rgb="FF000000"/>
      </right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ck">
        <color rgb="FF000000"/>
      </left>
      <right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thin">
        <color rgb="FF000000"/>
      </right>
      <top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ck">
        <color rgb="FF000000"/>
      </left>
      <right/>
      <bottom style="medium">
        <color rgb="FF000000"/>
      </bottom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left/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/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/>
    </border>
    <border>
      <top style="thin">
        <color rgb="FF000000"/>
      </top>
    </border>
    <border>
      <left style="double">
        <color rgb="FF000000"/>
      </left>
      <right style="double">
        <color rgb="FF000000"/>
      </right>
      <top/>
      <bottom/>
    </border>
    <border>
      <left/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top style="thick">
        <color rgb="FF000000"/>
      </top>
      <bottom style="thick">
        <color rgb="FF000000"/>
      </bottom>
    </border>
    <border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double">
        <color rgb="FF000000"/>
      </right>
      <top/>
      <bottom/>
    </border>
    <border>
      <left style="double">
        <color rgb="FF000000"/>
      </left>
      <right style="double">
        <color rgb="FF000000"/>
      </right>
      <top/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double">
        <color rgb="FF000000"/>
      </left>
      <right style="double">
        <color rgb="FF000000"/>
      </right>
      <bottom/>
    </border>
    <border>
      <left style="double">
        <color rgb="FF000000"/>
      </left>
    </border>
    <border>
      <left style="medium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  <right style="thick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77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1" fillId="3" fontId="1" numFmtId="0" xfId="0" applyBorder="1" applyFill="1" applyFont="1"/>
    <xf borderId="1" fillId="3" fontId="2" numFmtId="0" xfId="0" applyBorder="1" applyFont="1"/>
    <xf borderId="1" fillId="3" fontId="3" numFmtId="0" xfId="0" applyBorder="1" applyFont="1"/>
    <xf borderId="2" fillId="4" fontId="4" numFmtId="0" xfId="0" applyBorder="1" applyFill="1" applyFont="1"/>
    <xf borderId="3" fillId="3" fontId="1" numFmtId="0" xfId="0" applyBorder="1" applyFont="1"/>
    <xf borderId="0" fillId="2" fontId="1" numFmtId="0" xfId="0" applyFont="1"/>
    <xf borderId="2" fillId="4" fontId="4" numFmtId="0" xfId="0" applyAlignment="1" applyBorder="1" applyFont="1">
      <alignment readingOrder="0"/>
    </xf>
    <xf borderId="4" fillId="3" fontId="3" numFmtId="0" xfId="0" applyBorder="1" applyFont="1"/>
    <xf borderId="1" fillId="2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5" fillId="5" fontId="5" numFmtId="0" xfId="0" applyAlignment="1" applyBorder="1" applyFill="1" applyFont="1">
      <alignment horizontal="center" readingOrder="0" textRotation="0" vertical="center"/>
    </xf>
    <xf borderId="6" fillId="5" fontId="6" numFmtId="0" xfId="0" applyAlignment="1" applyBorder="1" applyFont="1">
      <alignment horizontal="center" readingOrder="0" vertical="center"/>
    </xf>
    <xf borderId="7" fillId="5" fontId="6" numFmtId="0" xfId="0" applyAlignment="1" applyBorder="1" applyFont="1">
      <alignment horizontal="center" readingOrder="0" vertical="center"/>
    </xf>
    <xf borderId="8" fillId="3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 vertical="center"/>
    </xf>
    <xf borderId="9" fillId="3" fontId="1" numFmtId="0" xfId="0" applyAlignment="1" applyBorder="1" applyFont="1">
      <alignment horizontal="center" vertical="center"/>
    </xf>
    <xf borderId="10" fillId="5" fontId="2" numFmtId="0" xfId="0" applyAlignment="1" applyBorder="1" applyFont="1">
      <alignment horizontal="center" readingOrder="0" vertical="center"/>
    </xf>
    <xf borderId="11" fillId="4" fontId="7" numFmtId="164" xfId="0" applyAlignment="1" applyBorder="1" applyFont="1" applyNumberFormat="1">
      <alignment horizontal="center" vertical="center"/>
    </xf>
    <xf borderId="12" fillId="4" fontId="8" numFmtId="0" xfId="0" applyAlignment="1" applyBorder="1" applyFont="1">
      <alignment horizontal="center" vertical="center"/>
    </xf>
    <xf borderId="0" fillId="6" fontId="9" numFmtId="164" xfId="0" applyFill="1" applyFont="1" applyNumberFormat="1"/>
    <xf borderId="5" fillId="5" fontId="2" numFmtId="0" xfId="0" applyAlignment="1" applyBorder="1" applyFont="1">
      <alignment horizontal="center" readingOrder="0" vertical="center"/>
    </xf>
    <xf borderId="6" fillId="4" fontId="10" numFmtId="164" xfId="0" applyAlignment="1" applyBorder="1" applyFont="1" applyNumberFormat="1">
      <alignment horizontal="center" vertical="center"/>
    </xf>
    <xf borderId="7" fillId="4" fontId="11" numFmtId="0" xfId="0" applyAlignment="1" applyBorder="1" applyFont="1">
      <alignment horizontal="center" vertical="center"/>
    </xf>
    <xf borderId="13" fillId="4" fontId="3" numFmtId="0" xfId="0" applyBorder="1" applyFont="1"/>
    <xf borderId="14" fillId="4" fontId="12" numFmtId="0" xfId="0" applyAlignment="1" applyBorder="1" applyFont="1">
      <alignment horizontal="right" readingOrder="0" vertical="top"/>
    </xf>
    <xf borderId="14" fillId="4" fontId="3" numFmtId="0" xfId="0" applyBorder="1" applyFont="1"/>
    <xf borderId="14" fillId="4" fontId="13" numFmtId="0" xfId="0" applyAlignment="1" applyBorder="1" applyFont="1">
      <alignment horizontal="right" readingOrder="0" vertical="top"/>
    </xf>
    <xf borderId="15" fillId="2" fontId="1" numFmtId="0" xfId="0" applyAlignment="1" applyBorder="1" applyFont="1">
      <alignment horizontal="center" vertical="center"/>
    </xf>
    <xf borderId="2" fillId="2" fontId="1" numFmtId="0" xfId="0" applyBorder="1" applyFont="1"/>
    <xf borderId="2" fillId="2" fontId="2" numFmtId="0" xfId="0" applyBorder="1" applyFont="1"/>
    <xf borderId="2" fillId="2" fontId="3" numFmtId="0" xfId="0" applyBorder="1" applyFont="1"/>
    <xf borderId="16" fillId="7" fontId="14" numFmtId="0" xfId="0" applyAlignment="1" applyBorder="1" applyFill="1" applyFont="1">
      <alignment shrinkToFit="0" wrapText="1"/>
    </xf>
    <xf borderId="17" fillId="0" fontId="15" numFmtId="0" xfId="0" applyBorder="1" applyFont="1"/>
    <xf borderId="18" fillId="0" fontId="15" numFmtId="0" xfId="0" applyBorder="1" applyFont="1"/>
    <xf borderId="0" fillId="0" fontId="14" numFmtId="0" xfId="0" applyFont="1"/>
    <xf borderId="0" fillId="2" fontId="14" numFmtId="0" xfId="0" applyFont="1"/>
    <xf borderId="0" fillId="0" fontId="14" numFmtId="0" xfId="0" applyAlignment="1" applyFont="1">
      <alignment horizontal="center" readingOrder="0"/>
    </xf>
    <xf borderId="0" fillId="0" fontId="14" numFmtId="165" xfId="0" applyAlignment="1" applyFont="1" applyNumberFormat="1">
      <alignment horizontal="center" readingOrder="0"/>
    </xf>
    <xf borderId="19" fillId="7" fontId="14" numFmtId="0" xfId="0" applyAlignment="1" applyBorder="1" applyFont="1">
      <alignment shrinkToFit="0" wrapText="1"/>
    </xf>
    <xf borderId="20" fillId="7" fontId="14" numFmtId="0" xfId="0" applyBorder="1" applyFont="1"/>
    <xf borderId="20" fillId="7" fontId="14" numFmtId="0" xfId="0" applyAlignment="1" applyBorder="1" applyFont="1">
      <alignment readingOrder="0"/>
    </xf>
    <xf borderId="21" fillId="7" fontId="14" numFmtId="0" xfId="0" applyAlignment="1" applyBorder="1" applyFont="1">
      <alignment horizontal="left"/>
    </xf>
    <xf borderId="22" fillId="0" fontId="15" numFmtId="0" xfId="0" applyBorder="1" applyFont="1"/>
    <xf borderId="23" fillId="0" fontId="15" numFmtId="0" xfId="0" applyBorder="1" applyFont="1"/>
    <xf borderId="24" fillId="7" fontId="14" numFmtId="0" xfId="0" applyBorder="1" applyFont="1"/>
    <xf borderId="0" fillId="0" fontId="14" numFmtId="0" xfId="0" applyAlignment="1" applyFont="1">
      <alignment readingOrder="0"/>
    </xf>
    <xf borderId="0" fillId="0" fontId="14" numFmtId="165" xfId="0" applyAlignment="1" applyFont="1" applyNumberFormat="1">
      <alignment readingOrder="0"/>
    </xf>
    <xf borderId="0" fillId="0" fontId="14" numFmtId="165" xfId="0" applyFont="1" applyNumberFormat="1"/>
    <xf borderId="25" fillId="8" fontId="16" numFmtId="164" xfId="0" applyAlignment="1" applyBorder="1" applyFill="1" applyFont="1" applyNumberFormat="1">
      <alignment horizontal="center" shrinkToFit="0" vertical="center" wrapText="1"/>
    </xf>
    <xf borderId="26" fillId="8" fontId="16" numFmtId="0" xfId="0" applyAlignment="1" applyBorder="1" applyFont="1">
      <alignment horizontal="center" vertical="center"/>
    </xf>
    <xf borderId="27" fillId="0" fontId="15" numFmtId="0" xfId="0" applyBorder="1" applyFont="1"/>
    <xf borderId="28" fillId="0" fontId="15" numFmtId="0" xfId="0" applyBorder="1" applyFont="1"/>
    <xf borderId="0" fillId="0" fontId="17" numFmtId="165" xfId="0" applyFont="1" applyNumberFormat="1"/>
    <xf borderId="0" fillId="0" fontId="17" numFmtId="0" xfId="0" applyFont="1"/>
    <xf borderId="0" fillId="2" fontId="17" numFmtId="0" xfId="0" applyFont="1"/>
    <xf borderId="29" fillId="8" fontId="1" numFmtId="0" xfId="0" applyAlignment="1" applyBorder="1" applyFont="1">
      <alignment shrinkToFit="0" wrapText="1"/>
    </xf>
    <xf borderId="30" fillId="0" fontId="15" numFmtId="0" xfId="0" applyBorder="1" applyFont="1"/>
    <xf borderId="31" fillId="0" fontId="15" numFmtId="0" xfId="0" applyBorder="1" applyFont="1"/>
    <xf borderId="29" fillId="9" fontId="18" numFmtId="0" xfId="0" applyAlignment="1" applyBorder="1" applyFill="1" applyFont="1">
      <alignment readingOrder="0" shrinkToFit="0" vertical="center" wrapText="1"/>
    </xf>
    <xf borderId="32" fillId="0" fontId="15" numFmtId="0" xfId="0" applyBorder="1" applyFont="1"/>
    <xf borderId="29" fillId="9" fontId="1" numFmtId="3" xfId="0" applyAlignment="1" applyBorder="1" applyFont="1" applyNumberFormat="1">
      <alignment readingOrder="0"/>
    </xf>
    <xf borderId="33" fillId="10" fontId="18" numFmtId="0" xfId="0" applyAlignment="1" applyBorder="1" applyFill="1" applyFont="1">
      <alignment horizontal="center" shrinkToFit="0" wrapText="1"/>
    </xf>
    <xf borderId="34" fillId="0" fontId="15" numFmtId="0" xfId="0" applyBorder="1" applyFont="1"/>
    <xf borderId="35" fillId="10" fontId="18" numFmtId="0" xfId="0" applyAlignment="1" applyBorder="1" applyFont="1">
      <alignment shrinkToFit="0" wrapText="1"/>
    </xf>
    <xf borderId="2" fillId="10" fontId="18" numFmtId="0" xfId="0" applyAlignment="1" applyBorder="1" applyFont="1">
      <alignment horizontal="center"/>
    </xf>
    <xf borderId="2" fillId="10" fontId="19" numFmtId="0" xfId="0" applyBorder="1" applyFont="1"/>
    <xf borderId="29" fillId="10" fontId="18" numFmtId="0" xfId="0" applyAlignment="1" applyBorder="1" applyFont="1">
      <alignment horizontal="center"/>
    </xf>
    <xf borderId="29" fillId="10" fontId="18" numFmtId="0" xfId="0" applyBorder="1" applyFont="1"/>
    <xf borderId="30" fillId="10" fontId="18" numFmtId="165" xfId="0" applyAlignment="1" applyBorder="1" applyFont="1" applyNumberFormat="1">
      <alignment horizontal="center"/>
    </xf>
    <xf borderId="0" fillId="0" fontId="17" numFmtId="0" xfId="0" applyAlignment="1" applyFont="1">
      <alignment readingOrder="0"/>
    </xf>
    <xf borderId="0" fillId="4" fontId="20" numFmtId="165" xfId="0" applyFont="1" applyNumberFormat="1"/>
    <xf borderId="36" fillId="10" fontId="18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vertical="center"/>
    </xf>
    <xf borderId="0" fillId="2" fontId="19" numFmtId="0" xfId="0" applyAlignment="1" applyFont="1">
      <alignment vertical="center"/>
    </xf>
    <xf borderId="0" fillId="0" fontId="17" numFmtId="0" xfId="0" applyAlignment="1" applyFont="1">
      <alignment readingOrder="0" vertical="center"/>
    </xf>
    <xf borderId="0" fillId="0" fontId="17" numFmtId="165" xfId="0" applyAlignment="1" applyFont="1" applyNumberFormat="1">
      <alignment vertical="center"/>
    </xf>
    <xf borderId="0" fillId="0" fontId="19" numFmtId="165" xfId="0" applyAlignment="1" applyFont="1" applyNumberFormat="1">
      <alignment vertical="center"/>
    </xf>
    <xf borderId="2" fillId="10" fontId="18" numFmtId="3" xfId="0" applyAlignment="1" applyBorder="1" applyFont="1" applyNumberFormat="1">
      <alignment horizontal="center"/>
    </xf>
    <xf borderId="2" fillId="10" fontId="19" numFmtId="0" xfId="0" applyAlignment="1" applyBorder="1" applyFont="1">
      <alignment horizontal="center"/>
    </xf>
    <xf borderId="29" fillId="10" fontId="18" numFmtId="0" xfId="0" applyAlignment="1" applyBorder="1" applyFont="1">
      <alignment horizontal="left"/>
    </xf>
    <xf borderId="2" fillId="10" fontId="18" numFmtId="0" xfId="0" applyAlignment="1" applyBorder="1" applyFont="1">
      <alignment horizontal="left"/>
    </xf>
    <xf borderId="37" fillId="8" fontId="19" numFmtId="0" xfId="0" applyAlignment="1" applyBorder="1" applyFont="1">
      <alignment shrinkToFit="0" wrapText="1"/>
    </xf>
    <xf borderId="38" fillId="0" fontId="15" numFmtId="0" xfId="0" applyBorder="1" applyFont="1"/>
    <xf borderId="39" fillId="0" fontId="15" numFmtId="0" xfId="0" applyBorder="1" applyFont="1"/>
    <xf borderId="40" fillId="10" fontId="19" numFmtId="1" xfId="0" applyAlignment="1" applyBorder="1" applyFont="1" applyNumberFormat="1">
      <alignment horizontal="center"/>
    </xf>
    <xf borderId="41" fillId="0" fontId="15" numFmtId="0" xfId="0" applyBorder="1" applyFont="1"/>
    <xf borderId="33" fillId="6" fontId="21" numFmtId="0" xfId="0" applyAlignment="1" applyBorder="1" applyFont="1">
      <alignment horizontal="center" shrinkToFit="0" vertical="center" wrapText="1"/>
    </xf>
    <xf borderId="33" fillId="3" fontId="22" numFmtId="0" xfId="0" applyAlignment="1" applyBorder="1" applyFont="1">
      <alignment horizontal="center" shrinkToFit="0" vertical="center" wrapText="1"/>
    </xf>
    <xf borderId="0" fillId="0" fontId="23" numFmtId="0" xfId="0" applyFont="1"/>
    <xf borderId="0" fillId="2" fontId="23" numFmtId="0" xfId="0" applyFont="1"/>
    <xf borderId="0" fillId="0" fontId="23" numFmtId="165" xfId="0" applyFont="1" applyNumberFormat="1"/>
    <xf borderId="0" fillId="0" fontId="23" numFmtId="0" xfId="0" applyAlignment="1" applyFont="1">
      <alignment readingOrder="0"/>
    </xf>
    <xf borderId="33" fillId="8" fontId="19" numFmtId="0" xfId="0" applyAlignment="1" applyBorder="1" applyFont="1">
      <alignment horizontal="left" shrinkToFit="0" vertical="center" wrapText="1"/>
    </xf>
    <xf borderId="0" fillId="8" fontId="19" numFmtId="0" xfId="0" applyAlignment="1" applyFont="1">
      <alignment vertical="center"/>
    </xf>
    <xf borderId="0" fillId="8" fontId="19" numFmtId="0" xfId="0" applyAlignment="1" applyFont="1">
      <alignment horizontal="center" vertical="center"/>
    </xf>
    <xf borderId="34" fillId="8" fontId="19" numFmtId="0" xfId="0" applyAlignment="1" applyBorder="1" applyFont="1">
      <alignment vertical="center"/>
    </xf>
    <xf borderId="0" fillId="0" fontId="18" numFmtId="0" xfId="0" applyFont="1"/>
    <xf borderId="0" fillId="2" fontId="18" numFmtId="0" xfId="0" applyFont="1"/>
    <xf borderId="33" fillId="0" fontId="24" numFmtId="3" xfId="0" applyAlignment="1" applyBorder="1" applyFont="1" applyNumberFormat="1">
      <alignment shrinkToFit="0" vertical="center" wrapText="1"/>
    </xf>
    <xf borderId="0" fillId="0" fontId="17" numFmtId="3" xfId="0" applyAlignment="1" applyFont="1" applyNumberFormat="1">
      <alignment vertical="center"/>
    </xf>
    <xf borderId="0" fillId="0" fontId="17" numFmtId="3" xfId="0" applyAlignment="1" applyFont="1" applyNumberFormat="1">
      <alignment horizontal="center" vertical="center"/>
    </xf>
    <xf borderId="34" fillId="9" fontId="17" numFmtId="3" xfId="0" applyAlignment="1" applyBorder="1" applyFont="1" applyNumberFormat="1">
      <alignment readingOrder="0" vertical="center"/>
    </xf>
    <xf borderId="0" fillId="0" fontId="17" numFmtId="3" xfId="0" applyFont="1" applyNumberFormat="1"/>
    <xf borderId="0" fillId="0" fontId="17" numFmtId="3" xfId="0" applyAlignment="1" applyFont="1" applyNumberFormat="1">
      <alignment horizontal="center"/>
    </xf>
    <xf borderId="0" fillId="2" fontId="17" numFmtId="3" xfId="0" applyFont="1" applyNumberFormat="1"/>
    <xf borderId="0" fillId="0" fontId="17" numFmtId="3" xfId="0" applyAlignment="1" applyFont="1" applyNumberFormat="1">
      <alignment shrinkToFit="0" vertical="center" wrapText="0"/>
    </xf>
    <xf borderId="0" fillId="0" fontId="17" numFmtId="3" xfId="0" applyAlignment="1" applyFont="1" applyNumberFormat="1">
      <alignment horizontal="center" shrinkToFit="0" vertical="center" wrapText="0"/>
    </xf>
    <xf borderId="0" fillId="0" fontId="17" numFmtId="3" xfId="0" applyAlignment="1" applyFont="1" applyNumberFormat="1">
      <alignment shrinkToFit="0" wrapText="0"/>
    </xf>
    <xf borderId="34" fillId="9" fontId="17" numFmtId="3" xfId="0" applyAlignment="1" applyBorder="1" applyFont="1" applyNumberFormat="1">
      <alignment horizontal="center" readingOrder="0" shrinkToFit="0" vertical="center" wrapText="0"/>
    </xf>
    <xf borderId="34" fillId="9" fontId="17" numFmtId="3" xfId="0" applyAlignment="1" applyBorder="1" applyFont="1" applyNumberFormat="1">
      <alignment readingOrder="0" shrinkToFit="0" vertical="center" wrapText="0"/>
    </xf>
    <xf borderId="34" fillId="9" fontId="17" numFmtId="3" xfId="0" applyAlignment="1" applyBorder="1" applyFont="1" applyNumberFormat="1">
      <alignment shrinkToFit="0" vertical="center" wrapText="0"/>
    </xf>
    <xf borderId="33" fillId="0" fontId="17" numFmtId="3" xfId="0" applyAlignment="1" applyBorder="1" applyFont="1" applyNumberFormat="1">
      <alignment shrinkToFit="0" vertical="center" wrapText="1"/>
    </xf>
    <xf borderId="0" fillId="0" fontId="17" numFmtId="3" xfId="0" applyAlignment="1" applyFont="1" applyNumberFormat="1">
      <alignment readingOrder="0"/>
    </xf>
    <xf borderId="33" fillId="0" fontId="25" numFmtId="0" xfId="0" applyAlignment="1" applyBorder="1" applyFont="1">
      <alignment horizontal="left" shrinkToFit="0" vertical="center" wrapText="1"/>
    </xf>
    <xf borderId="0" fillId="0" fontId="25" numFmtId="0" xfId="0" applyAlignment="1" applyFont="1">
      <alignment horizontal="right" shrinkToFit="0" vertical="center" wrapText="1"/>
    </xf>
    <xf borderId="0" fillId="0" fontId="25" numFmtId="3" xfId="0" applyAlignment="1" applyFont="1" applyNumberFormat="1">
      <alignment shrinkToFit="0" wrapText="1"/>
    </xf>
    <xf borderId="0" fillId="0" fontId="26" numFmtId="0" xfId="0" applyAlignment="1" applyFont="1">
      <alignment horizontal="center" shrinkToFit="0" wrapText="0"/>
    </xf>
    <xf borderId="0" fillId="0" fontId="26" numFmtId="0" xfId="0" applyAlignment="1" applyFont="1">
      <alignment readingOrder="0" shrinkToFit="0" wrapText="0"/>
    </xf>
    <xf borderId="0" fillId="0" fontId="26" numFmtId="0" xfId="0" applyAlignment="1" applyFont="1">
      <alignment shrinkToFit="0" wrapText="0"/>
    </xf>
    <xf borderId="0" fillId="0" fontId="26" numFmtId="0" xfId="0" applyAlignment="1" applyFont="1">
      <alignment shrinkToFit="0" wrapText="1"/>
    </xf>
    <xf borderId="0" fillId="0" fontId="25" numFmtId="0" xfId="0" applyAlignment="1" applyFont="1">
      <alignment shrinkToFit="0" wrapText="1"/>
    </xf>
    <xf borderId="0" fillId="2" fontId="25" numFmtId="0" xfId="0" applyAlignment="1" applyFont="1">
      <alignment shrinkToFit="0" wrapText="1"/>
    </xf>
    <xf borderId="0" fillId="0" fontId="25" numFmtId="3" xfId="0" applyAlignment="1" applyFont="1" applyNumberFormat="1">
      <alignment shrinkToFit="0" wrapText="0"/>
    </xf>
    <xf borderId="0" fillId="4" fontId="20" numFmtId="3" xfId="0" applyAlignment="1" applyFont="1" applyNumberFormat="1">
      <alignment horizontal="center" vertical="center"/>
    </xf>
    <xf borderId="0" fillId="0" fontId="17" numFmtId="3" xfId="0" applyAlignment="1" applyFont="1" applyNumberFormat="1">
      <alignment horizontal="center" shrinkToFit="0" wrapText="0"/>
    </xf>
    <xf borderId="0" fillId="0" fontId="17" numFmtId="3" xfId="0" applyAlignment="1" applyFont="1" applyNumberFormat="1">
      <alignment readingOrder="0" shrinkToFit="0" wrapText="0"/>
    </xf>
    <xf borderId="0" fillId="0" fontId="17" numFmtId="3" xfId="0" applyAlignment="1" applyFont="1" applyNumberFormat="1">
      <alignment readingOrder="0" shrinkToFit="0" vertical="center" wrapText="0"/>
    </xf>
    <xf borderId="0" fillId="0" fontId="17" numFmtId="3" xfId="0" applyAlignment="1" applyFont="1" applyNumberFormat="1">
      <alignment horizontal="center" readingOrder="0" shrinkToFit="0" vertical="center" wrapText="0"/>
    </xf>
    <xf borderId="0" fillId="4" fontId="20" numFmtId="3" xfId="0" applyAlignment="1" applyFont="1" applyNumberFormat="1">
      <alignment vertical="center"/>
    </xf>
    <xf borderId="0" fillId="0" fontId="17" numFmtId="0" xfId="0" applyAlignment="1" applyFont="1">
      <alignment readingOrder="0"/>
    </xf>
    <xf borderId="0" fillId="4" fontId="20" numFmtId="3" xfId="0" applyAlignment="1" applyFont="1" applyNumberFormat="1">
      <alignment horizontal="center" shrinkToFit="0" vertical="center" wrapText="0"/>
    </xf>
    <xf borderId="0" fillId="4" fontId="20" numFmtId="3" xfId="0" applyAlignment="1" applyFont="1" applyNumberFormat="1">
      <alignment shrinkToFit="0" vertical="center" wrapText="0"/>
    </xf>
    <xf borderId="0" fillId="4" fontId="20" numFmtId="3" xfId="0" applyAlignment="1" applyFont="1" applyNumberFormat="1">
      <alignment readingOrder="0" shrinkToFit="0" vertical="center" wrapText="0"/>
    </xf>
    <xf borderId="0" fillId="0" fontId="17" numFmtId="0" xfId="0" applyAlignment="1" applyFont="1">
      <alignment horizontal="center"/>
    </xf>
    <xf borderId="0" fillId="0" fontId="17" numFmtId="0" xfId="0" applyAlignment="1" applyFont="1">
      <alignment shrinkToFit="0" wrapText="0"/>
    </xf>
    <xf borderId="0" fillId="8" fontId="19" numFmtId="0" xfId="0" applyAlignment="1" applyFont="1">
      <alignment shrinkToFit="0" vertical="center" wrapText="0"/>
    </xf>
    <xf borderId="0" fillId="8" fontId="19" numFmtId="0" xfId="0" applyAlignment="1" applyFont="1">
      <alignment horizontal="center" shrinkToFit="0" vertical="center" wrapText="0"/>
    </xf>
    <xf borderId="34" fillId="8" fontId="19" numFmtId="0" xfId="0" applyAlignment="1" applyBorder="1" applyFont="1">
      <alignment shrinkToFit="0" vertical="center" wrapText="0"/>
    </xf>
    <xf borderId="0" fillId="0" fontId="17" numFmtId="0" xfId="0" applyFont="1"/>
    <xf borderId="33" fillId="0" fontId="27" numFmtId="0" xfId="0" applyAlignment="1" applyBorder="1" applyFont="1">
      <alignment shrinkToFit="0" vertical="center" wrapText="1"/>
    </xf>
    <xf borderId="34" fillId="9" fontId="17" numFmtId="3" xfId="0" applyAlignment="1" applyBorder="1" applyFont="1" applyNumberFormat="1">
      <alignment vertical="center"/>
    </xf>
    <xf borderId="0" fillId="4" fontId="28" numFmtId="3" xfId="0" applyFont="1" applyNumberFormat="1"/>
    <xf borderId="0" fillId="2" fontId="29" numFmtId="3" xfId="0" applyAlignment="1" applyFont="1" applyNumberFormat="1">
      <alignment readingOrder="0"/>
    </xf>
    <xf borderId="0" fillId="2" fontId="29" numFmtId="0" xfId="0" applyAlignment="1" applyFont="1">
      <alignment readingOrder="0"/>
    </xf>
    <xf borderId="0" fillId="0" fontId="17" numFmtId="165" xfId="0" applyAlignment="1" applyFont="1" applyNumberFormat="1">
      <alignment readingOrder="0"/>
    </xf>
    <xf borderId="0" fillId="4" fontId="17" numFmtId="0" xfId="0" applyFont="1"/>
    <xf borderId="0" fillId="4" fontId="17" numFmtId="165" xfId="0" applyFont="1" applyNumberFormat="1"/>
    <xf borderId="0" fillId="0" fontId="17" numFmtId="165" xfId="0" applyAlignment="1" applyFont="1" applyNumberFormat="1">
      <alignment horizontal="center"/>
    </xf>
    <xf borderId="34" fillId="0" fontId="17" numFmtId="165" xfId="0" applyBorder="1" applyFont="1" applyNumberFormat="1"/>
    <xf borderId="0" fillId="2" fontId="17" numFmtId="0" xfId="0" applyAlignment="1" applyFont="1">
      <alignment shrinkToFit="0" wrapText="0"/>
    </xf>
    <xf borderId="42" fillId="6" fontId="21" numFmtId="0" xfId="0" applyAlignment="1" applyBorder="1" applyFont="1">
      <alignment horizontal="center" shrinkToFit="0" vertical="center" wrapText="1"/>
    </xf>
    <xf borderId="43" fillId="0" fontId="15" numFmtId="0" xfId="0" applyBorder="1" applyFont="1"/>
    <xf borderId="44" fillId="0" fontId="15" numFmtId="0" xfId="0" applyBorder="1" applyFont="1"/>
    <xf borderId="33" fillId="9" fontId="17" numFmtId="0" xfId="0" applyAlignment="1" applyBorder="1" applyFont="1">
      <alignment readingOrder="0" shrinkToFit="0" wrapText="1"/>
    </xf>
    <xf borderId="0" fillId="9" fontId="17" numFmtId="0" xfId="0" applyFont="1"/>
    <xf borderId="33" fillId="9" fontId="17" numFmtId="0" xfId="0" applyAlignment="1" applyBorder="1" applyFont="1">
      <alignment shrinkToFit="0" wrapText="1"/>
    </xf>
    <xf borderId="33" fillId="9" fontId="17" numFmtId="0" xfId="0" applyAlignment="1" applyBorder="1" applyFont="1">
      <alignment shrinkToFit="0" vertical="center" wrapText="1"/>
    </xf>
    <xf borderId="33" fillId="9" fontId="17" numFmtId="0" xfId="0" applyAlignment="1" applyBorder="1" applyFont="1">
      <alignment readingOrder="0" shrinkToFit="0" vertical="center" wrapText="1"/>
    </xf>
    <xf borderId="45" fillId="9" fontId="17" numFmtId="0" xfId="0" applyAlignment="1" applyBorder="1" applyFont="1">
      <alignment readingOrder="0" shrinkToFit="0" wrapText="1"/>
    </xf>
    <xf borderId="46" fillId="0" fontId="15" numFmtId="0" xfId="0" applyBorder="1" applyFont="1"/>
    <xf borderId="47" fillId="0" fontId="15" numFmtId="0" xfId="0" applyBorder="1" applyFont="1"/>
    <xf borderId="45" fillId="9" fontId="17" numFmtId="0" xfId="0" applyAlignment="1" applyBorder="1" applyFont="1">
      <alignment shrinkToFit="0" wrapText="1"/>
    </xf>
    <xf borderId="45" fillId="9" fontId="17" numFmtId="0" xfId="0" applyAlignment="1" applyBorder="1" applyFont="1">
      <alignment shrinkToFit="0" vertical="center" wrapText="1"/>
    </xf>
    <xf borderId="6" fillId="4" fontId="30" numFmtId="0" xfId="0" applyAlignment="1" applyBorder="1" applyFont="1">
      <alignment shrinkToFit="0" wrapText="1"/>
    </xf>
    <xf borderId="48" fillId="0" fontId="15" numFmtId="0" xfId="0" applyBorder="1" applyFont="1"/>
    <xf borderId="48" fillId="9" fontId="31" numFmtId="0" xfId="0" applyAlignment="1" applyBorder="1" applyFont="1">
      <alignment readingOrder="0" shrinkToFit="0" vertical="center" wrapText="1"/>
    </xf>
    <xf borderId="7" fillId="0" fontId="15" numFmtId="0" xfId="0" applyBorder="1" applyFont="1"/>
    <xf borderId="33" fillId="7" fontId="17" numFmtId="0" xfId="0" applyAlignment="1" applyBorder="1" applyFont="1">
      <alignment shrinkToFit="0" wrapText="1"/>
    </xf>
    <xf borderId="49" fillId="7" fontId="17" numFmtId="0" xfId="0" applyAlignment="1" applyBorder="1" applyFont="1">
      <alignment shrinkToFit="0" wrapText="1"/>
    </xf>
    <xf borderId="50" fillId="9" fontId="17" numFmtId="3" xfId="0" applyBorder="1" applyFont="1" applyNumberFormat="1"/>
    <xf borderId="51" fillId="7" fontId="17" numFmtId="0" xfId="0" applyBorder="1" applyFont="1"/>
    <xf borderId="52" fillId="0" fontId="15" numFmtId="0" xfId="0" applyBorder="1" applyFont="1"/>
    <xf borderId="52" fillId="9" fontId="17" numFmtId="3" xfId="0" applyBorder="1" applyFont="1" applyNumberFormat="1"/>
    <xf borderId="53" fillId="0" fontId="15" numFmtId="0" xfId="0" applyBorder="1" applyFont="1"/>
    <xf borderId="50" fillId="9" fontId="17" numFmtId="166" xfId="0" applyAlignment="1" applyBorder="1" applyFont="1" applyNumberFormat="1">
      <alignment readingOrder="0"/>
    </xf>
    <xf borderId="50" fillId="9" fontId="17" numFmtId="0" xfId="0" applyAlignment="1" applyBorder="1" applyFont="1">
      <alignment readingOrder="0"/>
    </xf>
    <xf borderId="52" fillId="9" fontId="17" numFmtId="0" xfId="0" applyAlignment="1" applyBorder="1" applyFont="1">
      <alignment readingOrder="0"/>
    </xf>
    <xf borderId="50" fillId="9" fontId="17" numFmtId="0" xfId="0" applyBorder="1" applyFont="1"/>
    <xf borderId="52" fillId="9" fontId="17" numFmtId="0" xfId="0" applyBorder="1" applyFont="1"/>
    <xf borderId="33" fillId="0" fontId="32" numFmtId="2" xfId="0" applyAlignment="1" applyBorder="1" applyFont="1" applyNumberFormat="1">
      <alignment shrinkToFit="0" wrapText="1"/>
    </xf>
    <xf borderId="0" fillId="0" fontId="33" numFmtId="2" xfId="0" applyAlignment="1" applyFont="1" applyNumberFormat="1">
      <alignment horizontal="center"/>
    </xf>
    <xf borderId="0" fillId="0" fontId="32" numFmtId="2" xfId="0" applyAlignment="1" applyFont="1" applyNumberFormat="1">
      <alignment horizontal="left"/>
    </xf>
    <xf borderId="0" fillId="0" fontId="17" numFmtId="2" xfId="0" applyFont="1" applyNumberFormat="1"/>
    <xf borderId="0" fillId="0" fontId="30" numFmtId="2" xfId="0" applyFont="1" applyNumberFormat="1"/>
    <xf borderId="0" fillId="2" fontId="17" numFmtId="2" xfId="0" applyFont="1" applyNumberFormat="1"/>
    <xf borderId="0" fillId="0" fontId="32" numFmtId="2" xfId="0" applyAlignment="1" applyFont="1" applyNumberFormat="1">
      <alignment shrinkToFit="0" wrapText="1"/>
    </xf>
    <xf borderId="33" fillId="0" fontId="32" numFmtId="0" xfId="0" applyAlignment="1" applyBorder="1" applyFont="1">
      <alignment shrinkToFit="0" wrapText="1"/>
    </xf>
    <xf borderId="34" fillId="0" fontId="17" numFmtId="0" xfId="0" applyBorder="1" applyFont="1"/>
    <xf borderId="0" fillId="0" fontId="30" numFmtId="0" xfId="0" applyFont="1"/>
    <xf borderId="0" fillId="0" fontId="32" numFmtId="0" xfId="0" applyAlignment="1" applyFont="1">
      <alignment shrinkToFit="0" wrapText="1"/>
    </xf>
    <xf borderId="33" fillId="0" fontId="17" numFmtId="0" xfId="0" applyAlignment="1" applyBorder="1" applyFont="1">
      <alignment shrinkToFit="0" wrapText="1"/>
    </xf>
    <xf borderId="0" fillId="0" fontId="34" numFmtId="0" xfId="0" applyAlignment="1" applyFont="1">
      <alignment horizontal="right" vertical="bottom"/>
    </xf>
    <xf borderId="0" fillId="4" fontId="20" numFmtId="0" xfId="0" applyFont="1"/>
    <xf borderId="0" fillId="0" fontId="17" numFmtId="0" xfId="0" applyAlignment="1" applyFont="1">
      <alignment shrinkToFit="0" wrapText="1"/>
    </xf>
    <xf borderId="33" fillId="4" fontId="17" numFmtId="0" xfId="0" applyAlignment="1" applyBorder="1" applyFont="1">
      <alignment shrinkToFit="0" wrapText="1"/>
    </xf>
    <xf borderId="33" fillId="0" fontId="26" numFmtId="0" xfId="0" applyAlignment="1" applyBorder="1" applyFont="1">
      <alignment shrinkToFit="0" vertical="top" wrapText="1"/>
    </xf>
    <xf borderId="0" fillId="0" fontId="26" numFmtId="9" xfId="0" applyAlignment="1" applyFont="1" applyNumberFormat="1">
      <alignment horizontal="right" vertical="top"/>
    </xf>
    <xf borderId="0" fillId="0" fontId="9" numFmtId="0" xfId="0" applyFont="1"/>
    <xf borderId="34" fillId="0" fontId="26" numFmtId="9" xfId="0" applyAlignment="1" applyBorder="1" applyFont="1" applyNumberFormat="1">
      <alignment horizontal="right" vertical="top"/>
    </xf>
    <xf borderId="0" fillId="0" fontId="17" numFmtId="4" xfId="0" applyFont="1" applyNumberFormat="1"/>
    <xf borderId="54" fillId="11" fontId="35" numFmtId="0" xfId="0" applyAlignment="1" applyBorder="1" applyFill="1" applyFont="1">
      <alignment horizontal="center" readingOrder="0" shrinkToFit="0" vertical="center" wrapText="1"/>
    </xf>
    <xf borderId="55" fillId="0" fontId="15" numFmtId="0" xfId="0" applyBorder="1" applyFont="1"/>
    <xf borderId="56" fillId="0" fontId="15" numFmtId="0" xfId="0" applyBorder="1" applyFont="1"/>
    <xf borderId="54" fillId="11" fontId="36" numFmtId="0" xfId="0" applyAlignment="1" applyBorder="1" applyFont="1">
      <alignment horizontal="center" readingOrder="0" shrinkToFit="0" vertical="center" wrapText="1"/>
    </xf>
    <xf borderId="36" fillId="8" fontId="1" numFmtId="0" xfId="0" applyAlignment="1" applyBorder="1" applyFont="1">
      <alignment shrinkToFit="0" wrapText="1"/>
    </xf>
    <xf borderId="30" fillId="9" fontId="18" numFmtId="0" xfId="0" applyAlignment="1" applyBorder="1" applyFont="1">
      <alignment readingOrder="0" shrinkToFit="0" vertical="center" wrapText="1"/>
    </xf>
    <xf borderId="29" fillId="9" fontId="1" numFmtId="3" xfId="0" applyBorder="1" applyFont="1" applyNumberFormat="1"/>
    <xf borderId="29" fillId="9" fontId="1" numFmtId="0" xfId="0" applyBorder="1" applyFont="1"/>
    <xf borderId="29" fillId="9" fontId="1" numFmtId="0" xfId="0" applyAlignment="1" applyBorder="1" applyFont="1">
      <alignment readingOrder="0"/>
    </xf>
    <xf borderId="33" fillId="0" fontId="17" numFmtId="0" xfId="0" applyAlignment="1" applyBorder="1" applyFont="1">
      <alignment shrinkToFit="0" vertical="center" wrapText="1"/>
    </xf>
    <xf borderId="48" fillId="9" fontId="17" numFmtId="3" xfId="0" applyAlignment="1" applyBorder="1" applyFont="1" applyNumberFormat="1">
      <alignment readingOrder="0"/>
    </xf>
    <xf borderId="50" fillId="9" fontId="17" numFmtId="167" xfId="0" applyAlignment="1" applyBorder="1" applyFont="1" applyNumberFormat="1">
      <alignment readingOrder="0"/>
    </xf>
    <xf borderId="50" fillId="9" fontId="17" numFmtId="3" xfId="0" applyAlignment="1" applyBorder="1" applyFont="1" applyNumberFormat="1">
      <alignment readingOrder="0"/>
    </xf>
    <xf borderId="52" fillId="9" fontId="17" numFmtId="3" xfId="0" applyAlignment="1" applyBorder="1" applyFont="1" applyNumberFormat="1">
      <alignment readingOrder="0"/>
    </xf>
    <xf borderId="33" fillId="9" fontId="17" numFmtId="0" xfId="0" applyAlignment="1" applyBorder="1" applyFont="1">
      <alignment readingOrder="0" shrinkToFit="0" wrapText="1"/>
    </xf>
    <xf borderId="33" fillId="9" fontId="17" numFmtId="0" xfId="0" applyAlignment="1" applyBorder="1" applyFont="1">
      <alignment readingOrder="0" shrinkToFit="0" vertical="center" wrapText="1"/>
    </xf>
    <xf borderId="45" fillId="9" fontId="17" numFmtId="0" xfId="0" applyAlignment="1" applyBorder="1" applyFont="1">
      <alignment readingOrder="0" shrinkToFit="0" wrapText="1"/>
    </xf>
    <xf borderId="9" fillId="12" fontId="37" numFmtId="0" xfId="0" applyAlignment="1" applyBorder="1" applyFill="1" applyFont="1">
      <alignment horizontal="center"/>
    </xf>
    <xf borderId="57" fillId="0" fontId="15" numFmtId="0" xfId="0" applyBorder="1" applyFont="1"/>
    <xf borderId="2" fillId="9" fontId="18" numFmtId="0" xfId="0" applyAlignment="1" applyBorder="1" applyFont="1">
      <alignment horizontal="center"/>
    </xf>
    <xf borderId="2" fillId="13" fontId="18" numFmtId="0" xfId="0" applyAlignment="1" applyBorder="1" applyFill="1" applyFont="1">
      <alignment horizontal="center"/>
    </xf>
    <xf borderId="2" fillId="14" fontId="18" numFmtId="0" xfId="0" applyAlignment="1" applyBorder="1" applyFill="1" applyFont="1">
      <alignment horizontal="center"/>
    </xf>
    <xf borderId="2" fillId="14" fontId="1" numFmtId="0" xfId="0" applyBorder="1" applyFont="1"/>
    <xf borderId="2" fillId="15" fontId="18" numFmtId="0" xfId="0" applyAlignment="1" applyBorder="1" applyFill="1" applyFont="1">
      <alignment horizontal="center"/>
    </xf>
    <xf borderId="2" fillId="16" fontId="18" numFmtId="0" xfId="0" applyAlignment="1" applyBorder="1" applyFill="1" applyFont="1">
      <alignment horizontal="center"/>
    </xf>
    <xf borderId="2" fillId="17" fontId="18" numFmtId="0" xfId="0" applyAlignment="1" applyBorder="1" applyFill="1" applyFont="1">
      <alignment horizontal="center"/>
    </xf>
    <xf borderId="2" fillId="18" fontId="18" numFmtId="0" xfId="0" applyAlignment="1" applyBorder="1" applyFill="1" applyFont="1">
      <alignment horizontal="center"/>
    </xf>
    <xf borderId="2" fillId="18" fontId="1" numFmtId="0" xfId="0" applyBorder="1" applyFont="1"/>
    <xf borderId="2" fillId="19" fontId="18" numFmtId="0" xfId="0" applyAlignment="1" applyBorder="1" applyFill="1" applyFont="1">
      <alignment horizontal="center"/>
    </xf>
    <xf borderId="2" fillId="20" fontId="18" numFmtId="0" xfId="0" applyAlignment="1" applyBorder="1" applyFill="1" applyFont="1">
      <alignment horizontal="center"/>
    </xf>
    <xf borderId="2" fillId="20" fontId="1" numFmtId="0" xfId="0" applyBorder="1" applyFont="1"/>
    <xf borderId="2" fillId="21" fontId="18" numFmtId="0" xfId="0" applyAlignment="1" applyBorder="1" applyFill="1" applyFont="1">
      <alignment horizontal="center"/>
    </xf>
    <xf borderId="2" fillId="2" fontId="37" numFmtId="0" xfId="0" applyAlignment="1" applyBorder="1" applyFont="1">
      <alignment horizontal="center"/>
    </xf>
    <xf borderId="0" fillId="0" fontId="1" numFmtId="0" xfId="0" applyFont="1"/>
    <xf borderId="58" fillId="0" fontId="15" numFmtId="0" xfId="0" applyBorder="1" applyFont="1"/>
    <xf borderId="59" fillId="0" fontId="15" numFmtId="0" xfId="0" applyBorder="1" applyFont="1"/>
    <xf borderId="60" fillId="0" fontId="15" numFmtId="0" xfId="0" applyBorder="1" applyFont="1"/>
    <xf borderId="29" fillId="22" fontId="37" numFmtId="0" xfId="0" applyAlignment="1" applyBorder="1" applyFill="1" applyFont="1">
      <alignment horizontal="center"/>
    </xf>
    <xf borderId="0" fillId="0" fontId="38" numFmtId="0" xfId="0" applyAlignment="1" applyFont="1">
      <alignment horizontal="left" readingOrder="0" textRotation="10" vertical="center"/>
    </xf>
    <xf borderId="0" fillId="0" fontId="39" numFmtId="0" xfId="0" applyFont="1"/>
    <xf borderId="0" fillId="0" fontId="39" numFmtId="0" xfId="0" applyAlignment="1" applyFont="1">
      <alignment horizontal="right"/>
    </xf>
    <xf borderId="0" fillId="9" fontId="39" numFmtId="0" xfId="0" applyAlignment="1" applyFont="1">
      <alignment horizontal="center" readingOrder="0"/>
    </xf>
    <xf borderId="0" fillId="0" fontId="9" numFmtId="9" xfId="0" applyFont="1" applyNumberFormat="1"/>
    <xf borderId="0" fillId="0" fontId="1" numFmtId="0" xfId="0" applyFont="1"/>
    <xf borderId="0" fillId="0" fontId="9" numFmtId="0" xfId="0" applyAlignment="1" applyFont="1">
      <alignment horizontal="left" readingOrder="0"/>
    </xf>
    <xf borderId="0" fillId="0" fontId="0" numFmtId="3" xfId="0" applyAlignment="1" applyFont="1" applyNumberFormat="1">
      <alignment horizontal="center" readingOrder="0"/>
    </xf>
    <xf borderId="0" fillId="0" fontId="40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41" numFmtId="0" xfId="0" applyAlignment="1" applyFont="1">
      <alignment readingOrder="0"/>
    </xf>
    <xf borderId="0" fillId="0" fontId="42" numFmtId="0" xfId="0" applyAlignment="1" applyFont="1">
      <alignment horizontal="center" readingOrder="0" shrinkToFit="0" vertical="center" wrapText="1"/>
    </xf>
    <xf borderId="0" fillId="0" fontId="9" numFmtId="1" xfId="0" applyAlignment="1" applyFont="1" applyNumberFormat="1">
      <alignment horizontal="center"/>
    </xf>
    <xf borderId="0" fillId="0" fontId="9" numFmtId="165" xfId="0" applyAlignment="1" applyFont="1" applyNumberFormat="1">
      <alignment horizontal="center"/>
    </xf>
    <xf borderId="0" fillId="0" fontId="9" numFmtId="0" xfId="0" applyAlignment="1" applyFont="1">
      <alignment horizontal="center"/>
    </xf>
    <xf borderId="0" fillId="0" fontId="9" numFmtId="2" xfId="0" applyAlignment="1" applyFont="1" applyNumberFormat="1">
      <alignment horizontal="center"/>
    </xf>
    <xf borderId="0" fillId="0" fontId="9" numFmtId="168" xfId="0" applyAlignment="1" applyFont="1" applyNumberFormat="1">
      <alignment horizontal="center"/>
    </xf>
    <xf borderId="0" fillId="0" fontId="43" numFmtId="0" xfId="0" applyAlignment="1" applyFont="1">
      <alignment readingOrder="0"/>
    </xf>
    <xf borderId="29" fillId="0" fontId="41" numFmtId="0" xfId="0" applyAlignment="1" applyBorder="1" applyFont="1">
      <alignment horizontal="left" readingOrder="0" vertical="center"/>
    </xf>
    <xf borderId="30" fillId="0" fontId="44" numFmtId="169" xfId="0" applyAlignment="1" applyBorder="1" applyFont="1" applyNumberFormat="1">
      <alignment horizontal="center" vertical="center"/>
    </xf>
    <xf borderId="61" fillId="0" fontId="9" numFmtId="0" xfId="0" applyAlignment="1" applyBorder="1" applyFont="1">
      <alignment horizontal="center"/>
    </xf>
    <xf borderId="2" fillId="0" fontId="9" numFmtId="0" xfId="0" applyAlignment="1" applyBorder="1" applyFont="1">
      <alignment horizontal="center"/>
    </xf>
    <xf borderId="0" fillId="0" fontId="41" numFmtId="0" xfId="0" applyAlignment="1" applyFont="1">
      <alignment readingOrder="0" shrinkToFit="0" vertical="center" wrapText="1"/>
    </xf>
    <xf borderId="0" fillId="0" fontId="45" numFmtId="0" xfId="0" applyAlignment="1" applyFont="1">
      <alignment horizontal="center" vertical="center"/>
    </xf>
    <xf borderId="29" fillId="0" fontId="41" numFmtId="0" xfId="0" applyAlignment="1" applyBorder="1" applyFont="1">
      <alignment horizontal="left" readingOrder="0" shrinkToFit="0" vertical="center" wrapText="1"/>
    </xf>
    <xf borderId="30" fillId="0" fontId="46" numFmtId="1" xfId="0" applyAlignment="1" applyBorder="1" applyFont="1" applyNumberFormat="1">
      <alignment horizontal="center" vertical="center"/>
    </xf>
    <xf borderId="30" fillId="0" fontId="47" numFmtId="3" xfId="0" applyAlignment="1" applyBorder="1" applyFont="1" applyNumberFormat="1">
      <alignment horizontal="center" vertical="center"/>
    </xf>
    <xf borderId="0" fillId="0" fontId="41" numFmtId="0" xfId="0" applyAlignment="1" applyFont="1">
      <alignment horizontal="center"/>
    </xf>
    <xf borderId="2" fillId="0" fontId="48" numFmtId="0" xfId="0" applyAlignment="1" applyBorder="1" applyFont="1">
      <alignment horizontal="center"/>
    </xf>
    <xf borderId="0" fillId="0" fontId="41" numFmtId="0" xfId="0" applyAlignment="1" applyFont="1">
      <alignment horizontal="center" readingOrder="0"/>
    </xf>
    <xf borderId="0" fillId="0" fontId="9" numFmtId="0" xfId="0" applyAlignment="1" applyFont="1">
      <alignment horizontal="left"/>
    </xf>
    <xf borderId="62" fillId="9" fontId="49" numFmtId="0" xfId="0" applyAlignment="1" applyBorder="1" applyFont="1">
      <alignment readingOrder="0"/>
    </xf>
    <xf borderId="63" fillId="0" fontId="15" numFmtId="0" xfId="0" applyBorder="1" applyFont="1"/>
    <xf borderId="64" fillId="9" fontId="3" numFmtId="0" xfId="0" applyAlignment="1" applyBorder="1" applyFont="1">
      <alignment readingOrder="0"/>
    </xf>
    <xf borderId="65" fillId="9" fontId="3" numFmtId="0" xfId="0" applyBorder="1" applyFont="1"/>
    <xf borderId="1" fillId="2" fontId="49" numFmtId="0" xfId="0" applyAlignment="1" applyBorder="1" applyFont="1">
      <alignment horizontal="center" vertical="center"/>
    </xf>
    <xf borderId="1" fillId="3" fontId="49" numFmtId="0" xfId="0" applyAlignment="1" applyBorder="1" applyFont="1">
      <alignment horizontal="center" vertical="center"/>
    </xf>
    <xf borderId="66" fillId="12" fontId="50" numFmtId="0" xfId="0" applyAlignment="1" applyBorder="1" applyFont="1">
      <alignment horizontal="center" shrinkToFit="0" vertical="bottom" wrapText="1"/>
    </xf>
    <xf borderId="67" fillId="12" fontId="50" numFmtId="0" xfId="0" applyAlignment="1" applyBorder="1" applyFont="1">
      <alignment horizontal="center" shrinkToFit="0" vertical="bottom" wrapText="1"/>
    </xf>
    <xf borderId="67" fillId="23" fontId="50" numFmtId="0" xfId="0" applyAlignment="1" applyBorder="1" applyFill="1" applyFont="1">
      <alignment horizontal="center" shrinkToFit="0" vertical="bottom" wrapText="1"/>
    </xf>
    <xf borderId="67" fillId="23" fontId="50" numFmtId="0" xfId="0" applyAlignment="1" applyBorder="1" applyFont="1">
      <alignment horizontal="center" shrinkToFit="0" vertical="bottom" wrapText="1"/>
    </xf>
    <xf borderId="67" fillId="12" fontId="50" numFmtId="0" xfId="0" applyAlignment="1" applyBorder="1" applyFont="1">
      <alignment horizontal="center" shrinkToFit="0" vertical="bottom" wrapText="1"/>
    </xf>
    <xf borderId="67" fillId="12" fontId="50" numFmtId="165" xfId="0" applyAlignment="1" applyBorder="1" applyFont="1" applyNumberFormat="1">
      <alignment horizontal="center" shrinkToFit="0" vertical="bottom" wrapText="1"/>
    </xf>
    <xf borderId="68" fillId="23" fontId="50" numFmtId="165" xfId="0" applyAlignment="1" applyBorder="1" applyFont="1" applyNumberFormat="1">
      <alignment horizontal="center" shrinkToFit="0" vertical="bottom" wrapText="1"/>
    </xf>
    <xf borderId="69" fillId="3" fontId="49" numFmtId="0" xfId="0" applyAlignment="1" applyBorder="1" applyFont="1">
      <alignment horizontal="center" vertical="center"/>
    </xf>
    <xf borderId="70" fillId="23" fontId="50" numFmtId="0" xfId="0" applyAlignment="1" applyBorder="1" applyFont="1">
      <alignment horizontal="center" shrinkToFit="0" vertical="bottom" wrapText="1"/>
    </xf>
    <xf borderId="60" fillId="23" fontId="50" numFmtId="0" xfId="0" applyAlignment="1" applyBorder="1" applyFont="1">
      <alignment horizontal="center" shrinkToFit="0" vertical="bottom" wrapText="1"/>
    </xf>
    <xf borderId="60" fillId="12" fontId="50" numFmtId="0" xfId="0" applyAlignment="1" applyBorder="1" applyFont="1">
      <alignment horizontal="center" shrinkToFit="0" vertical="bottom" wrapText="1"/>
    </xf>
    <xf borderId="60" fillId="12" fontId="50" numFmtId="0" xfId="0" applyAlignment="1" applyBorder="1" applyFont="1">
      <alignment horizontal="center" shrinkToFit="0" vertical="bottom" wrapText="1"/>
    </xf>
    <xf borderId="60" fillId="23" fontId="50" numFmtId="0" xfId="0" applyAlignment="1" applyBorder="1" applyFont="1">
      <alignment horizontal="center" shrinkToFit="0" vertical="bottom" wrapText="1"/>
    </xf>
    <xf borderId="71" fillId="12" fontId="1" numFmtId="0" xfId="0" applyAlignment="1" applyBorder="1" applyFont="1">
      <alignment vertical="bottom"/>
    </xf>
    <xf borderId="72" fillId="24" fontId="50" numFmtId="0" xfId="0" applyAlignment="1" applyBorder="1" applyFill="1" applyFont="1">
      <alignment horizontal="center" shrinkToFit="0" vertical="bottom" wrapText="1"/>
    </xf>
    <xf borderId="39" fillId="24" fontId="50" numFmtId="2" xfId="0" applyAlignment="1" applyBorder="1" applyFont="1" applyNumberFormat="1">
      <alignment horizontal="center" shrinkToFit="0" vertical="bottom" wrapText="1"/>
    </xf>
    <xf borderId="39" fillId="12" fontId="50" numFmtId="0" xfId="0" applyAlignment="1" applyBorder="1" applyFont="1">
      <alignment horizontal="center" shrinkToFit="0" vertical="bottom" wrapText="1"/>
    </xf>
    <xf borderId="39" fillId="12" fontId="50" numFmtId="0" xfId="0" applyAlignment="1" applyBorder="1" applyFont="1">
      <alignment horizontal="center" shrinkToFit="0" vertical="bottom" wrapText="1"/>
    </xf>
    <xf borderId="39" fillId="24" fontId="50" numFmtId="0" xfId="0" applyAlignment="1" applyBorder="1" applyFont="1">
      <alignment horizontal="center" shrinkToFit="0" vertical="bottom" wrapText="1"/>
    </xf>
    <xf borderId="39" fillId="24" fontId="50" numFmtId="1" xfId="0" applyAlignment="1" applyBorder="1" applyFont="1" applyNumberFormat="1">
      <alignment horizontal="center" shrinkToFit="0" vertical="bottom" wrapText="1"/>
    </xf>
    <xf borderId="73" fillId="12" fontId="50" numFmtId="169" xfId="0" applyAlignment="1" applyBorder="1" applyFont="1" applyNumberFormat="1">
      <alignment horizontal="center" shrinkToFit="0" vertical="bottom" wrapText="1"/>
    </xf>
    <xf borderId="1" fillId="2" fontId="51" numFmtId="0" xfId="0" applyAlignment="1" applyBorder="1" applyFont="1">
      <alignment horizontal="center" shrinkToFit="0" vertical="center" wrapText="1"/>
    </xf>
    <xf borderId="1" fillId="3" fontId="51" numFmtId="0" xfId="0" applyAlignment="1" applyBorder="1" applyFont="1">
      <alignment horizontal="center" shrinkToFit="0" vertical="center" wrapText="1"/>
    </xf>
    <xf borderId="74" fillId="4" fontId="1" numFmtId="49" xfId="0" applyAlignment="1" applyBorder="1" applyFont="1" applyNumberFormat="1">
      <alignment vertical="bottom"/>
    </xf>
    <xf borderId="75" fillId="4" fontId="1" numFmtId="49" xfId="0" applyAlignment="1" applyBorder="1" applyFont="1" applyNumberFormat="1">
      <alignment vertical="bottom"/>
    </xf>
    <xf borderId="76" fillId="4" fontId="1" numFmtId="49" xfId="0" applyAlignment="1" applyBorder="1" applyFont="1" applyNumberFormat="1">
      <alignment vertical="bottom"/>
    </xf>
    <xf borderId="69" fillId="3" fontId="51" numFmtId="0" xfId="0" applyAlignment="1" applyBorder="1" applyFont="1">
      <alignment horizontal="center" shrinkToFit="0" vertical="center" wrapText="1"/>
    </xf>
    <xf borderId="77" fillId="4" fontId="1" numFmtId="49" xfId="0" applyAlignment="1" applyBorder="1" applyFont="1" applyNumberFormat="1">
      <alignment vertical="bottom"/>
    </xf>
    <xf borderId="60" fillId="2" fontId="52" numFmtId="49" xfId="0" applyAlignment="1" applyBorder="1" applyFont="1" applyNumberFormat="1">
      <alignment horizontal="center" shrinkToFit="0" vertical="bottom" wrapText="1"/>
    </xf>
    <xf borderId="60" fillId="2" fontId="53" numFmtId="49" xfId="0" applyAlignment="1" applyBorder="1" applyFont="1" applyNumberFormat="1">
      <alignment horizontal="center" shrinkToFit="0" vertical="bottom" wrapText="1"/>
    </xf>
    <xf borderId="78" fillId="4" fontId="1" numFmtId="49" xfId="0" applyAlignment="1" applyBorder="1" applyFont="1" applyNumberFormat="1">
      <alignment vertical="bottom"/>
    </xf>
    <xf borderId="60" fillId="25" fontId="54" numFmtId="9" xfId="0" applyAlignment="1" applyBorder="1" applyFill="1" applyFont="1" applyNumberFormat="1">
      <alignment horizontal="center" vertical="bottom"/>
    </xf>
    <xf borderId="60" fillId="25" fontId="54" numFmtId="165" xfId="0" applyAlignment="1" applyBorder="1" applyFont="1" applyNumberFormat="1">
      <alignment horizontal="center" vertical="bottom"/>
    </xf>
    <xf borderId="60" fillId="25" fontId="54" numFmtId="165" xfId="0" applyAlignment="1" applyBorder="1" applyFont="1" applyNumberFormat="1">
      <alignment horizontal="center" vertical="bottom"/>
    </xf>
    <xf borderId="60" fillId="25" fontId="54" numFmtId="0" xfId="0" applyAlignment="1" applyBorder="1" applyFont="1">
      <alignment horizontal="center" vertical="bottom"/>
    </xf>
    <xf borderId="60" fillId="25" fontId="54" numFmtId="49" xfId="0" applyAlignment="1" applyBorder="1" applyFont="1" applyNumberFormat="1">
      <alignment horizontal="center" vertical="bottom"/>
    </xf>
    <xf borderId="69" fillId="4" fontId="1" numFmtId="49" xfId="0" applyAlignment="1" applyBorder="1" applyFont="1" applyNumberFormat="1">
      <alignment vertical="bottom"/>
    </xf>
    <xf borderId="1" fillId="2" fontId="49" numFmtId="0" xfId="0" applyBorder="1" applyFont="1"/>
    <xf borderId="1" fillId="3" fontId="49" numFmtId="0" xfId="0" applyBorder="1" applyFont="1"/>
    <xf borderId="60" fillId="26" fontId="54" numFmtId="9" xfId="0" applyAlignment="1" applyBorder="1" applyFill="1" applyFont="1" applyNumberFormat="1">
      <alignment horizontal="center" vertical="bottom"/>
    </xf>
    <xf borderId="60" fillId="26" fontId="54" numFmtId="165" xfId="0" applyAlignment="1" applyBorder="1" applyFont="1" applyNumberFormat="1">
      <alignment horizontal="center" vertical="bottom"/>
    </xf>
    <xf borderId="60" fillId="26" fontId="54" numFmtId="165" xfId="0" applyAlignment="1" applyBorder="1" applyFont="1" applyNumberFormat="1">
      <alignment horizontal="center" vertical="bottom"/>
    </xf>
    <xf borderId="60" fillId="26" fontId="54" numFmtId="0" xfId="0" applyAlignment="1" applyBorder="1" applyFont="1">
      <alignment horizontal="center" vertical="bottom"/>
    </xf>
    <xf borderId="60" fillId="26" fontId="54" numFmtId="49" xfId="0" applyAlignment="1" applyBorder="1" applyFont="1" applyNumberFormat="1">
      <alignment horizontal="center" vertical="bottom"/>
    </xf>
    <xf borderId="3" fillId="3" fontId="49" numFmtId="0" xfId="0" applyBorder="1" applyFont="1"/>
    <xf borderId="60" fillId="16" fontId="54" numFmtId="9" xfId="0" applyAlignment="1" applyBorder="1" applyFont="1" applyNumberFormat="1">
      <alignment horizontal="center" vertical="bottom"/>
    </xf>
    <xf borderId="60" fillId="16" fontId="54" numFmtId="165" xfId="0" applyAlignment="1" applyBorder="1" applyFont="1" applyNumberFormat="1">
      <alignment horizontal="center" vertical="bottom"/>
    </xf>
    <xf borderId="60" fillId="16" fontId="54" numFmtId="165" xfId="0" applyAlignment="1" applyBorder="1" applyFont="1" applyNumberFormat="1">
      <alignment horizontal="center" vertical="bottom"/>
    </xf>
    <xf borderId="60" fillId="16" fontId="54" numFmtId="0" xfId="0" applyAlignment="1" applyBorder="1" applyFont="1">
      <alignment horizontal="center" vertical="bottom"/>
    </xf>
    <xf borderId="60" fillId="16" fontId="54" numFmtId="49" xfId="0" applyAlignment="1" applyBorder="1" applyFont="1" applyNumberFormat="1">
      <alignment horizontal="center" vertical="bottom"/>
    </xf>
    <xf borderId="60" fillId="27" fontId="54" numFmtId="9" xfId="0" applyAlignment="1" applyBorder="1" applyFill="1" applyFont="1" applyNumberFormat="1">
      <alignment horizontal="center" vertical="bottom"/>
    </xf>
    <xf borderId="60" fillId="27" fontId="54" numFmtId="165" xfId="0" applyAlignment="1" applyBorder="1" applyFont="1" applyNumberFormat="1">
      <alignment horizontal="center" vertical="bottom"/>
    </xf>
    <xf borderId="60" fillId="27" fontId="54" numFmtId="165" xfId="0" applyAlignment="1" applyBorder="1" applyFont="1" applyNumberFormat="1">
      <alignment horizontal="center" vertical="bottom"/>
    </xf>
    <xf borderId="60" fillId="27" fontId="54" numFmtId="0" xfId="0" applyAlignment="1" applyBorder="1" applyFont="1">
      <alignment horizontal="center" vertical="bottom"/>
    </xf>
    <xf borderId="60" fillId="27" fontId="54" numFmtId="49" xfId="0" applyAlignment="1" applyBorder="1" applyFont="1" applyNumberFormat="1">
      <alignment horizontal="center" vertical="bottom"/>
    </xf>
    <xf borderId="60" fillId="28" fontId="54" numFmtId="9" xfId="0" applyAlignment="1" applyBorder="1" applyFill="1" applyFont="1" applyNumberFormat="1">
      <alignment horizontal="center" vertical="bottom"/>
    </xf>
    <xf borderId="60" fillId="28" fontId="54" numFmtId="165" xfId="0" applyAlignment="1" applyBorder="1" applyFont="1" applyNumberFormat="1">
      <alignment horizontal="center" vertical="bottom"/>
    </xf>
    <xf borderId="60" fillId="28" fontId="54" numFmtId="165" xfId="0" applyAlignment="1" applyBorder="1" applyFont="1" applyNumberFormat="1">
      <alignment horizontal="center" vertical="bottom"/>
    </xf>
    <xf borderId="60" fillId="28" fontId="54" numFmtId="0" xfId="0" applyAlignment="1" applyBorder="1" applyFont="1">
      <alignment horizontal="center" vertical="bottom"/>
    </xf>
    <xf borderId="60" fillId="28" fontId="54" numFmtId="49" xfId="0" applyAlignment="1" applyBorder="1" applyFont="1" applyNumberFormat="1">
      <alignment horizontal="center" vertical="bottom"/>
    </xf>
    <xf borderId="3" fillId="4" fontId="3" numFmtId="49" xfId="0" applyBorder="1" applyFont="1" applyNumberFormat="1"/>
    <xf borderId="79" fillId="4" fontId="3" numFmtId="49" xfId="0" applyBorder="1" applyFont="1" applyNumberFormat="1"/>
    <xf borderId="80" fillId="4" fontId="3" numFmtId="49" xfId="0" applyBorder="1" applyFont="1" applyNumberFormat="1"/>
    <xf borderId="81" fillId="4" fontId="3" numFmtId="49" xfId="0" applyBorder="1" applyFont="1" applyNumberFormat="1"/>
    <xf borderId="0" fillId="2" fontId="55" numFmtId="0" xfId="0" applyAlignment="1" applyFont="1">
      <alignment horizontal="center" readingOrder="0"/>
    </xf>
    <xf borderId="0" fillId="0" fontId="56" numFmtId="0" xfId="0" applyAlignment="1" applyFont="1">
      <alignment horizontal="right" shrinkToFit="0" vertical="center" wrapText="1"/>
    </xf>
    <xf borderId="0" fillId="0" fontId="56" numFmtId="0" xfId="0" applyAlignment="1" applyFont="1">
      <alignment horizontal="left" shrinkToFit="0" vertical="center" wrapText="1"/>
    </xf>
    <xf borderId="0" fillId="0" fontId="26" numFmtId="0" xfId="0" applyFont="1"/>
    <xf borderId="0" fillId="6" fontId="57" numFmtId="0" xfId="0" applyAlignment="1" applyFont="1">
      <alignment horizontal="center" readingOrder="0" shrinkToFit="0" vertical="center" wrapText="1"/>
    </xf>
    <xf borderId="16" fillId="23" fontId="58" numFmtId="0" xfId="0" applyAlignment="1" applyBorder="1" applyFont="1">
      <alignment horizontal="center" shrinkToFit="0" vertical="center" wrapText="1"/>
    </xf>
    <xf borderId="82" fillId="29" fontId="59" numFmtId="0" xfId="0" applyAlignment="1" applyBorder="1" applyFill="1" applyFont="1">
      <alignment horizontal="center" shrinkToFit="0" textRotation="90" vertical="center" wrapText="0"/>
    </xf>
    <xf borderId="83" fillId="23" fontId="58" numFmtId="0" xfId="0" applyAlignment="1" applyBorder="1" applyFont="1">
      <alignment horizontal="center" shrinkToFit="0" vertical="center" wrapText="0"/>
    </xf>
    <xf borderId="82" fillId="23" fontId="59" numFmtId="0" xfId="0" applyAlignment="1" applyBorder="1" applyFont="1">
      <alignment horizontal="center" shrinkToFit="0" textRotation="90" vertical="center" wrapText="0"/>
    </xf>
    <xf borderId="84" fillId="23" fontId="58" numFmtId="0" xfId="0" applyAlignment="1" applyBorder="1" applyFont="1">
      <alignment horizontal="center" shrinkToFit="0" vertical="center" wrapText="0"/>
    </xf>
    <xf borderId="85" fillId="0" fontId="15" numFmtId="0" xfId="0" applyBorder="1" applyFont="1"/>
    <xf borderId="86" fillId="23" fontId="58" numFmtId="0" xfId="0" applyAlignment="1" applyBorder="1" applyFont="1">
      <alignment horizontal="center" shrinkToFit="0" vertical="center" wrapText="1"/>
    </xf>
    <xf borderId="87" fillId="23" fontId="59" numFmtId="0" xfId="0" applyAlignment="1" applyBorder="1" applyFont="1">
      <alignment horizontal="center" shrinkToFit="0" textRotation="90" vertical="center" wrapText="0"/>
    </xf>
    <xf borderId="88" fillId="23" fontId="60" numFmtId="0" xfId="0" applyAlignment="1" applyBorder="1" applyFont="1">
      <alignment horizontal="center" readingOrder="0" shrinkToFit="0" vertical="center" wrapText="0"/>
    </xf>
    <xf borderId="89" fillId="23" fontId="60" numFmtId="0" xfId="0" applyAlignment="1" applyBorder="1" applyFont="1">
      <alignment horizontal="center" shrinkToFit="0" vertical="center" wrapText="0"/>
    </xf>
    <xf borderId="90" fillId="23" fontId="60" numFmtId="0" xfId="0" applyAlignment="1" applyBorder="1" applyFont="1">
      <alignment horizontal="center" shrinkToFit="0" vertical="center" wrapText="0"/>
    </xf>
    <xf borderId="88" fillId="23" fontId="60" numFmtId="0" xfId="0" applyAlignment="1" applyBorder="1" applyFont="1">
      <alignment horizontal="center" shrinkToFit="0" vertical="center" wrapText="0"/>
    </xf>
    <xf borderId="36" fillId="23" fontId="58" numFmtId="0" xfId="0" applyAlignment="1" applyBorder="1" applyFont="1">
      <alignment horizontal="center" shrinkToFit="0" vertical="center" wrapText="1"/>
    </xf>
    <xf borderId="91" fillId="23" fontId="60" numFmtId="0" xfId="0" applyAlignment="1" applyBorder="1" applyFont="1">
      <alignment horizontal="center" vertical="center"/>
    </xf>
    <xf borderId="92" fillId="29" fontId="60" numFmtId="170" xfId="0" applyAlignment="1" applyBorder="1" applyFont="1" applyNumberFormat="1">
      <alignment horizontal="center" readingOrder="0" vertical="center"/>
    </xf>
    <xf borderId="2" fillId="23" fontId="60" numFmtId="164" xfId="0" applyAlignment="1" applyBorder="1" applyFont="1" applyNumberFormat="1">
      <alignment horizontal="center" vertical="center"/>
    </xf>
    <xf borderId="93" fillId="23" fontId="60" numFmtId="164" xfId="0" applyAlignment="1" applyBorder="1" applyFont="1" applyNumberFormat="1">
      <alignment horizontal="center" vertical="center"/>
    </xf>
    <xf borderId="92" fillId="23" fontId="60" numFmtId="164" xfId="0" applyAlignment="1" applyBorder="1" applyFont="1" applyNumberFormat="1">
      <alignment horizontal="center" vertical="center"/>
    </xf>
    <xf borderId="92" fillId="29" fontId="60" numFmtId="0" xfId="0" applyAlignment="1" applyBorder="1" applyFont="1">
      <alignment horizontal="center" readingOrder="0" vertical="center"/>
    </xf>
    <xf borderId="91" fillId="8" fontId="60" numFmtId="0" xfId="0" applyAlignment="1" applyBorder="1" applyFont="1">
      <alignment horizontal="center" vertical="center"/>
    </xf>
    <xf borderId="36" fillId="23" fontId="58" numFmtId="0" xfId="0" applyAlignment="1" applyBorder="1" applyFont="1">
      <alignment horizontal="center" readingOrder="0" shrinkToFit="0" vertical="center" wrapText="1"/>
    </xf>
    <xf borderId="94" fillId="23" fontId="60" numFmtId="0" xfId="0" applyAlignment="1" applyBorder="1" applyFont="1">
      <alignment horizontal="center" readingOrder="0" vertical="center"/>
    </xf>
    <xf borderId="95" fillId="29" fontId="60" numFmtId="0" xfId="0" applyAlignment="1" applyBorder="1" applyFont="1">
      <alignment horizontal="center" readingOrder="0" vertical="center"/>
    </xf>
    <xf borderId="96" fillId="0" fontId="15" numFmtId="0" xfId="0" applyBorder="1" applyFont="1"/>
    <xf borderId="97" fillId="0" fontId="15" numFmtId="0" xfId="0" applyBorder="1" applyFont="1"/>
    <xf borderId="98" fillId="23" fontId="58" numFmtId="0" xfId="0" applyAlignment="1" applyBorder="1" applyFont="1">
      <alignment horizontal="center" shrinkToFit="0" vertical="center" wrapText="1"/>
    </xf>
    <xf borderId="99" fillId="0" fontId="15" numFmtId="0" xfId="0" applyBorder="1" applyFont="1"/>
    <xf borderId="100" fillId="23" fontId="60" numFmtId="0" xfId="0" applyAlignment="1" applyBorder="1" applyFont="1">
      <alignment horizontal="center" vertical="center"/>
    </xf>
    <xf borderId="101" fillId="29" fontId="60" numFmtId="0" xfId="0" applyAlignment="1" applyBorder="1" applyFont="1">
      <alignment horizontal="center" vertical="center"/>
    </xf>
    <xf borderId="102" fillId="29" fontId="60" numFmtId="0" xfId="0" applyAlignment="1" applyBorder="1" applyFont="1">
      <alignment horizontal="center" vertical="center"/>
    </xf>
    <xf borderId="103" fillId="29" fontId="60" numFmtId="0" xfId="0" applyAlignment="1" applyBorder="1" applyFont="1">
      <alignment horizontal="center" readingOrder="0" vertical="center"/>
    </xf>
    <xf borderId="19" fillId="7" fontId="58" numFmtId="0" xfId="0" applyAlignment="1" applyBorder="1" applyFont="1">
      <alignment horizontal="center" shrinkToFit="0" textRotation="90" vertical="center" wrapText="1"/>
    </xf>
    <xf borderId="104" fillId="7" fontId="58" numFmtId="0" xfId="0" applyAlignment="1" applyBorder="1" applyFont="1">
      <alignment horizontal="center" shrinkToFit="0" vertical="center" wrapText="1"/>
    </xf>
    <xf borderId="105" fillId="0" fontId="15" numFmtId="0" xfId="0" applyBorder="1" applyFont="1"/>
    <xf borderId="106" fillId="7" fontId="60" numFmtId="0" xfId="0" applyAlignment="1" applyBorder="1" applyFont="1">
      <alignment horizontal="center" vertical="center"/>
    </xf>
    <xf borderId="107" fillId="7" fontId="60" numFmtId="0" xfId="0" applyAlignment="1" applyBorder="1" applyFont="1">
      <alignment horizontal="center" vertical="center"/>
    </xf>
    <xf borderId="108" fillId="7" fontId="60" numFmtId="0" xfId="0" applyAlignment="1" applyBorder="1" applyFont="1">
      <alignment horizontal="center" vertical="center"/>
    </xf>
    <xf borderId="64" fillId="7" fontId="60" numFmtId="0" xfId="0" applyAlignment="1" applyBorder="1" applyFont="1">
      <alignment horizontal="center" vertical="center"/>
    </xf>
    <xf borderId="109" fillId="7" fontId="60" numFmtId="0" xfId="0" applyAlignment="1" applyBorder="1" applyFont="1">
      <alignment horizontal="center" vertical="center"/>
    </xf>
    <xf borderId="110" fillId="0" fontId="15" numFmtId="0" xfId="0" applyBorder="1" applyFont="1"/>
    <xf borderId="111" fillId="7" fontId="58" numFmtId="0" xfId="0" applyAlignment="1" applyBorder="1" applyFont="1">
      <alignment horizontal="center" shrinkToFit="0" vertical="center" wrapText="1"/>
    </xf>
    <xf borderId="91" fillId="7" fontId="60" numFmtId="0" xfId="0" applyAlignment="1" applyBorder="1" applyFont="1">
      <alignment horizontal="center" vertical="center"/>
    </xf>
    <xf borderId="107" fillId="29" fontId="60" numFmtId="0" xfId="0" applyAlignment="1" applyBorder="1" applyFont="1">
      <alignment horizontal="center" readingOrder="0" vertical="center"/>
    </xf>
    <xf borderId="108" fillId="29" fontId="60" numFmtId="0" xfId="0" applyAlignment="1" applyBorder="1" applyFont="1">
      <alignment horizontal="center" readingOrder="0" vertical="center"/>
    </xf>
    <xf borderId="64" fillId="29" fontId="60" numFmtId="0" xfId="0" applyAlignment="1" applyBorder="1" applyFont="1">
      <alignment horizontal="center" readingOrder="0" vertical="center"/>
    </xf>
    <xf borderId="91" fillId="29" fontId="60" numFmtId="0" xfId="0" applyAlignment="1" applyBorder="1" applyFont="1">
      <alignment horizontal="center" vertical="center"/>
    </xf>
    <xf borderId="2" fillId="29" fontId="60" numFmtId="0" xfId="0" applyAlignment="1" applyBorder="1" applyFont="1">
      <alignment horizontal="center" readingOrder="0" vertical="center"/>
    </xf>
    <xf borderId="91" fillId="29" fontId="60" numFmtId="0" xfId="0" applyAlignment="1" applyBorder="1" applyFont="1">
      <alignment horizontal="center" readingOrder="0" vertical="center"/>
    </xf>
    <xf borderId="92" fillId="7" fontId="60" numFmtId="1" xfId="0" applyAlignment="1" applyBorder="1" applyFont="1" applyNumberFormat="1">
      <alignment horizontal="center" vertical="center"/>
    </xf>
    <xf borderId="91" fillId="29" fontId="60" numFmtId="1" xfId="0" applyAlignment="1" applyBorder="1" applyFont="1" applyNumberFormat="1">
      <alignment horizontal="center" readingOrder="0" vertical="center"/>
    </xf>
    <xf borderId="92" fillId="7" fontId="60" numFmtId="0" xfId="0" applyAlignment="1" applyBorder="1" applyFont="1">
      <alignment horizontal="center" vertical="center"/>
    </xf>
    <xf borderId="91" fillId="7" fontId="60" numFmtId="0" xfId="0" applyAlignment="1" applyBorder="1" applyFont="1">
      <alignment horizontal="center" shrinkToFit="0" vertical="center" wrapText="1"/>
    </xf>
    <xf borderId="92" fillId="29" fontId="60" numFmtId="0" xfId="0" applyAlignment="1" applyBorder="1" applyFont="1">
      <alignment horizontal="center" readingOrder="0" shrinkToFit="0" vertical="center" wrapText="1"/>
    </xf>
    <xf borderId="2" fillId="29" fontId="60" numFmtId="0" xfId="0" applyAlignment="1" applyBorder="1" applyFont="1">
      <alignment horizontal="center" readingOrder="0" shrinkToFit="0" vertical="center" wrapText="1"/>
    </xf>
    <xf borderId="95" fillId="7" fontId="58" numFmtId="0" xfId="0" applyAlignment="1" applyBorder="1" applyFont="1">
      <alignment horizontal="center" shrinkToFit="0" vertical="center" wrapText="1"/>
    </xf>
    <xf borderId="94" fillId="7" fontId="60" numFmtId="0" xfId="0" applyAlignment="1" applyBorder="1" applyFont="1">
      <alignment horizontal="center" shrinkToFit="0" vertical="center" wrapText="1"/>
    </xf>
    <xf borderId="112" fillId="29" fontId="60" numFmtId="0" xfId="0" applyAlignment="1" applyBorder="1" applyFont="1">
      <alignment horizontal="center" readingOrder="0" shrinkToFit="0" vertical="center" wrapText="1"/>
    </xf>
    <xf borderId="94" fillId="7" fontId="60" numFmtId="0" xfId="0" applyAlignment="1" applyBorder="1" applyFont="1">
      <alignment horizontal="center" vertical="center"/>
    </xf>
    <xf borderId="112" fillId="29" fontId="60" numFmtId="0" xfId="0" applyAlignment="1" applyBorder="1" applyFont="1">
      <alignment horizontal="center" readingOrder="0" vertical="center"/>
    </xf>
    <xf borderId="113" fillId="29" fontId="60" numFmtId="0" xfId="0" applyAlignment="1" applyBorder="1" applyFont="1">
      <alignment horizontal="center" readingOrder="0" vertical="center"/>
    </xf>
    <xf borderId="114" fillId="29" fontId="60" numFmtId="0" xfId="0" applyAlignment="1" applyBorder="1" applyFont="1">
      <alignment horizontal="center" readingOrder="0" vertical="center"/>
    </xf>
    <xf borderId="115" fillId="0" fontId="15" numFmtId="0" xfId="0" applyBorder="1" applyFont="1"/>
    <xf borderId="112" fillId="29" fontId="60" numFmtId="0" xfId="0" applyAlignment="1" applyBorder="1" applyFont="1">
      <alignment horizontal="center" vertical="center"/>
    </xf>
    <xf borderId="113" fillId="29" fontId="60" numFmtId="0" xfId="0" applyAlignment="1" applyBorder="1" applyFont="1">
      <alignment horizontal="center" vertical="center"/>
    </xf>
    <xf borderId="114" fillId="29" fontId="60" numFmtId="0" xfId="0" applyAlignment="1" applyBorder="1" applyFont="1">
      <alignment horizontal="center" vertical="center"/>
    </xf>
    <xf borderId="116" fillId="23" fontId="58" numFmtId="0" xfId="0" applyAlignment="1" applyBorder="1" applyFont="1">
      <alignment horizontal="center" shrinkToFit="0" textRotation="90" vertical="center" wrapText="1"/>
    </xf>
    <xf borderId="117" fillId="30" fontId="58" numFmtId="0" xfId="0" applyAlignment="1" applyBorder="1" applyFill="1" applyFont="1">
      <alignment horizontal="center" shrinkToFit="0" vertical="center" wrapText="1"/>
    </xf>
    <xf borderId="106" fillId="29" fontId="60" numFmtId="0" xfId="0" applyAlignment="1" applyBorder="1" applyFont="1">
      <alignment horizontal="center" readingOrder="0" vertical="center"/>
    </xf>
    <xf borderId="118" fillId="30" fontId="60" numFmtId="1" xfId="0" applyAlignment="1" applyBorder="1" applyFont="1" applyNumberFormat="1">
      <alignment horizontal="center" vertical="center"/>
    </xf>
    <xf borderId="119" fillId="30" fontId="60" numFmtId="1" xfId="0" applyAlignment="1" applyBorder="1" applyFont="1" applyNumberFormat="1">
      <alignment horizontal="center" vertical="center"/>
    </xf>
    <xf borderId="20" fillId="29" fontId="60" numFmtId="1" xfId="0" applyAlignment="1" applyBorder="1" applyFont="1" applyNumberFormat="1">
      <alignment horizontal="center" vertical="center"/>
    </xf>
    <xf borderId="120" fillId="0" fontId="15" numFmtId="0" xfId="0" applyBorder="1" applyFont="1"/>
    <xf borderId="121" fillId="30" fontId="58" numFmtId="0" xfId="0" applyAlignment="1" applyBorder="1" applyFont="1">
      <alignment horizontal="center" shrinkToFit="0" vertical="center" wrapText="1"/>
    </xf>
    <xf borderId="92" fillId="30" fontId="60" numFmtId="0" xfId="0" applyAlignment="1" applyBorder="1" applyFont="1">
      <alignment horizontal="center" vertical="center"/>
    </xf>
    <xf borderId="2" fillId="30" fontId="60" numFmtId="1" xfId="0" applyAlignment="1" applyBorder="1" applyFont="1" applyNumberFormat="1">
      <alignment horizontal="center" vertical="center"/>
    </xf>
    <xf borderId="93" fillId="30" fontId="60" numFmtId="1" xfId="0" applyAlignment="1" applyBorder="1" applyFont="1" applyNumberFormat="1">
      <alignment horizontal="center" vertical="center"/>
    </xf>
    <xf borderId="121" fillId="23" fontId="58" numFmtId="0" xfId="0" applyAlignment="1" applyBorder="1" applyFont="1">
      <alignment horizontal="center" shrinkToFit="0" vertical="center" wrapText="1"/>
    </xf>
    <xf borderId="91" fillId="24" fontId="60" numFmtId="0" xfId="0" applyAlignment="1" applyBorder="1" applyFont="1">
      <alignment horizontal="center" vertical="center"/>
    </xf>
    <xf borderId="122" fillId="29" fontId="60" numFmtId="0" xfId="0" applyAlignment="1" applyBorder="1" applyFont="1">
      <alignment horizontal="center" readingOrder="0" vertical="center"/>
    </xf>
    <xf borderId="123" fillId="24" fontId="60" numFmtId="1" xfId="0" applyAlignment="1" applyBorder="1" applyFont="1" applyNumberFormat="1">
      <alignment horizontal="center" vertical="center"/>
    </xf>
    <xf borderId="94" fillId="24" fontId="60" numFmtId="1" xfId="0" applyAlignment="1" applyBorder="1" applyFont="1" applyNumberFormat="1">
      <alignment horizontal="center" vertical="center"/>
    </xf>
    <xf borderId="91" fillId="24" fontId="60" numFmtId="1" xfId="0" applyAlignment="1" applyBorder="1" applyFont="1" applyNumberFormat="1">
      <alignment horizontal="center" vertical="center"/>
    </xf>
    <xf borderId="87" fillId="24" fontId="60" numFmtId="0" xfId="0" applyAlignment="1" applyBorder="1" applyFont="1">
      <alignment horizontal="center" vertical="center"/>
    </xf>
    <xf borderId="124" fillId="29" fontId="60" numFmtId="0" xfId="0" applyAlignment="1" applyBorder="1" applyFont="1">
      <alignment horizontal="center" readingOrder="0" vertical="center"/>
    </xf>
    <xf borderId="87" fillId="24" fontId="60" numFmtId="1" xfId="0" applyAlignment="1" applyBorder="1" applyFont="1" applyNumberFormat="1">
      <alignment horizontal="center" vertical="center"/>
    </xf>
    <xf borderId="125" fillId="24" fontId="58" numFmtId="0" xfId="0" applyAlignment="1" applyBorder="1" applyFont="1">
      <alignment horizontal="center" shrinkToFit="0" vertical="center" wrapText="1"/>
    </xf>
    <xf borderId="100" fillId="24" fontId="60" numFmtId="0" xfId="0" applyAlignment="1" applyBorder="1" applyFont="1">
      <alignment horizontal="center" vertical="center"/>
    </xf>
    <xf borderId="101" fillId="29" fontId="60" numFmtId="0" xfId="0" applyAlignment="1" applyBorder="1" applyFont="1">
      <alignment horizontal="center" readingOrder="0" vertical="center"/>
    </xf>
    <xf borderId="100" fillId="24" fontId="60" numFmtId="1" xfId="0" applyAlignment="1" applyBorder="1" applyFont="1" applyNumberFormat="1">
      <alignment horizontal="center" vertical="center"/>
    </xf>
    <xf borderId="126" fillId="8" fontId="58" numFmtId="0" xfId="0" applyAlignment="1" applyBorder="1" applyFont="1">
      <alignment horizontal="center" readingOrder="0" shrinkToFit="0" vertical="center" wrapText="1"/>
    </xf>
    <xf borderId="127" fillId="0" fontId="15" numFmtId="0" xfId="0" applyBorder="1" applyFont="1"/>
    <xf borderId="109" fillId="8" fontId="60" numFmtId="0" xfId="0" applyAlignment="1" applyBorder="1" applyFont="1">
      <alignment horizontal="center" vertical="center"/>
    </xf>
    <xf borderId="107" fillId="8" fontId="60" numFmtId="0" xfId="0" applyAlignment="1" applyBorder="1" applyFont="1">
      <alignment horizontal="center" vertical="center"/>
    </xf>
    <xf borderId="108" fillId="8" fontId="60" numFmtId="1" xfId="0" applyAlignment="1" applyBorder="1" applyFont="1" applyNumberFormat="1">
      <alignment horizontal="center" vertical="center"/>
    </xf>
    <xf borderId="64" fillId="8" fontId="60" numFmtId="1" xfId="0" applyAlignment="1" applyBorder="1" applyFont="1" applyNumberFormat="1">
      <alignment horizontal="center" vertical="center"/>
    </xf>
    <xf borderId="109" fillId="8" fontId="60" numFmtId="1" xfId="0" applyAlignment="1" applyBorder="1" applyFont="1" applyNumberFormat="1">
      <alignment horizontal="center" vertical="center"/>
    </xf>
    <xf borderId="107" fillId="8" fontId="60" numFmtId="1" xfId="0" applyAlignment="1" applyBorder="1" applyFont="1" applyNumberFormat="1">
      <alignment horizontal="center" vertical="center"/>
    </xf>
    <xf borderId="121" fillId="8" fontId="58" numFmtId="0" xfId="0" applyAlignment="1" applyBorder="1" applyFont="1">
      <alignment horizontal="center" readingOrder="0" shrinkToFit="0" vertical="center" wrapText="1"/>
    </xf>
    <xf borderId="128" fillId="0" fontId="15" numFmtId="0" xfId="0" applyBorder="1" applyFont="1"/>
    <xf borderId="92" fillId="8" fontId="60" numFmtId="0" xfId="0" applyAlignment="1" applyBorder="1" applyFont="1">
      <alignment horizontal="center" vertical="center"/>
    </xf>
    <xf borderId="2" fillId="8" fontId="60" numFmtId="1" xfId="0" applyAlignment="1" applyBorder="1" applyFont="1" applyNumberFormat="1">
      <alignment horizontal="center" vertical="center"/>
    </xf>
    <xf borderId="93" fillId="8" fontId="60" numFmtId="1" xfId="0" applyAlignment="1" applyBorder="1" applyFont="1" applyNumberFormat="1">
      <alignment horizontal="center" vertical="center"/>
    </xf>
    <xf borderId="91" fillId="8" fontId="60" numFmtId="1" xfId="0" applyAlignment="1" applyBorder="1" applyFont="1" applyNumberFormat="1">
      <alignment horizontal="center" vertical="center"/>
    </xf>
    <xf borderId="92" fillId="8" fontId="60" numFmtId="1" xfId="0" applyAlignment="1" applyBorder="1" applyFont="1" applyNumberFormat="1">
      <alignment horizontal="center" vertical="center"/>
    </xf>
    <xf borderId="117" fillId="23" fontId="58" numFmtId="0" xfId="0" applyAlignment="1" applyBorder="1" applyFont="1">
      <alignment horizontal="center" shrinkToFit="0" vertical="center" wrapText="1"/>
    </xf>
    <xf borderId="106" fillId="23" fontId="60" numFmtId="0" xfId="0" applyAlignment="1" applyBorder="1" applyFont="1">
      <alignment horizontal="center" vertical="center"/>
    </xf>
    <xf borderId="88" fillId="29" fontId="60" numFmtId="0" xfId="0" applyAlignment="1" applyBorder="1" applyFont="1">
      <alignment horizontal="center" readingOrder="0" vertical="center"/>
    </xf>
    <xf borderId="89" fillId="29" fontId="60" numFmtId="0" xfId="0" applyAlignment="1" applyBorder="1" applyFont="1">
      <alignment horizontal="center" readingOrder="0" vertical="center"/>
    </xf>
    <xf borderId="109" fillId="23" fontId="60" numFmtId="0" xfId="0" applyAlignment="1" applyBorder="1" applyFont="1">
      <alignment horizontal="center" vertical="center"/>
    </xf>
    <xf borderId="129" fillId="0" fontId="15" numFmtId="0" xfId="0" applyBorder="1" applyFont="1"/>
    <xf borderId="125" fillId="23" fontId="58" numFmtId="0" xfId="0" applyAlignment="1" applyBorder="1" applyFont="1">
      <alignment horizontal="center" shrinkToFit="0" vertical="center" wrapText="1"/>
    </xf>
    <xf borderId="103" fillId="29" fontId="60" numFmtId="0" xfId="0" applyAlignment="1" applyBorder="1" applyFont="1">
      <alignment horizontal="center" vertical="center"/>
    </xf>
    <xf borderId="19" fillId="23" fontId="54" numFmtId="0" xfId="0" applyAlignment="1" applyBorder="1" applyFont="1">
      <alignment horizontal="center" shrinkToFit="0" textRotation="90" vertical="center" wrapText="1"/>
    </xf>
    <xf borderId="104" fillId="23" fontId="54" numFmtId="0" xfId="0" applyAlignment="1" applyBorder="1" applyFont="1">
      <alignment horizontal="center" shrinkToFit="0" vertical="center" wrapText="1"/>
    </xf>
    <xf borderId="106" fillId="23" fontId="61" numFmtId="1" xfId="0" applyAlignment="1" applyBorder="1" applyFont="1" applyNumberFormat="1">
      <alignment horizontal="center" readingOrder="0" vertical="center"/>
    </xf>
    <xf borderId="88" fillId="24" fontId="50" numFmtId="1" xfId="0" applyAlignment="1" applyBorder="1" applyFont="1" applyNumberFormat="1">
      <alignment horizontal="center" vertical="center"/>
    </xf>
    <xf borderId="89" fillId="23" fontId="50" numFmtId="1" xfId="0" applyAlignment="1" applyBorder="1" applyFont="1" applyNumberFormat="1">
      <alignment horizontal="center" vertical="center"/>
    </xf>
    <xf borderId="109" fillId="23" fontId="50" numFmtId="1" xfId="0" applyAlignment="1" applyBorder="1" applyFont="1" applyNumberFormat="1">
      <alignment horizontal="center" readingOrder="0" vertical="center"/>
    </xf>
    <xf borderId="111" fillId="23" fontId="54" numFmtId="0" xfId="0" applyAlignment="1" applyBorder="1" applyFont="1">
      <alignment horizontal="center" shrinkToFit="0" vertical="center" wrapText="1"/>
    </xf>
    <xf borderId="91" fillId="23" fontId="50" numFmtId="0" xfId="0" applyAlignment="1" applyBorder="1" applyFont="1">
      <alignment horizontal="center" vertical="center"/>
    </xf>
    <xf borderId="92" fillId="29" fontId="50" numFmtId="0" xfId="0" applyAlignment="1" applyBorder="1" applyFont="1">
      <alignment horizontal="center" vertical="center"/>
    </xf>
    <xf borderId="2" fillId="29" fontId="50" numFmtId="0" xfId="0" applyAlignment="1" applyBorder="1" applyFont="1">
      <alignment horizontal="center" vertical="center"/>
    </xf>
    <xf borderId="130" fillId="0" fontId="15" numFmtId="0" xfId="0" applyBorder="1" applyFont="1"/>
    <xf borderId="131" fillId="23" fontId="54" numFmtId="0" xfId="0" applyAlignment="1" applyBorder="1" applyFont="1">
      <alignment horizontal="center" shrinkToFit="0" vertical="center" wrapText="1"/>
    </xf>
    <xf borderId="132" fillId="0" fontId="15" numFmtId="0" xfId="0" applyBorder="1" applyFont="1"/>
    <xf borderId="133" fillId="23" fontId="50" numFmtId="0" xfId="0" applyAlignment="1" applyBorder="1" applyFont="1">
      <alignment horizontal="center" vertical="center"/>
    </xf>
    <xf borderId="134" fillId="29" fontId="50" numFmtId="0" xfId="0" applyAlignment="1" applyBorder="1" applyFont="1">
      <alignment horizontal="center" vertical="center"/>
    </xf>
    <xf borderId="135" fillId="29" fontId="50" numFmtId="0" xfId="0" applyAlignment="1" applyBorder="1" applyFont="1">
      <alignment horizontal="center" vertical="center"/>
    </xf>
    <xf borderId="0" fillId="23" fontId="54" numFmtId="0" xfId="0" applyAlignment="1" applyFont="1">
      <alignment horizontal="center" shrinkToFit="0" textRotation="90" vertical="center" wrapText="1"/>
    </xf>
    <xf borderId="0" fillId="23" fontId="54" numFmtId="0" xfId="0" applyAlignment="1" applyFont="1">
      <alignment horizontal="center" shrinkToFit="0" vertical="center" wrapText="1"/>
    </xf>
    <xf borderId="0" fillId="23" fontId="50" numFmtId="0" xfId="0" applyAlignment="1" applyFont="1">
      <alignment horizontal="center" vertical="center"/>
    </xf>
    <xf borderId="0" fillId="29" fontId="50" numFmtId="0" xfId="0" applyAlignment="1" applyFont="1">
      <alignment horizontal="center" vertical="center"/>
    </xf>
    <xf borderId="0" fillId="23" fontId="62" numFmtId="0" xfId="0" applyAlignment="1" applyFont="1">
      <alignment horizontal="center" readingOrder="0" shrinkToFit="0" textRotation="90" vertical="center" wrapText="1"/>
    </xf>
    <xf borderId="0" fillId="23" fontId="63" numFmtId="0" xfId="0" applyAlignment="1" applyFont="1">
      <alignment horizontal="center" readingOrder="0" vertical="center"/>
    </xf>
    <xf borderId="0" fillId="23" fontId="63" numFmtId="0" xfId="0" applyAlignment="1" applyFont="1">
      <alignment horizontal="center" vertical="center"/>
    </xf>
    <xf borderId="0" fillId="23" fontId="64" numFmtId="0" xfId="0" applyAlignment="1" applyFont="1">
      <alignment horizontal="center" vertical="center"/>
    </xf>
    <xf borderId="0" fillId="23" fontId="63" numFmtId="1" xfId="0" applyAlignment="1" applyFont="1" applyNumberFormat="1">
      <alignment horizontal="center" vertical="center"/>
    </xf>
    <xf borderId="0" fillId="0" fontId="41" numFmtId="0" xfId="0" applyFont="1"/>
    <xf borderId="0" fillId="0" fontId="9" numFmtId="0" xfId="0" applyAlignment="1" applyFont="1">
      <alignment horizontal="center" readingOrder="0"/>
    </xf>
    <xf borderId="0" fillId="0" fontId="65" numFmtId="0" xfId="0" applyAlignment="1" applyFont="1">
      <alignment readingOrder="0"/>
    </xf>
    <xf borderId="0" fillId="9" fontId="9" numFmtId="0" xfId="0" applyFont="1"/>
    <xf borderId="0" fillId="4" fontId="66" numFmtId="0" xfId="0" applyFont="1"/>
    <xf borderId="0" fillId="9" fontId="9" numFmtId="0" xfId="0" applyAlignment="1" applyFont="1">
      <alignment horizontal="center" readingOrder="0"/>
    </xf>
    <xf borderId="0" fillId="9" fontId="9" numFmtId="0" xfId="0" applyAlignment="1" applyFont="1">
      <alignment horizontal="right" readingOrder="0"/>
    </xf>
    <xf borderId="0" fillId="10" fontId="67" numFmtId="0" xfId="0" applyAlignment="1" applyFont="1">
      <alignment horizontal="center" readingOrder="0" textRotation="0" vertical="center"/>
    </xf>
    <xf borderId="6" fillId="10" fontId="67" numFmtId="0" xfId="0" applyAlignment="1" applyBorder="1" applyFont="1">
      <alignment vertical="center"/>
    </xf>
    <xf borderId="48" fillId="10" fontId="67" numFmtId="0" xfId="0" applyAlignment="1" applyBorder="1" applyFont="1">
      <alignment vertical="center"/>
    </xf>
    <xf borderId="136" fillId="17" fontId="1" numFmtId="0" xfId="0" applyAlignment="1" applyBorder="1" applyFont="1">
      <alignment vertical="center"/>
    </xf>
    <xf borderId="6" fillId="10" fontId="67" numFmtId="0" xfId="0" applyAlignment="1" applyBorder="1" applyFont="1">
      <alignment horizontal="left" vertical="center"/>
    </xf>
    <xf borderId="7" fillId="10" fontId="68" numFmtId="0" xfId="0" applyAlignment="1" applyBorder="1" applyFont="1">
      <alignment horizontal="center" vertical="center"/>
    </xf>
    <xf borderId="0" fillId="0" fontId="9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137" fillId="0" fontId="17" numFmtId="0" xfId="0" applyAlignment="1" applyBorder="1" applyFont="1">
      <alignment horizontal="center" readingOrder="0" vertical="center"/>
    </xf>
    <xf borderId="7" fillId="10" fontId="67" numFmtId="0" xfId="0" applyAlignment="1" applyBorder="1" applyFont="1">
      <alignment readingOrder="0" vertical="center"/>
    </xf>
    <xf borderId="47" fillId="9" fontId="67" numFmtId="0" xfId="0" applyAlignment="1" applyBorder="1" applyFont="1">
      <alignment readingOrder="0" vertical="center"/>
    </xf>
    <xf borderId="138" fillId="17" fontId="1" numFmtId="0" xfId="0" applyAlignment="1" applyBorder="1" applyFont="1">
      <alignment vertical="center"/>
    </xf>
    <xf borderId="7" fillId="10" fontId="67" numFmtId="0" xfId="0" applyAlignment="1" applyBorder="1" applyFont="1">
      <alignment vertical="center"/>
    </xf>
    <xf borderId="48" fillId="10" fontId="67" numFmtId="0" xfId="0" applyAlignment="1" applyBorder="1" applyFont="1">
      <alignment horizontal="center" vertical="center"/>
    </xf>
    <xf borderId="7" fillId="10" fontId="67" numFmtId="0" xfId="0" applyAlignment="1" applyBorder="1" applyFont="1">
      <alignment horizontal="center" vertical="center"/>
    </xf>
    <xf borderId="0" fillId="0" fontId="17" numFmtId="0" xfId="0" applyAlignment="1" applyFont="1">
      <alignment vertical="center"/>
    </xf>
    <xf borderId="29" fillId="0" fontId="17" numFmtId="0" xfId="0" applyAlignment="1" applyBorder="1" applyFont="1">
      <alignment horizontal="center" readingOrder="0" vertical="center"/>
    </xf>
    <xf borderId="2" fillId="0" fontId="17" numFmtId="0" xfId="0" applyAlignment="1" applyBorder="1" applyFont="1">
      <alignment horizontal="center" readingOrder="0" vertical="center"/>
    </xf>
    <xf borderId="29" fillId="0" fontId="17" numFmtId="0" xfId="0" applyAlignment="1" applyBorder="1" applyFont="1">
      <alignment horizontal="center" vertical="center"/>
    </xf>
    <xf borderId="29" fillId="0" fontId="17" numFmtId="0" xfId="0" applyAlignment="1" applyBorder="1" applyFont="1">
      <alignment horizontal="center" readingOrder="0" vertical="center"/>
    </xf>
    <xf borderId="139" fillId="31" fontId="21" numFmtId="0" xfId="0" applyAlignment="1" applyBorder="1" applyFill="1" applyFont="1">
      <alignment horizontal="center" vertical="center"/>
    </xf>
    <xf borderId="48" fillId="31" fontId="69" numFmtId="0" xfId="0" applyAlignment="1" applyBorder="1" applyFont="1">
      <alignment horizontal="center" vertical="center"/>
    </xf>
    <xf borderId="2" fillId="0" fontId="17" numFmtId="0" xfId="0" applyAlignment="1" applyBorder="1" applyFont="1">
      <alignment vertical="center"/>
    </xf>
    <xf borderId="29" fillId="0" fontId="17" numFmtId="0" xfId="0" applyAlignment="1" applyBorder="1" applyFont="1">
      <alignment vertical="center"/>
    </xf>
    <xf borderId="140" fillId="32" fontId="18" numFmtId="0" xfId="0" applyAlignment="1" applyBorder="1" applyFill="1" applyFont="1">
      <alignment vertical="center"/>
    </xf>
    <xf borderId="141" fillId="32" fontId="18" numFmtId="0" xfId="0" applyAlignment="1" applyBorder="1" applyFont="1">
      <alignment vertical="center"/>
    </xf>
    <xf borderId="5" fillId="32" fontId="1" numFmtId="1" xfId="0" applyAlignment="1" applyBorder="1" applyFont="1" applyNumberFormat="1">
      <alignment vertical="center"/>
    </xf>
    <xf borderId="142" fillId="32" fontId="18" numFmtId="0" xfId="0" applyAlignment="1" applyBorder="1" applyFont="1">
      <alignment vertical="center"/>
    </xf>
    <xf borderId="143" fillId="32" fontId="18" numFmtId="0" xfId="0" applyAlignment="1" applyBorder="1" applyFont="1">
      <alignment vertical="center"/>
    </xf>
    <xf borderId="5" fillId="32" fontId="17" numFmtId="0" xfId="0" applyAlignment="1" applyBorder="1" applyFont="1">
      <alignment vertical="center"/>
    </xf>
    <xf borderId="0" fillId="0" fontId="65" numFmtId="0" xfId="0" applyAlignment="1" applyFont="1">
      <alignment vertical="center"/>
    </xf>
    <xf borderId="59" fillId="33" fontId="17" numFmtId="0" xfId="0" applyAlignment="1" applyBorder="1" applyFill="1" applyFont="1">
      <alignment vertical="center"/>
    </xf>
    <xf borderId="61" fillId="33" fontId="1" numFmtId="0" xfId="0" applyAlignment="1" applyBorder="1" applyFont="1">
      <alignment vertical="center"/>
    </xf>
    <xf borderId="144" fillId="33" fontId="17" numFmtId="0" xfId="0" applyAlignment="1" applyBorder="1" applyFont="1">
      <alignment vertical="center"/>
    </xf>
    <xf borderId="61" fillId="33" fontId="1" numFmtId="1" xfId="0" applyAlignment="1" applyBorder="1" applyFont="1" applyNumberFormat="1">
      <alignment horizontal="center" vertical="center"/>
    </xf>
    <xf borderId="144" fillId="33" fontId="17" numFmtId="0" xfId="0" applyAlignment="1" applyBorder="1" applyFont="1">
      <alignment horizontal="left" vertical="center"/>
    </xf>
    <xf borderId="60" fillId="33" fontId="1" numFmtId="0" xfId="0" applyAlignment="1" applyBorder="1" applyFont="1">
      <alignment horizontal="center" vertical="center"/>
    </xf>
    <xf borderId="60" fillId="33" fontId="1" numFmtId="0" xfId="0" applyAlignment="1" applyBorder="1" applyFont="1">
      <alignment vertical="center"/>
    </xf>
    <xf borderId="144" fillId="33" fontId="1" numFmtId="0" xfId="0" applyAlignment="1" applyBorder="1" applyFont="1">
      <alignment vertical="center"/>
    </xf>
    <xf borderId="145" fillId="33" fontId="1" numFmtId="0" xfId="0" applyAlignment="1" applyBorder="1" applyFont="1">
      <alignment horizontal="center" vertical="center"/>
    </xf>
    <xf borderId="146" fillId="33" fontId="18" numFmtId="0" xfId="0" applyAlignment="1" applyBorder="1" applyFont="1">
      <alignment vertical="center"/>
    </xf>
    <xf borderId="61" fillId="33" fontId="18" numFmtId="0" xfId="0" applyAlignment="1" applyBorder="1" applyFont="1">
      <alignment horizontal="center" vertical="center"/>
    </xf>
    <xf borderId="147" fillId="33" fontId="18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30" fillId="33" fontId="17" numFmtId="0" xfId="0" applyAlignment="1" applyBorder="1" applyFont="1">
      <alignment vertical="center"/>
    </xf>
    <xf borderId="2" fillId="33" fontId="1" numFmtId="0" xfId="0" applyAlignment="1" applyBorder="1" applyFont="1">
      <alignment vertical="center"/>
    </xf>
    <xf borderId="29" fillId="33" fontId="17" numFmtId="0" xfId="0" applyAlignment="1" applyBorder="1" applyFont="1">
      <alignment vertical="center"/>
    </xf>
    <xf borderId="2" fillId="33" fontId="1" numFmtId="0" xfId="0" applyAlignment="1" applyBorder="1" applyFont="1">
      <alignment horizontal="center" vertical="center"/>
    </xf>
    <xf borderId="29" fillId="33" fontId="1" numFmtId="0" xfId="0" applyAlignment="1" applyBorder="1" applyFont="1">
      <alignment horizontal="left" vertical="center"/>
    </xf>
    <xf borderId="31" fillId="33" fontId="1" numFmtId="0" xfId="0" applyAlignment="1" applyBorder="1" applyFont="1">
      <alignment horizontal="center" vertical="center"/>
    </xf>
    <xf borderId="31" fillId="33" fontId="1" numFmtId="0" xfId="0" applyAlignment="1" applyBorder="1" applyFont="1">
      <alignment vertical="center"/>
    </xf>
    <xf borderId="29" fillId="33" fontId="1" numFmtId="0" xfId="0" applyAlignment="1" applyBorder="1" applyFont="1">
      <alignment vertical="center"/>
    </xf>
    <xf borderId="2" fillId="4" fontId="1" numFmtId="0" xfId="0" applyAlignment="1" applyBorder="1" applyFont="1">
      <alignment vertical="center"/>
    </xf>
    <xf borderId="29" fillId="0" fontId="17" numFmtId="0" xfId="0" applyAlignment="1" applyBorder="1" applyFont="1">
      <alignment shrinkToFit="0" vertical="center" wrapText="0"/>
    </xf>
    <xf borderId="0" fillId="0" fontId="1" numFmtId="0" xfId="0" applyAlignment="1" applyFont="1">
      <alignment horizontal="center" vertical="center"/>
    </xf>
    <xf borderId="35" fillId="33" fontId="18" numFmtId="0" xfId="0" applyAlignment="1" applyBorder="1" applyFont="1">
      <alignment vertical="center"/>
    </xf>
    <xf borderId="2" fillId="33" fontId="1" numFmtId="1" xfId="0" applyAlignment="1" applyBorder="1" applyFont="1" applyNumberFormat="1">
      <alignment horizontal="center" vertical="center"/>
    </xf>
    <xf borderId="148" fillId="33" fontId="19" numFmtId="1" xfId="0" applyAlignment="1" applyBorder="1" applyFont="1" applyNumberFormat="1">
      <alignment vertical="center"/>
    </xf>
    <xf borderId="132" fillId="33" fontId="1" numFmtId="0" xfId="0" applyAlignment="1" applyBorder="1" applyFont="1">
      <alignment vertical="center"/>
    </xf>
    <xf borderId="149" fillId="0" fontId="15" numFmtId="0" xfId="0" applyBorder="1" applyFont="1"/>
    <xf borderId="132" fillId="33" fontId="17" numFmtId="0" xfId="0" applyAlignment="1" applyBorder="1" applyFont="1">
      <alignment vertical="center"/>
    </xf>
    <xf borderId="132" fillId="33" fontId="17" numFmtId="0" xfId="0" applyAlignment="1" applyBorder="1" applyFont="1">
      <alignment readingOrder="0" vertical="center"/>
    </xf>
    <xf borderId="149" fillId="33" fontId="17" numFmtId="0" xfId="0" applyAlignment="1" applyBorder="1" applyFont="1">
      <alignment vertical="center"/>
    </xf>
    <xf borderId="132" fillId="33" fontId="17" numFmtId="0" xfId="0" applyAlignment="1" applyBorder="1" applyFont="1">
      <alignment horizontal="center" vertical="center"/>
    </xf>
    <xf borderId="150" fillId="33" fontId="1" numFmtId="0" xfId="0" applyAlignment="1" applyBorder="1" applyFont="1">
      <alignment vertical="center"/>
    </xf>
    <xf borderId="47" fillId="33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vertical="center"/>
    </xf>
    <xf borderId="151" fillId="33" fontId="18" numFmtId="0" xfId="0" applyAlignment="1" applyBorder="1" applyFont="1">
      <alignment vertical="center"/>
    </xf>
    <xf borderId="152" fillId="33" fontId="1" numFmtId="1" xfId="0" applyAlignment="1" applyBorder="1" applyFont="1" applyNumberFormat="1">
      <alignment horizontal="center" vertical="center"/>
    </xf>
    <xf borderId="153" fillId="33" fontId="19" numFmtId="1" xfId="0" applyAlignment="1" applyBorder="1" applyFont="1" applyNumberFormat="1">
      <alignment vertical="center"/>
    </xf>
    <xf borderId="35" fillId="33" fontId="19" numFmtId="0" xfId="0" applyAlignment="1" applyBorder="1" applyFont="1">
      <alignment vertical="center"/>
    </xf>
    <xf borderId="2" fillId="33" fontId="17" numFmtId="1" xfId="0" applyAlignment="1" applyBorder="1" applyFont="1" applyNumberFormat="1">
      <alignment horizontal="center" vertical="center"/>
    </xf>
    <xf borderId="43" fillId="8" fontId="1" numFmtId="164" xfId="0" applyAlignment="1" applyBorder="1" applyFont="1" applyNumberFormat="1">
      <alignment horizontal="center" vertical="center"/>
    </xf>
    <xf borderId="44" fillId="2" fontId="1" numFmtId="164" xfId="0" applyAlignment="1" applyBorder="1" applyFont="1" applyNumberFormat="1">
      <alignment horizontal="center" vertical="center"/>
    </xf>
    <xf borderId="42" fillId="8" fontId="1" numFmtId="164" xfId="0" applyAlignment="1" applyBorder="1" applyFont="1" applyNumberFormat="1">
      <alignment horizontal="center" vertical="center"/>
    </xf>
    <xf borderId="0" fillId="8" fontId="1" numFmtId="0" xfId="0" applyAlignment="1" applyFont="1">
      <alignment horizontal="center" vertical="center"/>
    </xf>
    <xf borderId="34" fillId="2" fontId="1" numFmtId="0" xfId="0" applyAlignment="1" applyBorder="1" applyFont="1">
      <alignment horizontal="center" vertical="center"/>
    </xf>
    <xf borderId="33" fillId="8" fontId="1" numFmtId="0" xfId="0" applyAlignment="1" applyBorder="1" applyFont="1">
      <alignment horizontal="center" vertical="center"/>
    </xf>
    <xf borderId="154" fillId="33" fontId="18" numFmtId="0" xfId="0" applyAlignment="1" applyBorder="1" applyFont="1">
      <alignment vertical="center"/>
    </xf>
    <xf borderId="150" fillId="33" fontId="17" numFmtId="0" xfId="0" applyAlignment="1" applyBorder="1" applyFont="1">
      <alignment vertical="center"/>
    </xf>
    <xf borderId="155" fillId="0" fontId="15" numFmtId="0" xfId="0" applyBorder="1" applyFont="1"/>
    <xf borderId="0" fillId="33" fontId="1" numFmtId="0" xfId="0" applyAlignment="1" applyFont="1">
      <alignment vertical="center"/>
    </xf>
    <xf borderId="0" fillId="33" fontId="17" numFmtId="0" xfId="0" applyAlignment="1" applyFont="1">
      <alignment vertical="center"/>
    </xf>
    <xf borderId="0" fillId="33" fontId="17" numFmtId="0" xfId="0" applyAlignment="1" applyFont="1">
      <alignment horizontal="left" vertical="center"/>
    </xf>
    <xf borderId="0" fillId="33" fontId="17" numFmtId="0" xfId="0" applyAlignment="1" applyFont="1">
      <alignment horizontal="center" vertical="center"/>
    </xf>
    <xf borderId="34" fillId="2" fontId="1" numFmtId="0" xfId="0" applyAlignment="1" applyBorder="1" applyFont="1">
      <alignment vertical="center"/>
    </xf>
    <xf borderId="33" fillId="33" fontId="1" numFmtId="0" xfId="0" applyAlignment="1" applyBorder="1" applyFont="1">
      <alignment vertical="center"/>
    </xf>
    <xf borderId="0" fillId="2" fontId="9" numFmtId="0" xfId="0" applyAlignment="1" applyFont="1">
      <alignment vertical="center"/>
    </xf>
    <xf borderId="0" fillId="6" fontId="70" numFmtId="0" xfId="0" applyAlignment="1" applyFont="1">
      <alignment horizontal="center" vertical="center"/>
    </xf>
    <xf borderId="0" fillId="2" fontId="1" numFmtId="0" xfId="0" applyAlignment="1" applyFont="1">
      <alignment vertical="center"/>
    </xf>
    <xf borderId="2" fillId="8" fontId="1" numFmtId="164" xfId="0" applyAlignment="1" applyBorder="1" applyFont="1" applyNumberFormat="1">
      <alignment horizontal="center" vertical="center"/>
    </xf>
    <xf borderId="29" fillId="8" fontId="1" numFmtId="164" xfId="0" applyAlignment="1" applyBorder="1" applyFont="1" applyNumberFormat="1">
      <alignment horizontal="center" vertical="center"/>
    </xf>
    <xf borderId="0" fillId="9" fontId="17" numFmtId="0" xfId="0" applyAlignment="1" applyFont="1">
      <alignment horizontal="center" readingOrder="0" vertical="center"/>
    </xf>
    <xf borderId="34" fillId="2" fontId="17" numFmtId="0" xfId="0" applyAlignment="1" applyBorder="1" applyFont="1">
      <alignment horizontal="center" vertical="center"/>
    </xf>
    <xf borderId="34" fillId="2" fontId="17" numFmtId="0" xfId="0" applyAlignment="1" applyBorder="1" applyFont="1">
      <alignment vertical="center"/>
    </xf>
    <xf borderId="2" fillId="8" fontId="1" numFmtId="0" xfId="0" applyAlignment="1" applyBorder="1" applyFont="1">
      <alignment horizontal="center" vertical="center"/>
    </xf>
    <xf borderId="29" fillId="8" fontId="1" numFmtId="0" xfId="0" applyAlignment="1" applyBorder="1" applyFont="1">
      <alignment horizontal="center" vertical="center"/>
    </xf>
    <xf borderId="0" fillId="9" fontId="17" numFmtId="0" xfId="0" applyAlignment="1" applyFont="1">
      <alignment horizontal="center" vertical="center"/>
    </xf>
    <xf borderId="2" fillId="7" fontId="1" numFmtId="0" xfId="0" applyAlignment="1" applyBorder="1" applyFont="1">
      <alignment vertical="center"/>
    </xf>
    <xf borderId="29" fillId="33" fontId="1" numFmtId="0" xfId="0" applyAlignment="1" applyBorder="1" applyFont="1">
      <alignment horizontal="center" vertical="center"/>
    </xf>
    <xf borderId="0" fillId="30" fontId="19" numFmtId="0" xfId="0" applyAlignment="1" applyFont="1">
      <alignment horizontal="center" vertical="center"/>
    </xf>
    <xf borderId="0" fillId="30" fontId="18" numFmtId="0" xfId="0" applyAlignment="1" applyFont="1">
      <alignment vertical="center"/>
    </xf>
    <xf borderId="0" fillId="30" fontId="18" numFmtId="0" xfId="0" applyAlignment="1" applyFont="1">
      <alignment horizontal="center" vertical="center"/>
    </xf>
    <xf borderId="0" fillId="30" fontId="18" numFmtId="0" xfId="0" applyAlignment="1" applyFont="1">
      <alignment horizontal="center" readingOrder="0" vertical="center"/>
    </xf>
    <xf borderId="0" fillId="30" fontId="19" numFmtId="0" xfId="0" applyAlignment="1" applyFont="1">
      <alignment horizontal="center" readingOrder="0" vertical="center"/>
    </xf>
    <xf borderId="2" fillId="9" fontId="1" numFmtId="0" xfId="0" applyAlignment="1" applyBorder="1" applyFont="1">
      <alignment horizontal="center" readingOrder="0"/>
    </xf>
    <xf borderId="2" fillId="9" fontId="1" numFmtId="0" xfId="0" applyAlignment="1" applyBorder="1" applyFont="1">
      <alignment horizontal="center" readingOrder="0" vertical="center"/>
    </xf>
    <xf borderId="2" fillId="9" fontId="1" numFmtId="0" xfId="0" applyBorder="1" applyFont="1"/>
    <xf borderId="0" fillId="9" fontId="1" numFmtId="0" xfId="0" applyAlignment="1" applyFont="1">
      <alignment horizontal="center" readingOrder="0" vertical="center"/>
    </xf>
    <xf borderId="0" fillId="2" fontId="71" numFmtId="0" xfId="0" applyAlignment="1" applyFont="1">
      <alignment horizontal="center" shrinkToFit="0" vertical="center" wrapText="0"/>
    </xf>
    <xf borderId="34" fillId="2" fontId="1" numFmtId="0" xfId="0" applyAlignment="1" applyBorder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2" fillId="9" fontId="1" numFmtId="0" xfId="0" applyAlignment="1" applyBorder="1" applyFont="1">
      <alignment horizontal="center"/>
    </xf>
    <xf borderId="2" fillId="9" fontId="1" numFmtId="0" xfId="0" applyAlignment="1" applyBorder="1" applyFont="1">
      <alignment horizontal="center" vertical="center"/>
    </xf>
    <xf borderId="0" fillId="9" fontId="23" numFmtId="3" xfId="0" applyAlignment="1" applyFont="1" applyNumberFormat="1">
      <alignment vertical="center"/>
    </xf>
    <xf borderId="0" fillId="9" fontId="1" numFmtId="49" xfId="0" applyAlignment="1" applyFont="1" applyNumberFormat="1">
      <alignment vertical="bottom"/>
    </xf>
    <xf borderId="0" fillId="9" fontId="1" numFmtId="49" xfId="0" applyAlignment="1" applyFont="1" applyNumberFormat="1">
      <alignment horizontal="center" vertical="bottom"/>
    </xf>
    <xf borderId="0" fillId="9" fontId="1" numFmtId="3" xfId="0" applyAlignment="1" applyFont="1" applyNumberFormat="1">
      <alignment horizontal="center" vertical="bottom"/>
    </xf>
    <xf borderId="0" fillId="9" fontId="1" numFmtId="3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right" vertical="bottom"/>
    </xf>
    <xf borderId="0" fillId="9" fontId="1" numFmtId="3" xfId="0" applyAlignment="1" applyFont="1" applyNumberFormat="1">
      <alignment vertical="bottom"/>
    </xf>
    <xf borderId="34" fillId="2" fontId="1" numFmtId="0" xfId="0" applyAlignment="1" applyBorder="1" applyFont="1">
      <alignment vertical="bottom"/>
    </xf>
    <xf borderId="0" fillId="9" fontId="1" numFmtId="3" xfId="0" applyAlignment="1" applyFont="1" applyNumberFormat="1">
      <alignment readingOrder="0" vertical="bottom"/>
    </xf>
    <xf borderId="0" fillId="0" fontId="23" numFmtId="3" xfId="0" applyAlignment="1" applyFont="1" applyNumberFormat="1">
      <alignment readingOrder="0" vertical="center"/>
    </xf>
    <xf borderId="0" fillId="9" fontId="23" numFmtId="3" xfId="0" applyAlignment="1" applyFont="1" applyNumberFormat="1">
      <alignment horizontal="center" readingOrder="0" vertical="center"/>
    </xf>
    <xf borderId="0" fillId="9" fontId="23" numFmtId="49" xfId="0" applyAlignment="1" applyFont="1" applyNumberFormat="1">
      <alignment readingOrder="0" vertical="center"/>
    </xf>
    <xf borderId="0" fillId="9" fontId="23" numFmtId="49" xfId="0" applyAlignment="1" applyFont="1" applyNumberFormat="1">
      <alignment horizontal="center" readingOrder="0" vertical="center"/>
    </xf>
    <xf borderId="2" fillId="9" fontId="1" numFmtId="9" xfId="0" applyAlignment="1" applyBorder="1" applyFont="1" applyNumberFormat="1">
      <alignment horizontal="center" readingOrder="0"/>
    </xf>
    <xf borderId="2" fillId="9" fontId="1" numFmtId="9" xfId="0" applyAlignment="1" applyBorder="1" applyFont="1" applyNumberFormat="1">
      <alignment horizontal="center" readingOrder="0" vertical="center"/>
    </xf>
    <xf borderId="2" fillId="9" fontId="1" numFmtId="9" xfId="0" applyBorder="1" applyFont="1" applyNumberFormat="1"/>
    <xf borderId="2" fillId="9" fontId="1" numFmtId="9" xfId="0" applyAlignment="1" applyBorder="1" applyFont="1" applyNumberFormat="1">
      <alignment horizontal="center" vertical="center"/>
    </xf>
    <xf borderId="0" fillId="9" fontId="1" numFmtId="3" xfId="0" applyAlignment="1" applyFont="1" applyNumberFormat="1">
      <alignment horizontal="center" readingOrder="0" vertical="bottom"/>
    </xf>
    <xf borderId="0" fillId="0" fontId="1" numFmtId="3" xfId="0" applyAlignment="1" applyFont="1" applyNumberFormat="1">
      <alignment vertical="bottom"/>
    </xf>
    <xf borderId="0" fillId="6" fontId="72" numFmtId="0" xfId="0" applyAlignment="1" applyFont="1">
      <alignment horizontal="center" vertical="center"/>
    </xf>
    <xf borderId="0" fillId="2" fontId="29" numFmtId="0" xfId="0" applyAlignment="1" applyFont="1">
      <alignment horizontal="center"/>
    </xf>
    <xf borderId="0" fillId="34" fontId="1" numFmtId="0" xfId="0" applyFill="1" applyFont="1"/>
    <xf borderId="0" fillId="34" fontId="1" numFmtId="0" xfId="0" applyFont="1"/>
    <xf borderId="0" fillId="34" fontId="29" numFmtId="0" xfId="0" applyAlignment="1" applyFont="1">
      <alignment horizontal="center"/>
    </xf>
    <xf borderId="34" fillId="2" fontId="1" numFmtId="0" xfId="0" applyBorder="1" applyFont="1"/>
    <xf borderId="0" fillId="6" fontId="71" numFmtId="0" xfId="0" applyAlignment="1" applyFont="1">
      <alignment horizontal="center" readingOrder="0" vertical="center"/>
    </xf>
    <xf borderId="0" fillId="34" fontId="9" numFmtId="0" xfId="0" applyAlignment="1" applyFont="1">
      <alignment vertical="center"/>
    </xf>
    <xf borderId="0" fillId="34" fontId="71" numFmtId="0" xfId="0" applyAlignment="1" applyFont="1">
      <alignment horizontal="center" vertical="center"/>
    </xf>
    <xf borderId="2" fillId="9" fontId="1" numFmtId="3" xfId="0" applyAlignment="1" applyBorder="1" applyFont="1" applyNumberFormat="1">
      <alignment horizontal="center" readingOrder="0"/>
    </xf>
    <xf borderId="2" fillId="9" fontId="1" numFmtId="3" xfId="0" applyAlignment="1" applyBorder="1" applyFont="1" applyNumberFormat="1">
      <alignment horizontal="center" readingOrder="0" vertical="center"/>
    </xf>
    <xf borderId="2" fillId="9" fontId="1" numFmtId="3" xfId="0" applyBorder="1" applyFont="1" applyNumberFormat="1"/>
    <xf borderId="0" fillId="0" fontId="17" numFmtId="3" xfId="0" applyAlignment="1" applyFont="1" applyNumberFormat="1">
      <alignment horizontal="right"/>
    </xf>
    <xf borderId="0" fillId="9" fontId="1" numFmtId="3" xfId="0" applyFont="1" applyNumberFormat="1"/>
    <xf borderId="0" fillId="9" fontId="17" numFmtId="3" xfId="0" applyAlignment="1" applyFont="1" applyNumberFormat="1">
      <alignment horizontal="right"/>
    </xf>
    <xf borderId="0" fillId="9" fontId="1" numFmtId="49" xfId="0" applyAlignment="1" applyFont="1" applyNumberFormat="1">
      <alignment readingOrder="0" vertical="bottom"/>
    </xf>
    <xf borderId="0" fillId="9" fontId="17" numFmtId="49" xfId="0" applyAlignment="1" applyFont="1" applyNumberFormat="1">
      <alignment readingOrder="0"/>
    </xf>
    <xf borderId="0" fillId="9" fontId="17" numFmtId="3" xfId="0" applyAlignment="1" applyFont="1" applyNumberFormat="1">
      <alignment horizontal="center"/>
    </xf>
    <xf borderId="0" fillId="9" fontId="17" numFmtId="49" xfId="0" applyFont="1" applyNumberFormat="1"/>
    <xf borderId="0" fillId="9" fontId="17" numFmtId="3" xfId="0" applyAlignment="1" applyFont="1" applyNumberFormat="1">
      <alignment horizontal="center" readingOrder="0"/>
    </xf>
    <xf borderId="2" fillId="7" fontId="1" numFmtId="0" xfId="0" applyAlignment="1" applyBorder="1" applyFont="1">
      <alignment readingOrder="0" vertical="center"/>
    </xf>
    <xf borderId="2" fillId="9" fontId="1" numFmtId="9" xfId="0" applyAlignment="1" applyBorder="1" applyFont="1" applyNumberFormat="1">
      <alignment horizontal="center"/>
    </xf>
    <xf borderId="2" fillId="33" fontId="1" numFmtId="165" xfId="0" applyAlignment="1" applyBorder="1" applyFont="1" applyNumberFormat="1">
      <alignment horizontal="center" vertical="center"/>
    </xf>
    <xf borderId="2" fillId="33" fontId="1" numFmtId="165" xfId="0" applyAlignment="1" applyBorder="1" applyFont="1" applyNumberFormat="1">
      <alignment horizontal="center"/>
    </xf>
    <xf borderId="2" fillId="33" fontId="1" numFmtId="165" xfId="0" applyBorder="1" applyFont="1" applyNumberFormat="1"/>
    <xf borderId="2" fillId="33" fontId="1" numFmtId="9" xfId="0" applyAlignment="1" applyBorder="1" applyFont="1" applyNumberFormat="1">
      <alignment horizontal="center" vertical="center"/>
    </xf>
    <xf borderId="2" fillId="33" fontId="1" numFmtId="9" xfId="0" applyAlignment="1" applyBorder="1" applyFont="1" applyNumberFormat="1">
      <alignment horizontal="center"/>
    </xf>
    <xf borderId="2" fillId="33" fontId="1" numFmtId="9" xfId="0" applyBorder="1" applyFont="1" applyNumberFormat="1"/>
    <xf borderId="2" fillId="33" fontId="1" numFmtId="0" xfId="0" applyAlignment="1" applyBorder="1" applyFont="1">
      <alignment horizontal="center"/>
    </xf>
    <xf borderId="2" fillId="33" fontId="1" numFmtId="0" xfId="0" applyBorder="1" applyFont="1"/>
    <xf borderId="2" fillId="33" fontId="26" numFmtId="0" xfId="0" applyAlignment="1" applyBorder="1" applyFont="1">
      <alignment horizontal="left" shrinkToFit="0" vertical="center" wrapText="1"/>
    </xf>
    <xf borderId="2" fillId="33" fontId="26" numFmtId="0" xfId="0" applyAlignment="1" applyBorder="1" applyFont="1">
      <alignment shrinkToFit="0" wrapText="1"/>
    </xf>
    <xf borderId="156" fillId="17" fontId="1" numFmtId="0" xfId="0" applyAlignment="1" applyBorder="1" applyFont="1">
      <alignment vertical="center"/>
    </xf>
    <xf borderId="2" fillId="9" fontId="26" numFmtId="0" xfId="0" applyAlignment="1" applyBorder="1" applyFont="1">
      <alignment horizontal="left" readingOrder="0" shrinkToFit="0" vertical="center" wrapText="1"/>
    </xf>
    <xf borderId="2" fillId="9" fontId="26" numFmtId="0" xfId="0" applyAlignment="1" applyBorder="1" applyFont="1">
      <alignment horizontal="left" shrinkToFit="0" vertical="center" wrapText="1"/>
    </xf>
    <xf borderId="2" fillId="9" fontId="26" numFmtId="0" xfId="0" applyAlignment="1" applyBorder="1" applyFont="1">
      <alignment readingOrder="0" shrinkToFit="0" wrapText="1"/>
    </xf>
    <xf borderId="0" fillId="9" fontId="1" numFmtId="49" xfId="0" applyAlignment="1" applyFont="1" applyNumberFormat="1">
      <alignment readingOrder="0"/>
    </xf>
    <xf borderId="0" fillId="9" fontId="1" numFmtId="49" xfId="0" applyFont="1" applyNumberFormat="1"/>
    <xf borderId="0" fillId="0" fontId="1" numFmtId="3" xfId="0" applyFont="1" applyNumberFormat="1"/>
    <xf borderId="0" fillId="0" fontId="73" numFmtId="0" xfId="0" applyAlignment="1" applyFont="1">
      <alignment readingOrder="0" vertical="center"/>
    </xf>
    <xf borderId="0" fillId="0" fontId="73" numFmtId="0" xfId="0" applyAlignment="1" applyFont="1">
      <alignment horizontal="left" shrinkToFit="0" vertical="center" wrapText="1"/>
    </xf>
    <xf borderId="29" fillId="33" fontId="1" numFmtId="9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34" fillId="6" fontId="17" numFmtId="0" xfId="0" applyAlignment="1" applyBorder="1" applyFont="1">
      <alignment vertical="center"/>
    </xf>
    <xf borderId="0" fillId="6" fontId="17" numFmtId="0" xfId="0" applyAlignment="1" applyFont="1">
      <alignment vertical="center"/>
    </xf>
    <xf borderId="0" fillId="0" fontId="74" numFmtId="0" xfId="0" applyAlignment="1" applyFont="1">
      <alignment vertical="center"/>
    </xf>
    <xf borderId="0" fillId="0" fontId="73" numFmtId="0" xfId="0" applyAlignment="1" applyFont="1">
      <alignment vertical="center"/>
    </xf>
    <xf borderId="0" fillId="0" fontId="70" numFmtId="0" xfId="0" applyAlignment="1" applyFont="1">
      <alignment vertical="center"/>
    </xf>
    <xf borderId="0" fillId="0" fontId="70" numFmtId="164" xfId="0" applyAlignment="1" applyFont="1" applyNumberFormat="1">
      <alignment vertical="center"/>
    </xf>
    <xf borderId="0" fillId="0" fontId="74" numFmtId="164" xfId="0" applyAlignment="1" applyFont="1" applyNumberFormat="1">
      <alignment vertical="center"/>
    </xf>
    <xf borderId="0" fillId="0" fontId="17" numFmtId="0" xfId="0" applyAlignment="1" applyFont="1">
      <alignment horizontal="right" readingOrder="0" vertical="center"/>
    </xf>
    <xf borderId="0" fillId="9" fontId="17" numFmtId="3" xfId="0" applyAlignment="1" applyFont="1" applyNumberFormat="1">
      <alignment horizontal="center" readingOrder="0" vertical="center"/>
    </xf>
    <xf borderId="157" fillId="17" fontId="1" numFmtId="0" xfId="0" applyAlignment="1" applyBorder="1" applyFont="1">
      <alignment vertical="center"/>
    </xf>
    <xf borderId="0" fillId="6" fontId="67" numFmtId="0" xfId="0" applyAlignment="1" applyFont="1">
      <alignment horizontal="center" readingOrder="0" textRotation="0" vertical="center"/>
    </xf>
    <xf borderId="0" fillId="6" fontId="67" numFmtId="0" xfId="0" applyAlignment="1" applyFont="1">
      <alignment vertical="center"/>
    </xf>
    <xf borderId="0" fillId="6" fontId="67" numFmtId="0" xfId="0" applyAlignment="1" applyFont="1">
      <alignment readingOrder="0" vertical="center"/>
    </xf>
    <xf borderId="0" fillId="6" fontId="1" numFmtId="0" xfId="0" applyAlignment="1" applyFont="1">
      <alignment vertical="center"/>
    </xf>
    <xf borderId="0" fillId="6" fontId="67" numFmtId="0" xfId="0" applyAlignment="1" applyFont="1">
      <alignment horizontal="center" vertical="center"/>
    </xf>
    <xf borderId="0" fillId="6" fontId="67" numFmtId="0" xfId="0" applyAlignment="1" applyFont="1">
      <alignment horizontal="left" vertical="center"/>
    </xf>
    <xf borderId="0" fillId="6" fontId="9" numFmtId="0" xfId="0" applyAlignment="1" applyFont="1">
      <alignment vertical="center"/>
    </xf>
    <xf borderId="0" fillId="6" fontId="9" numFmtId="0" xfId="0" applyAlignment="1" applyFont="1">
      <alignment horizontal="center" vertical="center"/>
    </xf>
    <xf borderId="158" fillId="10" fontId="67" numFmtId="0" xfId="0" applyAlignment="1" applyBorder="1" applyFont="1">
      <alignment vertical="center"/>
    </xf>
    <xf borderId="155" fillId="10" fontId="67" numFmtId="0" xfId="0" applyAlignment="1" applyBorder="1" applyFont="1">
      <alignment readingOrder="0" vertical="center"/>
    </xf>
    <xf borderId="155" fillId="9" fontId="67" numFmtId="0" xfId="0" applyAlignment="1" applyBorder="1" applyFont="1">
      <alignment readingOrder="0" vertical="center"/>
    </xf>
    <xf borderId="132" fillId="10" fontId="67" numFmtId="0" xfId="0" applyAlignment="1" applyBorder="1" applyFont="1">
      <alignment vertical="center"/>
    </xf>
    <xf borderId="159" fillId="17" fontId="1" numFmtId="0" xfId="0" applyAlignment="1" applyBorder="1" applyFont="1">
      <alignment vertical="center"/>
    </xf>
    <xf borderId="155" fillId="10" fontId="67" numFmtId="0" xfId="0" applyAlignment="1" applyBorder="1" applyFont="1">
      <alignment vertical="center"/>
    </xf>
    <xf borderId="132" fillId="10" fontId="67" numFmtId="0" xfId="0" applyAlignment="1" applyBorder="1" applyFont="1">
      <alignment horizontal="center" vertical="center"/>
    </xf>
    <xf borderId="158" fillId="10" fontId="67" numFmtId="0" xfId="0" applyAlignment="1" applyBorder="1" applyFont="1">
      <alignment horizontal="left" vertical="center"/>
    </xf>
    <xf borderId="155" fillId="10" fontId="67" numFmtId="0" xfId="0" applyAlignment="1" applyBorder="1" applyFont="1">
      <alignment horizontal="center" vertical="center"/>
    </xf>
    <xf borderId="137" fillId="0" fontId="9" numFmtId="0" xfId="0" applyAlignment="1" applyBorder="1" applyFont="1">
      <alignment vertical="center"/>
    </xf>
    <xf borderId="5" fillId="32" fontId="17" numFmtId="1" xfId="0" applyAlignment="1" applyBorder="1" applyFont="1" applyNumberFormat="1">
      <alignment vertical="center"/>
    </xf>
    <xf borderId="31" fillId="33" fontId="1" numFmtId="1" xfId="0" applyAlignment="1" applyBorder="1" applyFont="1" applyNumberFormat="1">
      <alignment horizontal="center" vertical="center"/>
    </xf>
    <xf borderId="160" fillId="2" fontId="1" numFmtId="0" xfId="0" applyBorder="1" applyFont="1"/>
    <xf borderId="0" fillId="2" fontId="75" numFmtId="0" xfId="0" applyAlignment="1" applyFont="1">
      <alignment horizontal="center" shrinkToFit="0" wrapText="0"/>
    </xf>
    <xf borderId="0" fillId="2" fontId="1" numFmtId="0" xfId="0" applyFont="1"/>
    <xf borderId="2" fillId="9" fontId="1" numFmtId="0" xfId="0" applyAlignment="1" applyBorder="1" applyFont="1">
      <alignment horizontal="center"/>
    </xf>
    <xf borderId="2" fillId="9" fontId="1" numFmtId="3" xfId="0" applyAlignment="1" applyBorder="1" applyFont="1" applyNumberFormat="1">
      <alignment horizontal="center"/>
    </xf>
    <xf borderId="0" fillId="9" fontId="17" numFmtId="49" xfId="0" applyAlignment="1" applyFont="1" applyNumberFormat="1">
      <alignment horizontal="center"/>
    </xf>
    <xf borderId="152" fillId="0" fontId="17" numFmtId="0" xfId="0" applyAlignment="1" applyBorder="1" applyFont="1">
      <alignment vertical="center"/>
    </xf>
    <xf borderId="152" fillId="4" fontId="1" numFmtId="0" xfId="0" applyAlignment="1" applyBorder="1" applyFont="1">
      <alignment vertical="center"/>
    </xf>
    <xf borderId="43" fillId="31" fontId="1" numFmtId="164" xfId="0" applyAlignment="1" applyBorder="1" applyFont="1" applyNumberFormat="1">
      <alignment horizontal="center" vertical="center"/>
    </xf>
    <xf borderId="42" fillId="31" fontId="1" numFmtId="164" xfId="0" applyAlignment="1" applyBorder="1" applyFont="1" applyNumberFormat="1">
      <alignment horizontal="center" vertical="center"/>
    </xf>
    <xf borderId="0" fillId="31" fontId="1" numFmtId="0" xfId="0" applyAlignment="1" applyFont="1">
      <alignment horizontal="center" vertical="center"/>
    </xf>
    <xf borderId="33" fillId="31" fontId="1" numFmtId="0" xfId="0" applyAlignment="1" applyBorder="1" applyFont="1">
      <alignment horizontal="center" vertical="center"/>
    </xf>
    <xf borderId="2" fillId="9" fontId="1" numFmtId="0" xfId="0" applyAlignment="1" applyBorder="1" applyFont="1">
      <alignment horizontal="center" vertical="center"/>
    </xf>
    <xf borderId="161" fillId="35" fontId="18" numFmtId="0" xfId="0" applyAlignment="1" applyBorder="1" applyFill="1" applyFont="1">
      <alignment horizontal="center" readingOrder="0" vertical="center"/>
    </xf>
    <xf borderId="20" fillId="35" fontId="18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/>
    </xf>
    <xf borderId="162" fillId="35" fontId="76" numFmtId="0" xfId="0" applyAlignment="1" applyBorder="1" applyFont="1">
      <alignment horizontal="center" readingOrder="0" vertical="center"/>
    </xf>
    <xf borderId="163" fillId="35" fontId="18" numFmtId="0" xfId="0" applyAlignment="1" applyBorder="1" applyFont="1">
      <alignment horizontal="center" vertical="center"/>
    </xf>
    <xf borderId="0" fillId="0" fontId="1" numFmtId="0" xfId="0" applyAlignment="1" applyFont="1">
      <alignment vertical="bottom"/>
    </xf>
    <xf borderId="0" fillId="0" fontId="77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13" fontId="1" numFmtId="0" xfId="0" applyAlignment="1" applyFont="1">
      <alignment vertical="bottom"/>
    </xf>
    <xf borderId="0" fillId="33" fontId="1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13" fontId="1" numFmtId="0" xfId="0" applyAlignment="1" applyFont="1">
      <alignment vertical="bottom"/>
    </xf>
    <xf borderId="0" fillId="13" fontId="1" numFmtId="0" xfId="0" applyAlignment="1" applyFont="1">
      <alignment horizontal="center" vertical="bottom"/>
    </xf>
    <xf borderId="0" fillId="33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78" numFmtId="0" xfId="0" applyAlignment="1" applyFont="1">
      <alignment vertical="bottom"/>
    </xf>
    <xf borderId="0" fillId="0" fontId="79" numFmtId="0" xfId="0" applyAlignment="1" applyFont="1">
      <alignment vertical="bottom"/>
    </xf>
    <xf borderId="0" fillId="33" fontId="1" numFmtId="0" xfId="0" applyAlignment="1" applyFont="1">
      <alignment vertical="bottom"/>
    </xf>
    <xf borderId="0" fillId="13" fontId="1" numFmtId="0" xfId="0" applyAlignment="1" applyFont="1">
      <alignment horizontal="center" vertical="bottom"/>
    </xf>
    <xf borderId="0" fillId="33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67" numFmtId="0" xfId="0" applyFont="1"/>
    <xf borderId="0" fillId="0" fontId="80" numFmtId="0" xfId="0" applyAlignment="1" applyFont="1">
      <alignment horizontal="center" readingOrder="0"/>
    </xf>
    <xf borderId="0" fillId="0" fontId="80" numFmtId="0" xfId="0" applyAlignment="1" applyFont="1">
      <alignment horizontal="center"/>
    </xf>
    <xf borderId="0" fillId="0" fontId="19" numFmtId="0" xfId="0" applyFont="1"/>
    <xf borderId="0" fillId="9" fontId="9" numFmtId="3" xfId="0" applyAlignment="1" applyFont="1" applyNumberFormat="1">
      <alignment horizontal="center"/>
    </xf>
    <xf borderId="0" fillId="0" fontId="9" numFmtId="3" xfId="0" applyAlignment="1" applyFont="1" applyNumberFormat="1">
      <alignment horizontal="center"/>
    </xf>
    <xf borderId="0" fillId="0" fontId="1" numFmtId="3" xfId="0" applyAlignment="1" applyFont="1" applyNumberFormat="1">
      <alignment horizontal="center" vertical="bottom"/>
    </xf>
    <xf borderId="0" fillId="33" fontId="1" numFmtId="3" xfId="0" applyAlignment="1" applyFont="1" applyNumberFormat="1">
      <alignment horizontal="center" vertical="bottom"/>
    </xf>
    <xf borderId="0" fillId="30" fontId="1" numFmtId="3" xfId="0" applyAlignment="1" applyFont="1" applyNumberFormat="1">
      <alignment horizontal="center" vertical="bottom"/>
    </xf>
    <xf borderId="0" fillId="0" fontId="1" numFmtId="3" xfId="0" applyAlignment="1" applyFont="1" applyNumberFormat="1">
      <alignment horizontal="center"/>
    </xf>
    <xf borderId="0" fillId="0" fontId="9" numFmtId="0" xfId="0" applyAlignment="1" applyFont="1">
      <alignment readingOrder="0"/>
    </xf>
    <xf borderId="59" fillId="0" fontId="17" numFmtId="0" xfId="0" applyAlignment="1" applyBorder="1" applyFont="1">
      <alignment readingOrder="0"/>
    </xf>
    <xf borderId="59" fillId="9" fontId="9" numFmtId="3" xfId="0" applyAlignment="1" applyBorder="1" applyFont="1" applyNumberFormat="1">
      <alignment horizontal="center"/>
    </xf>
    <xf borderId="59" fillId="0" fontId="9" numFmtId="3" xfId="0" applyAlignment="1" applyBorder="1" applyFont="1" applyNumberFormat="1">
      <alignment horizontal="center"/>
    </xf>
    <xf borderId="59" fillId="0" fontId="1" numFmtId="3" xfId="0" applyAlignment="1" applyBorder="1" applyFont="1" applyNumberFormat="1">
      <alignment horizontal="center" vertical="bottom"/>
    </xf>
    <xf borderId="59" fillId="33" fontId="1" numFmtId="3" xfId="0" applyAlignment="1" applyBorder="1" applyFont="1" applyNumberFormat="1">
      <alignment horizontal="center" vertical="bottom"/>
    </xf>
    <xf borderId="59" fillId="30" fontId="1" numFmtId="3" xfId="0" applyAlignment="1" applyBorder="1" applyFont="1" applyNumberFormat="1">
      <alignment horizontal="center" vertical="bottom"/>
    </xf>
    <xf borderId="0" fillId="9" fontId="9" numFmtId="4" xfId="0" applyAlignment="1" applyFont="1" applyNumberFormat="1">
      <alignment horizontal="center" readingOrder="0"/>
    </xf>
    <xf borderId="0" fillId="0" fontId="9" numFmtId="4" xfId="0" applyAlignment="1" applyFont="1" applyNumberFormat="1">
      <alignment horizontal="center" readingOrder="0"/>
    </xf>
    <xf borderId="0" fillId="33" fontId="9" numFmtId="4" xfId="0" applyAlignment="1" applyFont="1" applyNumberFormat="1">
      <alignment horizontal="center" readingOrder="0"/>
    </xf>
    <xf borderId="0" fillId="30" fontId="9" numFmtId="4" xfId="0" applyAlignment="1" applyFont="1" applyNumberFormat="1">
      <alignment horizontal="center" readingOrder="0"/>
    </xf>
    <xf borderId="0" fillId="33" fontId="9" numFmtId="3" xfId="0" applyAlignment="1" applyFont="1" applyNumberFormat="1">
      <alignment horizontal="center"/>
    </xf>
    <xf borderId="0" fillId="30" fontId="9" numFmtId="3" xfId="0" applyAlignment="1" applyFont="1" applyNumberFormat="1">
      <alignment horizontal="center"/>
    </xf>
    <xf borderId="0" fillId="2" fontId="9" numFmtId="4" xfId="0" applyAlignment="1" applyFont="1" applyNumberFormat="1">
      <alignment horizontal="center"/>
    </xf>
    <xf borderId="0" fillId="0" fontId="9" numFmtId="4" xfId="0" applyAlignment="1" applyFont="1" applyNumberFormat="1">
      <alignment horizontal="center"/>
    </xf>
    <xf borderId="0" fillId="9" fontId="9" numFmtId="4" xfId="0" applyAlignment="1" applyFont="1" applyNumberFormat="1">
      <alignment horizontal="center"/>
    </xf>
    <xf borderId="0" fillId="33" fontId="9" numFmtId="4" xfId="0" applyAlignment="1" applyFont="1" applyNumberFormat="1">
      <alignment horizontal="center"/>
    </xf>
    <xf borderId="0" fillId="30" fontId="9" numFmtId="4" xfId="0" applyAlignment="1" applyFont="1" applyNumberFormat="1">
      <alignment horizontal="center"/>
    </xf>
    <xf borderId="0" fillId="9" fontId="9" numFmtId="169" xfId="0" applyAlignment="1" applyFont="1" applyNumberFormat="1">
      <alignment horizontal="center"/>
    </xf>
    <xf borderId="0" fillId="0" fontId="9" numFmtId="169" xfId="0" applyAlignment="1" applyFont="1" applyNumberFormat="1">
      <alignment horizontal="center"/>
    </xf>
    <xf borderId="0" fillId="33" fontId="9" numFmtId="169" xfId="0" applyAlignment="1" applyFont="1" applyNumberFormat="1">
      <alignment horizontal="center"/>
    </xf>
    <xf borderId="0" fillId="30" fontId="9" numFmtId="169" xfId="0" applyAlignment="1" applyFont="1" applyNumberFormat="1">
      <alignment horizontal="center"/>
    </xf>
    <xf borderId="0" fillId="9" fontId="9" numFmtId="1" xfId="0" applyAlignment="1" applyFont="1" applyNumberFormat="1">
      <alignment horizontal="center"/>
    </xf>
    <xf borderId="0" fillId="0" fontId="9" numFmtId="1" xfId="0" applyAlignment="1" applyFont="1" applyNumberFormat="1">
      <alignment horizontal="center"/>
    </xf>
    <xf borderId="0" fillId="33" fontId="9" numFmtId="1" xfId="0" applyAlignment="1" applyFont="1" applyNumberFormat="1">
      <alignment horizontal="center"/>
    </xf>
    <xf borderId="0" fillId="30" fontId="9" numFmtId="1" xfId="0" applyAlignment="1" applyFont="1" applyNumberFormat="1">
      <alignment horizontal="center"/>
    </xf>
    <xf borderId="0" fillId="4" fontId="81" numFmtId="0" xfId="0" applyFont="1"/>
    <xf borderId="0" fillId="9" fontId="9" numFmtId="171" xfId="0" applyAlignment="1" applyFont="1" applyNumberFormat="1">
      <alignment readingOrder="0"/>
    </xf>
    <xf borderId="0" fillId="7" fontId="9" numFmtId="171" xfId="0" applyAlignment="1" applyFont="1" applyNumberFormat="1">
      <alignment readingOrder="0"/>
    </xf>
    <xf borderId="0" fillId="0" fontId="9" numFmtId="3" xfId="0" applyFont="1" applyNumberFormat="1"/>
    <xf borderId="0" fillId="33" fontId="9" numFmtId="0" xfId="0" applyFont="1"/>
    <xf borderId="0" fillId="2" fontId="9" numFmtId="0" xfId="0" applyFont="1"/>
    <xf borderId="0" fillId="0" fontId="9" numFmtId="0" xfId="0" applyAlignment="1" applyFont="1">
      <alignment horizontal="center" readingOrder="0" vertical="center"/>
    </xf>
  </cellXfs>
  <cellStyles count="1">
    <cellStyle xfId="0" name="Normal" builtinId="0"/>
  </cellStyles>
  <dxfs count="10">
    <dxf>
      <font/>
      <fill>
        <patternFill patternType="solid">
          <fgColor rgb="FFFFFFFF"/>
          <bgColor rgb="FFFFFFFF"/>
        </patternFill>
      </fill>
      <border/>
    </dxf>
    <dxf>
      <font>
        <color rgb="FFD9D9D9"/>
      </font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>
        <b/>
        <color rgb="FF00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>
        <color rgb="FF000000"/>
      </font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Progresso!$A$5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Progresso!$B$3:$G$3</c:f>
            </c:strRef>
          </c:cat>
          <c:val>
            <c:numRef>
              <c:f>Progresso!$B$5:$G$5</c:f>
              <c:numCache/>
            </c:numRef>
          </c:val>
          <c:smooth val="0"/>
        </c:ser>
        <c:ser>
          <c:idx val="1"/>
          <c:order val="1"/>
          <c:tx>
            <c:strRef>
              <c:f>Progresso!$A$6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Progresso!$B$3:$G$3</c:f>
            </c:strRef>
          </c:cat>
          <c:val>
            <c:numRef>
              <c:f>Progresso!$B$6:$G$6</c:f>
              <c:numCache/>
            </c:numRef>
          </c:val>
          <c:smooth val="0"/>
        </c:ser>
        <c:ser>
          <c:idx val="2"/>
          <c:order val="2"/>
          <c:tx>
            <c:strRef>
              <c:f>Progresso!$A$27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Progresso!$B$3:$G$3</c:f>
            </c:strRef>
          </c:cat>
          <c:val>
            <c:numRef>
              <c:f>Progresso!$B$27:$G$27</c:f>
              <c:numCache/>
            </c:numRef>
          </c:val>
          <c:smooth val="0"/>
        </c:ser>
        <c:axId val="382132731"/>
        <c:axId val="1943059802"/>
      </c:lineChart>
      <c:catAx>
        <c:axId val="3821327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3059802"/>
      </c:catAx>
      <c:valAx>
        <c:axId val="1943059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2132731"/>
      </c:valAx>
    </c:plotArea>
    <c:legend>
      <c:legendPos val="b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Progresso!$A$8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Progresso!$B$3:$G$3</c:f>
            </c:strRef>
          </c:cat>
          <c:val>
            <c:numRef>
              <c:f>Progresso!$B$8:$G$8</c:f>
              <c:numCache/>
            </c:numRef>
          </c:val>
          <c:smooth val="0"/>
        </c:ser>
        <c:ser>
          <c:idx val="1"/>
          <c:order val="1"/>
          <c:tx>
            <c:strRef>
              <c:f>Progresso!$A$10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Progresso!$B$3:$G$3</c:f>
            </c:strRef>
          </c:cat>
          <c:val>
            <c:numRef>
              <c:f>Progresso!$B$10:$G$10</c:f>
              <c:numCache/>
            </c:numRef>
          </c:val>
          <c:smooth val="0"/>
        </c:ser>
        <c:axId val="696583379"/>
        <c:axId val="434216262"/>
      </c:lineChart>
      <c:catAx>
        <c:axId val="6965833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4216262"/>
      </c:catAx>
      <c:valAx>
        <c:axId val="4342162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6583379"/>
      </c:valAx>
      <c:lineChart>
        <c:varyColors val="0"/>
        <c:ser>
          <c:idx val="2"/>
          <c:order val="2"/>
          <c:tx>
            <c:strRef>
              <c:f>Progresso!$A$9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Progresso!$B$3:$G$3</c:f>
            </c:strRef>
          </c:cat>
          <c:val>
            <c:numRef>
              <c:f>Progresso!$B$9:$G$9</c:f>
              <c:numCache/>
            </c:numRef>
          </c:val>
          <c:smooth val="0"/>
        </c:ser>
        <c:axId val="3577695"/>
        <c:axId val="86335166"/>
      </c:lineChart>
      <c:catAx>
        <c:axId val="3577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335166"/>
      </c:catAx>
      <c:valAx>
        <c:axId val="8633516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77695"/>
        <c:crosses val="max"/>
      </c:valAx>
    </c:plotArea>
    <c:legend>
      <c:legendPos val="b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1"/>
          <c:order val="1"/>
          <c:tx>
            <c:strRef>
              <c:f>Progresso!$A$15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Progresso!$B$3:$G$3</c:f>
            </c:strRef>
          </c:cat>
          <c:val>
            <c:numRef>
              <c:f>Progresso!$B$15:$G$15</c:f>
              <c:numCache/>
            </c:numRef>
          </c:val>
          <c:smooth val="0"/>
        </c:ser>
        <c:ser>
          <c:idx val="2"/>
          <c:order val="2"/>
          <c:tx>
            <c:strRef>
              <c:f>Progresso!$A$19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Progresso!$B$3:$G$3</c:f>
            </c:strRef>
          </c:cat>
          <c:val>
            <c:numRef>
              <c:f>Progresso!$B$19:$G$19</c:f>
              <c:numCache/>
            </c:numRef>
          </c:val>
          <c:smooth val="0"/>
        </c:ser>
        <c:axId val="1442839001"/>
        <c:axId val="118491432"/>
      </c:lineChart>
      <c:catAx>
        <c:axId val="1442839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491432"/>
      </c:catAx>
      <c:valAx>
        <c:axId val="1184914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2839001"/>
      </c:valAx>
      <c:lineChart>
        <c:varyColors val="0"/>
        <c:ser>
          <c:idx val="0"/>
          <c:order val="0"/>
          <c:tx>
            <c:strRef>
              <c:f>Progresso!$A$12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cat>
            <c:strRef>
              <c:f>Progresso!$B$3:$G$3</c:f>
            </c:strRef>
          </c:cat>
          <c:val>
            <c:numRef>
              <c:f>Progresso!$B$12:$G$12</c:f>
              <c:numCache/>
            </c:numRef>
          </c:val>
          <c:smooth val="0"/>
        </c:ser>
        <c:axId val="55946830"/>
        <c:axId val="1132232930"/>
      </c:lineChart>
      <c:catAx>
        <c:axId val="5594683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2232930"/>
      </c:catAx>
      <c:valAx>
        <c:axId val="113223293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946830"/>
        <c:crosses val="max"/>
      </c:valAx>
    </c:plotArea>
    <c:legend>
      <c:legendPos val="b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Progresso!$A$23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Progresso!$B$3:$G$3</c:f>
            </c:strRef>
          </c:cat>
          <c:val>
            <c:numRef>
              <c:f>Progresso!$B$23:$G$23</c:f>
              <c:numCache/>
            </c:numRef>
          </c:val>
          <c:smooth val="0"/>
        </c:ser>
        <c:ser>
          <c:idx val="2"/>
          <c:order val="2"/>
          <c:tx>
            <c:strRef>
              <c:f>Progresso!$A$26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Progresso!$B$3:$G$3</c:f>
            </c:strRef>
          </c:cat>
          <c:val>
            <c:numRef>
              <c:f>Progresso!$B$26:$G$26</c:f>
              <c:numCache/>
            </c:numRef>
          </c:val>
          <c:smooth val="0"/>
        </c:ser>
        <c:axId val="1779167113"/>
        <c:axId val="1068082233"/>
      </c:lineChart>
      <c:catAx>
        <c:axId val="1779167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8082233"/>
      </c:catAx>
      <c:valAx>
        <c:axId val="10680822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9167113"/>
      </c:valAx>
      <c:lineChart>
        <c:varyColors val="0"/>
        <c:ser>
          <c:idx val="1"/>
          <c:order val="1"/>
          <c:tx>
            <c:strRef>
              <c:f>Progresso!$A$24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Progresso!$B$3:$G$3</c:f>
            </c:strRef>
          </c:cat>
          <c:val>
            <c:numRef>
              <c:f>Progresso!$B$24:$G$24</c:f>
              <c:numCache/>
            </c:numRef>
          </c:val>
          <c:smooth val="0"/>
        </c:ser>
        <c:axId val="829909032"/>
        <c:axId val="403768320"/>
      </c:lineChart>
      <c:catAx>
        <c:axId val="8299090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3768320"/>
      </c:catAx>
      <c:valAx>
        <c:axId val="40376832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9909032"/>
        <c:crosses val="max"/>
      </c:valAx>
    </c:plotArea>
    <c:legend>
      <c:legendPos val="b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Progresso!$A$35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Progresso!$B$3:$G$3</c:f>
            </c:strRef>
          </c:cat>
          <c:val>
            <c:numRef>
              <c:f>Progresso!$B$35:$G$35</c:f>
              <c:numCache/>
            </c:numRef>
          </c:val>
          <c:smooth val="0"/>
        </c:ser>
        <c:axId val="1379562748"/>
        <c:axId val="1125927227"/>
      </c:lineChart>
      <c:catAx>
        <c:axId val="13795627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5927227"/>
      </c:catAx>
      <c:valAx>
        <c:axId val="11259272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9562748"/>
      </c:valAx>
    </c:plotArea>
    <c:legend>
      <c:legendPos val="b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Relationship Id="rId2" Type="http://schemas.openxmlformats.org/officeDocument/2006/relationships/image" Target="../media/Chart7.png"/><Relationship Id="rId3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9.jpg"/><Relationship Id="rId3" Type="http://schemas.openxmlformats.org/officeDocument/2006/relationships/image" Target="../media/image3.png"/><Relationship Id="rId4" Type="http://schemas.openxmlformats.org/officeDocument/2006/relationships/image" Target="../media/image7.png"/><Relationship Id="rId5" Type="http://schemas.openxmlformats.org/officeDocument/2006/relationships/image" Target="../media/image6.png"/><Relationship Id="rId6" Type="http://schemas.openxmlformats.org/officeDocument/2006/relationships/image" Target="../media/image5.png"/><Relationship Id="rId7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</xdr:row>
      <xdr:rowOff>9525</xdr:rowOff>
    </xdr:from>
    <xdr:ext cx="1504950" cy="409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1590675" cy="4667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1590675" cy="4667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590675" cy="4667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1590675" cy="4667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1590675" cy="4667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39</xdr:row>
      <xdr:rowOff>95250</xdr:rowOff>
    </xdr:from>
    <xdr:ext cx="3067050" cy="26860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409575</xdr:colOff>
      <xdr:row>39</xdr:row>
      <xdr:rowOff>95250</xdr:rowOff>
    </xdr:from>
    <xdr:ext cx="3067050" cy="26860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54</xdr:row>
      <xdr:rowOff>19050</xdr:rowOff>
    </xdr:from>
    <xdr:ext cx="3067050" cy="26860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409575</xdr:colOff>
      <xdr:row>54</xdr:row>
      <xdr:rowOff>19050</xdr:rowOff>
    </xdr:from>
    <xdr:ext cx="3067050" cy="26860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19050</xdr:rowOff>
    </xdr:from>
    <xdr:ext cx="3067050" cy="26860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314325</xdr:colOff>
      <xdr:row>0</xdr:row>
      <xdr:rowOff>0</xdr:rowOff>
    </xdr:from>
    <xdr:ext cx="2409825" cy="657225"/>
    <xdr:pic>
      <xdr:nvPicPr>
        <xdr:cNvPr id="0" name="image1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342900</xdr:colOff>
      <xdr:row>73</xdr:row>
      <xdr:rowOff>142875</xdr:rowOff>
    </xdr:from>
    <xdr:ext cx="3067050" cy="838200"/>
    <xdr:pic>
      <xdr:nvPicPr>
        <xdr:cNvPr id="0" name="image1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0</xdr:row>
      <xdr:rowOff>76200</xdr:rowOff>
    </xdr:from>
    <xdr:ext cx="1571625" cy="4286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35</xdr:row>
      <xdr:rowOff>285750</xdr:rowOff>
    </xdr:from>
    <xdr:ext cx="11468100" cy="4438650"/>
    <xdr:pic>
      <xdr:nvPicPr>
        <xdr:cNvPr id="1245950169" name="Chart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342900</xdr:colOff>
      <xdr:row>35</xdr:row>
      <xdr:rowOff>295275</xdr:rowOff>
    </xdr:from>
    <xdr:ext cx="11582400" cy="4438650"/>
    <xdr:pic>
      <xdr:nvPicPr>
        <xdr:cNvPr id="2076812567" name="Chart7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0</xdr:row>
      <xdr:rowOff>0</xdr:rowOff>
    </xdr:from>
    <xdr:ext cx="1971675" cy="53340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190500</xdr:colOff>
      <xdr:row>0</xdr:row>
      <xdr:rowOff>0</xdr:rowOff>
    </xdr:from>
    <xdr:ext cx="1971675" cy="53340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133350</xdr:rowOff>
    </xdr:from>
    <xdr:ext cx="2752725" cy="1076325"/>
    <xdr:grpSp>
      <xdr:nvGrpSpPr>
        <xdr:cNvPr id="2" name="Shape 2" title="Desenho"/>
        <xdr:cNvGrpSpPr/>
      </xdr:nvGrpSpPr>
      <xdr:grpSpPr>
        <a:xfrm>
          <a:off x="1120025" y="894100"/>
          <a:ext cx="2737800" cy="1053000"/>
          <a:chOff x="1120025" y="894100"/>
          <a:chExt cx="2737800" cy="1053000"/>
        </a:xfrm>
      </xdr:grpSpPr>
      <xdr:sp>
        <xdr:nvSpPr>
          <xdr:cNvPr id="3" name="Shape 3"/>
          <xdr:cNvSpPr/>
        </xdr:nvSpPr>
        <xdr:spPr>
          <a:xfrm>
            <a:off x="1120025" y="894100"/>
            <a:ext cx="2737800" cy="1053000"/>
          </a:xfrm>
          <a:prstGeom prst="roundRect">
            <a:avLst>
              <a:gd fmla="val 16667" name="adj"/>
            </a:avLst>
          </a:prstGeom>
          <a:solidFill>
            <a:srgbClr val="FF00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1206175" y="1220500"/>
            <a:ext cx="2603700" cy="415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500">
                <a:solidFill>
                  <a:srgbClr val="FFFFFF"/>
                </a:solidFill>
              </a:rPr>
              <a:t>Reconfigurar as Semanas</a:t>
            </a:r>
            <a:endParaRPr b="1" sz="1500">
              <a:solidFill>
                <a:srgbClr val="FFFFFF"/>
              </a:solidFill>
            </a:endParaRPr>
          </a:p>
        </xdr:txBody>
      </xdr:sp>
    </xdr:grpSp>
    <xdr:clientData fLocksWithSheet="0"/>
  </xdr:oneCellAnchor>
  <xdr:oneCellAnchor>
    <xdr:from>
      <xdr:col>0</xdr:col>
      <xdr:colOff>723900</xdr:colOff>
      <xdr:row>8</xdr:row>
      <xdr:rowOff>-85725</xdr:rowOff>
    </xdr:from>
    <xdr:ext cx="1019175" cy="3514725"/>
    <xdr:sp>
      <xdr:nvSpPr>
        <xdr:cNvPr id="5" name="Shape 5"/>
        <xdr:cNvSpPr/>
      </xdr:nvSpPr>
      <xdr:spPr>
        <a:xfrm>
          <a:off x="2670825" y="760075"/>
          <a:ext cx="1311600" cy="4595100"/>
        </a:xfrm>
        <a:prstGeom prst="downArrow">
          <a:avLst>
            <a:gd fmla="val 50000" name="adj1"/>
            <a:gd fmla="val 50000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33650" cy="3448050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2333625" cy="3543300"/>
    <xdr:pic>
      <xdr:nvPicPr>
        <xdr:cNvPr id="0" name="image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628650" cy="9334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781050" cy="93345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619125" cy="93345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628650" cy="93345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657225" cy="93345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CIeWtTNpS5M" TargetMode="External"/><Relationship Id="rId42" Type="http://schemas.openxmlformats.org/officeDocument/2006/relationships/hyperlink" Target="https://www.youtube.com/watch?v=Xxgk-HZj_5w" TargetMode="External"/><Relationship Id="rId41" Type="http://schemas.openxmlformats.org/officeDocument/2006/relationships/hyperlink" Target="https://www.youtube.com/watch?v=hK1jFiCNsgQ&amp;ab_channel=SSO" TargetMode="External"/><Relationship Id="rId44" Type="http://schemas.openxmlformats.org/officeDocument/2006/relationships/hyperlink" Target="https://www.youtube.com/shorts/6LBPIZCchXk" TargetMode="External"/><Relationship Id="rId43" Type="http://schemas.openxmlformats.org/officeDocument/2006/relationships/hyperlink" Target="https://www.youtube.com/watch?v=eDxuLnx30N4" TargetMode="External"/><Relationship Id="rId46" Type="http://schemas.openxmlformats.org/officeDocument/2006/relationships/hyperlink" Target="https://www.youtube.com/watch?v=aU14xbyQZN4&amp;ab_channel=AcessoSa%C3%BAdeePerformance" TargetMode="External"/><Relationship Id="rId45" Type="http://schemas.openxmlformats.org/officeDocument/2006/relationships/hyperlink" Target="https://www.youtube.com/watch?v=Gsk6UnZj0-A&amp;ab_channel=BRUNORABELO" TargetMode="External"/><Relationship Id="rId107" Type="http://schemas.openxmlformats.org/officeDocument/2006/relationships/hyperlink" Target="https://www.youtube.com/shorts/BQ1yXM2J5Vs" TargetMode="External"/><Relationship Id="rId106" Type="http://schemas.openxmlformats.org/officeDocument/2006/relationships/hyperlink" Target="https://www.youtube.com/watch?v=k2UtDH8PBhA" TargetMode="External"/><Relationship Id="rId105" Type="http://schemas.openxmlformats.org/officeDocument/2006/relationships/hyperlink" Target="https://www.youtube.com/watch?v=n0gE2shdzcA" TargetMode="External"/><Relationship Id="rId104" Type="http://schemas.openxmlformats.org/officeDocument/2006/relationships/hyperlink" Target="https://www.youtube.com/watch?v=ZB-3ROMTEg4&amp;ab_channel=CloudGym" TargetMode="External"/><Relationship Id="rId109" Type="http://schemas.openxmlformats.org/officeDocument/2006/relationships/hyperlink" Target="https://www.youtube.com/watch?v=_QWb5heCfjE&amp;ab_channel=CrossOpenOficial" TargetMode="External"/><Relationship Id="rId108" Type="http://schemas.openxmlformats.org/officeDocument/2006/relationships/hyperlink" Target="https://www.youtube.com/watch?v=cT5_GyOXIgE" TargetMode="External"/><Relationship Id="rId48" Type="http://schemas.openxmlformats.org/officeDocument/2006/relationships/hyperlink" Target="https://www.youtube.com/watch?v=TWsEnefYd44&amp;ab_channel=CloudGym" TargetMode="External"/><Relationship Id="rId47" Type="http://schemas.openxmlformats.org/officeDocument/2006/relationships/hyperlink" Target="https://www.youtube.com/watch?v=0PZItOvQjBU&amp;ab_channel=MarcosAlves" TargetMode="External"/><Relationship Id="rId49" Type="http://schemas.openxmlformats.org/officeDocument/2006/relationships/hyperlink" Target="https://www.youtube.com/shorts/hjUuSB6QjSM" TargetMode="External"/><Relationship Id="rId103" Type="http://schemas.openxmlformats.org/officeDocument/2006/relationships/hyperlink" Target="https://www.youtube.com/watch?v=qUJfyM5hQEY" TargetMode="External"/><Relationship Id="rId102" Type="http://schemas.openxmlformats.org/officeDocument/2006/relationships/hyperlink" Target="https://www.youtube.com/watch?v=lqkY-rU_UTQ" TargetMode="External"/><Relationship Id="rId101" Type="http://schemas.openxmlformats.org/officeDocument/2006/relationships/hyperlink" Target="https://www.youtube.com/watch?v=hMY9E-qy20k&amp;ab_channel=MyTrainingPRO" TargetMode="External"/><Relationship Id="rId100" Type="http://schemas.openxmlformats.org/officeDocument/2006/relationships/hyperlink" Target="https://www.youtube.com/watch?v=zn8e8NhYPLI" TargetMode="External"/><Relationship Id="rId31" Type="http://schemas.openxmlformats.org/officeDocument/2006/relationships/hyperlink" Target="https://www.youtube.com/watch?v=xKG2t33G96c&amp;ab_channel=DiogenesPersonal" TargetMode="External"/><Relationship Id="rId30" Type="http://schemas.openxmlformats.org/officeDocument/2006/relationships/hyperlink" Target="https://www.youtube.com/watch?v=-txSmuNw51Y" TargetMode="External"/><Relationship Id="rId33" Type="http://schemas.openxmlformats.org/officeDocument/2006/relationships/hyperlink" Target="https://www.youtube.com/watch?v=ncR572Iq5mc&amp;ab_channel=PedroNogueira" TargetMode="External"/><Relationship Id="rId32" Type="http://schemas.openxmlformats.org/officeDocument/2006/relationships/hyperlink" Target="https://www.youtube.com/watch?v=qfVOU5SffxM" TargetMode="External"/><Relationship Id="rId35" Type="http://schemas.openxmlformats.org/officeDocument/2006/relationships/hyperlink" Target="https://www.youtube.com/watch?v=IYi2bnAYWq0&amp;ab_channel=AcessoSa%C3%BAdeePerformance" TargetMode="External"/><Relationship Id="rId34" Type="http://schemas.openxmlformats.org/officeDocument/2006/relationships/hyperlink" Target="https://www.youtube.com/watch?v=CmQ7XQXcFZg" TargetMode="External"/><Relationship Id="rId37" Type="http://schemas.openxmlformats.org/officeDocument/2006/relationships/hyperlink" Target="https://www.youtube.com/watch?v=w6_jyJeVJrQ" TargetMode="External"/><Relationship Id="rId36" Type="http://schemas.openxmlformats.org/officeDocument/2006/relationships/hyperlink" Target="https://www.youtube.com/watch?v=3K7iSpMydmU" TargetMode="External"/><Relationship Id="rId39" Type="http://schemas.openxmlformats.org/officeDocument/2006/relationships/hyperlink" Target="https://www.youtube.com/watch?v=IMYFbHr1O9E&amp;ab_channel=MetafitAcademiaNogueira" TargetMode="External"/><Relationship Id="rId38" Type="http://schemas.openxmlformats.org/officeDocument/2006/relationships/hyperlink" Target="https://www.youtube.com/watch?v=Fze5dpzM-cc&amp;ab_channel=AcessoSa%C3%BAdeePerformance" TargetMode="External"/><Relationship Id="rId20" Type="http://schemas.openxmlformats.org/officeDocument/2006/relationships/hyperlink" Target="https://www.youtube.com/watch?v=FhwuM3VjAEs" TargetMode="External"/><Relationship Id="rId22" Type="http://schemas.openxmlformats.org/officeDocument/2006/relationships/hyperlink" Target="https://www.youtube.com/watch?v=ZVr9oxya9ks&amp;ab_channel=GoLiveConsultoriaFitness" TargetMode="External"/><Relationship Id="rId21" Type="http://schemas.openxmlformats.org/officeDocument/2006/relationships/hyperlink" Target="https://www.youtube.com/watch?v=hlH9c3N7q7o" TargetMode="External"/><Relationship Id="rId24" Type="http://schemas.openxmlformats.org/officeDocument/2006/relationships/hyperlink" Target="https://www.youtube.com/watch?v=lAwcPh307qY" TargetMode="External"/><Relationship Id="rId23" Type="http://schemas.openxmlformats.org/officeDocument/2006/relationships/hyperlink" Target="https://www.youtube.com/watch?v=IWv6yR3_IYE" TargetMode="External"/><Relationship Id="rId129" Type="http://schemas.openxmlformats.org/officeDocument/2006/relationships/hyperlink" Target="https://www.youtube.com/watch?v=pQE8R8H9c-E&amp;ab_channel=CinesioPro" TargetMode="External"/><Relationship Id="rId128" Type="http://schemas.openxmlformats.org/officeDocument/2006/relationships/hyperlink" Target="https://www.youtube.com/shorts/90_d-DsrOkE" TargetMode="External"/><Relationship Id="rId127" Type="http://schemas.openxmlformats.org/officeDocument/2006/relationships/hyperlink" Target="https://www.youtube.com/shorts/mcUpjlWlGZY" TargetMode="External"/><Relationship Id="rId126" Type="http://schemas.openxmlformats.org/officeDocument/2006/relationships/hyperlink" Target="https://www.youtube.com/shorts/b5RkrNs_EGM" TargetMode="External"/><Relationship Id="rId26" Type="http://schemas.openxmlformats.org/officeDocument/2006/relationships/hyperlink" Target="https://www.youtube.com/watch?v=_tzNDF-0HFE" TargetMode="External"/><Relationship Id="rId121" Type="http://schemas.openxmlformats.org/officeDocument/2006/relationships/hyperlink" Target="https://www.youtube.com/shorts/ihm2nvsgKSM" TargetMode="External"/><Relationship Id="rId25" Type="http://schemas.openxmlformats.org/officeDocument/2006/relationships/hyperlink" Target="https://www.youtube.com/watch?v=73RM_iOmgk4" TargetMode="External"/><Relationship Id="rId120" Type="http://schemas.openxmlformats.org/officeDocument/2006/relationships/hyperlink" Target="https://www.youtube.com/shorts/LZ_Uv8WcGeo" TargetMode="External"/><Relationship Id="rId28" Type="http://schemas.openxmlformats.org/officeDocument/2006/relationships/hyperlink" Target="https://www.youtube.com/watch?v=o2LfBH1I8r8&amp;ab_channel=MyTrainingPRO" TargetMode="External"/><Relationship Id="rId27" Type="http://schemas.openxmlformats.org/officeDocument/2006/relationships/hyperlink" Target="https://www.youtube.com/watch?v=8OylwuOodgo" TargetMode="External"/><Relationship Id="rId125" Type="http://schemas.openxmlformats.org/officeDocument/2006/relationships/hyperlink" Target="https://www.youtube.com/watch?v=aMpBcqian_s" TargetMode="External"/><Relationship Id="rId29" Type="http://schemas.openxmlformats.org/officeDocument/2006/relationships/hyperlink" Target="https://www.youtube.com/watch?v=jcQCfZ3saUo&amp;ab_channel=4NutritionOficial" TargetMode="External"/><Relationship Id="rId124" Type="http://schemas.openxmlformats.org/officeDocument/2006/relationships/hyperlink" Target="https://www.youtube.com/shorts/qc1imAzPk5s" TargetMode="External"/><Relationship Id="rId123" Type="http://schemas.openxmlformats.org/officeDocument/2006/relationships/hyperlink" Target="https://www.youtube.com/shorts/MHyv4Eiod5c" TargetMode="External"/><Relationship Id="rId122" Type="http://schemas.openxmlformats.org/officeDocument/2006/relationships/hyperlink" Target="https://www.youtube.com/shorts/2gdz0ezBSbU" TargetMode="External"/><Relationship Id="rId95" Type="http://schemas.openxmlformats.org/officeDocument/2006/relationships/hyperlink" Target="https://www.youtube.com/watch?v=GQr90DLBHuU" TargetMode="External"/><Relationship Id="rId94" Type="http://schemas.openxmlformats.org/officeDocument/2006/relationships/hyperlink" Target="https://www.youtube.com/watch?v=c63ny-K72AM" TargetMode="External"/><Relationship Id="rId97" Type="http://schemas.openxmlformats.org/officeDocument/2006/relationships/hyperlink" Target="https://www.youtube.com/watch?v=fDecNfPreTw" TargetMode="External"/><Relationship Id="rId96" Type="http://schemas.openxmlformats.org/officeDocument/2006/relationships/hyperlink" Target="https://www.youtube.com/watch?v=fDecNfPreTw" TargetMode="External"/><Relationship Id="rId11" Type="http://schemas.openxmlformats.org/officeDocument/2006/relationships/hyperlink" Target="https://www.youtube.com/watch?v=oVIzHQOE4-0" TargetMode="External"/><Relationship Id="rId99" Type="http://schemas.openxmlformats.org/officeDocument/2006/relationships/hyperlink" Target="https://www.youtube.com/watch?v=Yo2PeAt3Z-g" TargetMode="External"/><Relationship Id="rId10" Type="http://schemas.openxmlformats.org/officeDocument/2006/relationships/hyperlink" Target="https://www.youtube.com/watch?v=h2Etkvq5OZs&amp;ab_channel=TreinoCorreto" TargetMode="External"/><Relationship Id="rId98" Type="http://schemas.openxmlformats.org/officeDocument/2006/relationships/hyperlink" Target="https://www.youtube.com/watch?v=T55wncAz1tM" TargetMode="External"/><Relationship Id="rId13" Type="http://schemas.openxmlformats.org/officeDocument/2006/relationships/hyperlink" Target="https://www.youtube.com/watch?v=Kki52we6xsk&amp;ab_channel=Let%C3%ADciaAlvesPersonalTrainer" TargetMode="External"/><Relationship Id="rId12" Type="http://schemas.openxmlformats.org/officeDocument/2006/relationships/hyperlink" Target="https://www.youtube.com/watch?v=fzofRJAufTs" TargetMode="External"/><Relationship Id="rId91" Type="http://schemas.openxmlformats.org/officeDocument/2006/relationships/hyperlink" Target="https://www.youtube.com/watch?v=FnrGqZSJtFg&amp;ab_channel=TreinoCorreto" TargetMode="External"/><Relationship Id="rId90" Type="http://schemas.openxmlformats.org/officeDocument/2006/relationships/hyperlink" Target="https://www.youtube.com/shorts/HwrvCBMHzE0" TargetMode="External"/><Relationship Id="rId93" Type="http://schemas.openxmlformats.org/officeDocument/2006/relationships/hyperlink" Target="https://www.youtube.com/watch?v=8Ko6fh_BhkE&amp;ab_channel=FisicAcademia" TargetMode="External"/><Relationship Id="rId92" Type="http://schemas.openxmlformats.org/officeDocument/2006/relationships/hyperlink" Target="https://www.youtube.com/watch?v=rx6Mp3l4KXM&amp;ab_channel=FisicAcademia" TargetMode="External"/><Relationship Id="rId118" Type="http://schemas.openxmlformats.org/officeDocument/2006/relationships/hyperlink" Target="https://www.youtube.com/watch?v=iiJcBBucUp4&amp;ab_channel=UnderTrackCenter" TargetMode="External"/><Relationship Id="rId117" Type="http://schemas.openxmlformats.org/officeDocument/2006/relationships/hyperlink" Target="https://www.youtube.com/shorts/tY48_hQHfuk" TargetMode="External"/><Relationship Id="rId116" Type="http://schemas.openxmlformats.org/officeDocument/2006/relationships/hyperlink" Target="https://www.youtube.com/watch?v=auBLPXO8Fww&amp;ab_channel=CrossFit" TargetMode="External"/><Relationship Id="rId115" Type="http://schemas.openxmlformats.org/officeDocument/2006/relationships/hyperlink" Target="https://www.youtube.com/shorts/z1PN3Ct-2Ww" TargetMode="External"/><Relationship Id="rId119" Type="http://schemas.openxmlformats.org/officeDocument/2006/relationships/hyperlink" Target="https://youtu.be/gC5WDrdXzMQ?feature=shared" TargetMode="External"/><Relationship Id="rId15" Type="http://schemas.openxmlformats.org/officeDocument/2006/relationships/hyperlink" Target="https://www.youtube.com/watch?v=krVa7y6KKLc&amp;ab_channel=EstelaAlto%C3%A9" TargetMode="External"/><Relationship Id="rId110" Type="http://schemas.openxmlformats.org/officeDocument/2006/relationships/hyperlink" Target="https://www.youtube.com/shorts/dy-RfrEBzxU" TargetMode="External"/><Relationship Id="rId14" Type="http://schemas.openxmlformats.org/officeDocument/2006/relationships/hyperlink" Target="https://www.youtube.com/watch?v=bceruIjFAZ0&amp;ab_channel=DillDinizBodyHealthy" TargetMode="External"/><Relationship Id="rId17" Type="http://schemas.openxmlformats.org/officeDocument/2006/relationships/hyperlink" Target="https://www.youtube.com/shorts/UYWz_zrVIwM" TargetMode="External"/><Relationship Id="rId16" Type="http://schemas.openxmlformats.org/officeDocument/2006/relationships/hyperlink" Target="https://www.youtube.com/watch?v=nCIfBeO8bK8" TargetMode="External"/><Relationship Id="rId19" Type="http://schemas.openxmlformats.org/officeDocument/2006/relationships/hyperlink" Target="https://www.youtube.com/watch?v=svne6eikuek" TargetMode="External"/><Relationship Id="rId114" Type="http://schemas.openxmlformats.org/officeDocument/2006/relationships/hyperlink" Target="https://www.youtube.com/shorts/vSCbZwkoYcY" TargetMode="External"/><Relationship Id="rId18" Type="http://schemas.openxmlformats.org/officeDocument/2006/relationships/hyperlink" Target="https://www.youtube.com/watch?v=LwnVvj44g6Y&amp;ab_channel=CloudGym" TargetMode="External"/><Relationship Id="rId113" Type="http://schemas.openxmlformats.org/officeDocument/2006/relationships/hyperlink" Target="https://www.youtube.com/shorts/dy-RfrEBzxU" TargetMode="External"/><Relationship Id="rId112" Type="http://schemas.openxmlformats.org/officeDocument/2006/relationships/hyperlink" Target="https://www.youtube.com/shorts/OqlnDwp1PEc" TargetMode="External"/><Relationship Id="rId111" Type="http://schemas.openxmlformats.org/officeDocument/2006/relationships/hyperlink" Target="https://www.youtube.com/shorts/2gdz0ezBSbU" TargetMode="External"/><Relationship Id="rId84" Type="http://schemas.openxmlformats.org/officeDocument/2006/relationships/hyperlink" Target="https://www.youtube.com/watch?v=xoQyfNQmbII" TargetMode="External"/><Relationship Id="rId83" Type="http://schemas.openxmlformats.org/officeDocument/2006/relationships/hyperlink" Target="https://www.youtube.com/watch?v=pZaYFAQ4iXE" TargetMode="External"/><Relationship Id="rId86" Type="http://schemas.openxmlformats.org/officeDocument/2006/relationships/hyperlink" Target="https://www.youtube.com/watch?v=Zs_ouM2Hls8" TargetMode="External"/><Relationship Id="rId85" Type="http://schemas.openxmlformats.org/officeDocument/2006/relationships/hyperlink" Target="https://www.youtube.com/watch?v=qDnkwCak8dY" TargetMode="External"/><Relationship Id="rId88" Type="http://schemas.openxmlformats.org/officeDocument/2006/relationships/hyperlink" Target="https://www.youtube.com/watch?v=5vPGH1uTtbs&amp;ab_channel=MyTrainingPRO" TargetMode="External"/><Relationship Id="rId150" Type="http://schemas.openxmlformats.org/officeDocument/2006/relationships/hyperlink" Target="https://www.youtube.com/watch?v=a9mVsf9-hOs&amp;ab_channel=VictorAlves-FisioterapiaEsportiva" TargetMode="External"/><Relationship Id="rId87" Type="http://schemas.openxmlformats.org/officeDocument/2006/relationships/hyperlink" Target="https://www.youtube.com/watch?v=Os0CbdSre6I&amp;ab_channel=TreinoCorreto" TargetMode="External"/><Relationship Id="rId89" Type="http://schemas.openxmlformats.org/officeDocument/2006/relationships/hyperlink" Target="https://www.youtube.com/watch?v=A5mR54wS3sM" TargetMode="External"/><Relationship Id="rId80" Type="http://schemas.openxmlformats.org/officeDocument/2006/relationships/hyperlink" Target="https://www.youtube.com/watch?v=-wDGlBM12ME" TargetMode="External"/><Relationship Id="rId82" Type="http://schemas.openxmlformats.org/officeDocument/2006/relationships/hyperlink" Target="https://www.youtube.com/watch?v=EZq1W-9BvSE" TargetMode="External"/><Relationship Id="rId81" Type="http://schemas.openxmlformats.org/officeDocument/2006/relationships/hyperlink" Target="https://www.youtube.com/watch?v=mWtLSTGH_TQ&amp;ab_channel=MuriloPereira" TargetMode="External"/><Relationship Id="rId1" Type="http://schemas.openxmlformats.org/officeDocument/2006/relationships/hyperlink" Target="https://www.youtube.com/watch?v=b0HQ_YahhIw" TargetMode="External"/><Relationship Id="rId2" Type="http://schemas.openxmlformats.org/officeDocument/2006/relationships/hyperlink" Target="https://www.youtube.com/watch?v=9EYiA8gbnRA&amp;ab_channel=EXECU%C3%87%C3%83ODEEXERC%C3%8DCIOS" TargetMode="External"/><Relationship Id="rId3" Type="http://schemas.openxmlformats.org/officeDocument/2006/relationships/hyperlink" Target="https://www.youtube.com/watch?v=OsRjsjeqQkE" TargetMode="External"/><Relationship Id="rId149" Type="http://schemas.openxmlformats.org/officeDocument/2006/relationships/hyperlink" Target="https://www.youtube.com/shorts/du4mFj-8qdM" TargetMode="External"/><Relationship Id="rId4" Type="http://schemas.openxmlformats.org/officeDocument/2006/relationships/hyperlink" Target="https://www.youtube.com/watch?v=AcOd9heDh0M&amp;ab_channel=AcessoSa%C3%BAdeePerformance" TargetMode="External"/><Relationship Id="rId148" Type="http://schemas.openxmlformats.org/officeDocument/2006/relationships/hyperlink" Target="https://www.youtube.com/shorts/W-XYD2e_3C8" TargetMode="External"/><Relationship Id="rId9" Type="http://schemas.openxmlformats.org/officeDocument/2006/relationships/hyperlink" Target="https://www.youtube.com/watch?v=lEfJvTBeVOw&amp;ab_channel=GoLiveConsultoriaFitness" TargetMode="External"/><Relationship Id="rId143" Type="http://schemas.openxmlformats.org/officeDocument/2006/relationships/hyperlink" Target="https://www.youtube.com/watch?v=scQ2_XwPIDM&amp;ab_channel=OttoLeonePersonal" TargetMode="External"/><Relationship Id="rId142" Type="http://schemas.openxmlformats.org/officeDocument/2006/relationships/hyperlink" Target="https://www.youtube.com/shorts/2lP3h0KzLiw" TargetMode="External"/><Relationship Id="rId141" Type="http://schemas.openxmlformats.org/officeDocument/2006/relationships/hyperlink" Target="https://www.youtube.com/watch?v=p6miSld2sGs&amp;ab_channel=DNAPlus" TargetMode="External"/><Relationship Id="rId140" Type="http://schemas.openxmlformats.org/officeDocument/2006/relationships/hyperlink" Target="https://www.youtube.com/shorts/CoGkyFIfrsc" TargetMode="External"/><Relationship Id="rId5" Type="http://schemas.openxmlformats.org/officeDocument/2006/relationships/hyperlink" Target="https://www.youtube.com/watch?v=gL-QzFrjDvE" TargetMode="External"/><Relationship Id="rId147" Type="http://schemas.openxmlformats.org/officeDocument/2006/relationships/hyperlink" Target="https://www.youtube.com/watch?v=KkYOW3jDhoM&amp;ab_channel=MarcusFilly" TargetMode="External"/><Relationship Id="rId6" Type="http://schemas.openxmlformats.org/officeDocument/2006/relationships/hyperlink" Target="https://www.youtube.com/watch?v=V3oi1dMzeqU&amp;ab_channel=EXECU%C3%87%C3%83ODEEXERC%C3%8DCIOS" TargetMode="External"/><Relationship Id="rId146" Type="http://schemas.openxmlformats.org/officeDocument/2006/relationships/hyperlink" Target="https://www.youtube.com/shorts/fjFCtaIFUks" TargetMode="External"/><Relationship Id="rId7" Type="http://schemas.openxmlformats.org/officeDocument/2006/relationships/hyperlink" Target="https://www.youtube.com/watch?v=iUOqq6z0UWU&amp;ab_channel=RedePersonalTrainer" TargetMode="External"/><Relationship Id="rId145" Type="http://schemas.openxmlformats.org/officeDocument/2006/relationships/hyperlink" Target="https://www.youtube.com/shorts/7VuAFdKIgk8" TargetMode="External"/><Relationship Id="rId8" Type="http://schemas.openxmlformats.org/officeDocument/2006/relationships/hyperlink" Target="https://www.youtube.com/shorts/8KwjIcKKJEY" TargetMode="External"/><Relationship Id="rId144" Type="http://schemas.openxmlformats.org/officeDocument/2006/relationships/hyperlink" Target="https://www.youtube.com/watch?v=Kimgp0WGR34&amp;ab_channel=NicolasCastroBrull" TargetMode="External"/><Relationship Id="rId73" Type="http://schemas.openxmlformats.org/officeDocument/2006/relationships/hyperlink" Target="https://www.youtube.com/watch?v=JOXCgIBTzxU&amp;ab_channel=TreinoCorreto" TargetMode="External"/><Relationship Id="rId72" Type="http://schemas.openxmlformats.org/officeDocument/2006/relationships/hyperlink" Target="https://www.youtube.com/watch?v=_Mtelnmyuy8&amp;ab_channel=AcessoSa%C3%BAdeePerformance" TargetMode="External"/><Relationship Id="rId75" Type="http://schemas.openxmlformats.org/officeDocument/2006/relationships/hyperlink" Target="https://www.youtube.com/watch?v=Nh2Xx2XhyYE&amp;ab_channel=4NutritionOficial" TargetMode="External"/><Relationship Id="rId74" Type="http://schemas.openxmlformats.org/officeDocument/2006/relationships/hyperlink" Target="https://www.youtube.com/watch?v=dVU3sRU3HGQ" TargetMode="External"/><Relationship Id="rId77" Type="http://schemas.openxmlformats.org/officeDocument/2006/relationships/hyperlink" Target="https://www.youtube.com/watch?v=FeMAUZAeGpA" TargetMode="External"/><Relationship Id="rId76" Type="http://schemas.openxmlformats.org/officeDocument/2006/relationships/hyperlink" Target="https://www.youtube.com/watch?v=8k281Y-3dUM" TargetMode="External"/><Relationship Id="rId79" Type="http://schemas.openxmlformats.org/officeDocument/2006/relationships/hyperlink" Target="https://www.youtube.com/watch?v=nK7jNqFtacw" TargetMode="External"/><Relationship Id="rId78" Type="http://schemas.openxmlformats.org/officeDocument/2006/relationships/hyperlink" Target="https://www.youtube.com/watch?v=QZD6vq22qJg&amp;ab_channel=MyTrainingPRO" TargetMode="External"/><Relationship Id="rId71" Type="http://schemas.openxmlformats.org/officeDocument/2006/relationships/hyperlink" Target="https://www.youtube.com/watch?v=UcUfmsfrteQ&amp;ab_channel=SuporteSa%C3%BAde" TargetMode="External"/><Relationship Id="rId70" Type="http://schemas.openxmlformats.org/officeDocument/2006/relationships/hyperlink" Target="https://www.youtube.com/watch?v=UcUfmsfrteQ&amp;ab_channel=SuporteSa%C3%BAde" TargetMode="External"/><Relationship Id="rId139" Type="http://schemas.openxmlformats.org/officeDocument/2006/relationships/hyperlink" Target="https://www.youtube.com/shorts/YLsysb5YvmY" TargetMode="External"/><Relationship Id="rId138" Type="http://schemas.openxmlformats.org/officeDocument/2006/relationships/hyperlink" Target="https://www.youtube.com/watch?v=1In6USFzDsw&amp;ab_channel=TreinoCorreto" TargetMode="External"/><Relationship Id="rId137" Type="http://schemas.openxmlformats.org/officeDocument/2006/relationships/hyperlink" Target="https://www.youtube.com/watch?v=D-2ttzZIyPA&amp;ab_channel=GrupoLongevit%C3%A1" TargetMode="External"/><Relationship Id="rId132" Type="http://schemas.openxmlformats.org/officeDocument/2006/relationships/hyperlink" Target="https://www.youtube.com/watch?v=MhSCRCsEktg&amp;ab_channel=ClinitiMovimentoHumano" TargetMode="External"/><Relationship Id="rId131" Type="http://schemas.openxmlformats.org/officeDocument/2006/relationships/hyperlink" Target="https://www.youtube.com/watch?v=3wlD0wrAJ0k&amp;ab_channel=Eric" TargetMode="External"/><Relationship Id="rId130" Type="http://schemas.openxmlformats.org/officeDocument/2006/relationships/hyperlink" Target="https://www.youtube.com/shorts/74t1CvNN5Iw" TargetMode="External"/><Relationship Id="rId136" Type="http://schemas.openxmlformats.org/officeDocument/2006/relationships/hyperlink" Target="https://www.youtube.com/shorts/yMtObsaGMHU" TargetMode="External"/><Relationship Id="rId135" Type="http://schemas.openxmlformats.org/officeDocument/2006/relationships/hyperlink" Target="https://www.youtube.com/watch?v=NVk7h55tHsU&amp;ab_channel=MizaelPereiraPilates" TargetMode="External"/><Relationship Id="rId134" Type="http://schemas.openxmlformats.org/officeDocument/2006/relationships/hyperlink" Target="https://www.youtube.com/shorts/j4wDNkvImVc" TargetMode="External"/><Relationship Id="rId133" Type="http://schemas.openxmlformats.org/officeDocument/2006/relationships/hyperlink" Target="https://www.youtube.com/shorts/s_tp1a_yZFI" TargetMode="External"/><Relationship Id="rId62" Type="http://schemas.openxmlformats.org/officeDocument/2006/relationships/hyperlink" Target="https://www.youtube.com/watch?app=desktop&amp;v=PuqGqrkNjuo&amp;ab_channel=LuisDiasTreinador" TargetMode="External"/><Relationship Id="rId61" Type="http://schemas.openxmlformats.org/officeDocument/2006/relationships/hyperlink" Target="https://www.youtube.com/watch?v=ZVhI3KRVkJU" TargetMode="External"/><Relationship Id="rId64" Type="http://schemas.openxmlformats.org/officeDocument/2006/relationships/hyperlink" Target="https://youtube.com/shorts/IwgLZfrgiJ8?feature=share" TargetMode="External"/><Relationship Id="rId63" Type="http://schemas.openxmlformats.org/officeDocument/2006/relationships/hyperlink" Target="https://www.youtube.com/watch?v=qh7KaN8FRZk&amp;ab_channel=FisicAcademia" TargetMode="External"/><Relationship Id="rId66" Type="http://schemas.openxmlformats.org/officeDocument/2006/relationships/hyperlink" Target="https://www.youtube.com/watch?app=desktop&amp;v=JHEzkSZfGFE&amp;ab_channel=FisicAcademia" TargetMode="External"/><Relationship Id="rId65" Type="http://schemas.openxmlformats.org/officeDocument/2006/relationships/hyperlink" Target="https://www.youtube.com/watch?app=desktop&amp;v=M1WdayPrL9M&amp;ab_channel=MatheusPersonalNutri" TargetMode="External"/><Relationship Id="rId68" Type="http://schemas.openxmlformats.org/officeDocument/2006/relationships/hyperlink" Target="https://www.youtube.com/watch?v=aPhesY3Z0RI&amp;t=1s&amp;ab_channel=MyTrainingPRO" TargetMode="External"/><Relationship Id="rId67" Type="http://schemas.openxmlformats.org/officeDocument/2006/relationships/hyperlink" Target="https://www.youtube.com/watch?v=ODeJeMrib_Y" TargetMode="External"/><Relationship Id="rId60" Type="http://schemas.openxmlformats.org/officeDocument/2006/relationships/hyperlink" Target="https://www.youtube.com/watch?v=0S5ZFH1ZXIk" TargetMode="External"/><Relationship Id="rId69" Type="http://schemas.openxmlformats.org/officeDocument/2006/relationships/hyperlink" Target="https://www.youtube.com/watch?v=_EVWlFF6isM" TargetMode="External"/><Relationship Id="rId51" Type="http://schemas.openxmlformats.org/officeDocument/2006/relationships/hyperlink" Target="https://www.youtube.com/watch?v=zK5P-I1UQVc" TargetMode="External"/><Relationship Id="rId50" Type="http://schemas.openxmlformats.org/officeDocument/2006/relationships/hyperlink" Target="https://www.youtube.com/watch?v=6sSivxVgsS4" TargetMode="External"/><Relationship Id="rId53" Type="http://schemas.openxmlformats.org/officeDocument/2006/relationships/hyperlink" Target="https://www.youtube.com/watch?v=comObBAaUjc&amp;ab_channel=FisicAcademia" TargetMode="External"/><Relationship Id="rId52" Type="http://schemas.openxmlformats.org/officeDocument/2006/relationships/hyperlink" Target="https://www.youtube.com/watch?v=1D9x_U6PkY8&amp;ab_channel=MyTrainingPRO" TargetMode="External"/><Relationship Id="rId55" Type="http://schemas.openxmlformats.org/officeDocument/2006/relationships/hyperlink" Target="https://www.youtube.com/watch?v=2vGqIvWl35M" TargetMode="External"/><Relationship Id="rId54" Type="http://schemas.openxmlformats.org/officeDocument/2006/relationships/hyperlink" Target="https://www.youtube.com/watch?v=7XYIrBg9n7o" TargetMode="External"/><Relationship Id="rId57" Type="http://schemas.openxmlformats.org/officeDocument/2006/relationships/hyperlink" Target="https://www.youtube.com/watch?v=wFf6OZF_jcQ" TargetMode="External"/><Relationship Id="rId56" Type="http://schemas.openxmlformats.org/officeDocument/2006/relationships/hyperlink" Target="https://www.youtube.com/watch?v=thWCfX407QY&amp;ab_channel=EricMiyamoto" TargetMode="External"/><Relationship Id="rId59" Type="http://schemas.openxmlformats.org/officeDocument/2006/relationships/hyperlink" Target="https://www.youtube.com/watch?v=Mpsq-Fy7lJE&amp;ab_channel=FisicAcademia" TargetMode="External"/><Relationship Id="rId58" Type="http://schemas.openxmlformats.org/officeDocument/2006/relationships/hyperlink" Target="https://www.youtube.com/watch?v=hkEp2LNjuLM" TargetMode="External"/><Relationship Id="rId153" Type="http://schemas.openxmlformats.org/officeDocument/2006/relationships/drawing" Target="../drawings/drawing13.xml"/><Relationship Id="rId152" Type="http://schemas.openxmlformats.org/officeDocument/2006/relationships/hyperlink" Target="https://www.youtube.com/watch?v=zT-9L3CEcmk&amp;ab_channel=LivestrongWoman" TargetMode="External"/><Relationship Id="rId151" Type="http://schemas.openxmlformats.org/officeDocument/2006/relationships/hyperlink" Target="https://www.youtube.com/watch?v=PGyrgckWxHc&amp;ab_channel=MarcioCorchs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1.0"/>
    <col customWidth="1" min="3" max="3" width="9.43"/>
    <col customWidth="1" min="4" max="4" width="20.29"/>
    <col customWidth="1" min="5" max="5" width="23.86"/>
    <col customWidth="1" min="6" max="7" width="1.0"/>
  </cols>
  <sheetData>
    <row r="1" ht="6.0" customHeight="1">
      <c r="A1" s="1"/>
      <c r="B1" s="1"/>
      <c r="C1" s="2"/>
      <c r="D1" s="3"/>
      <c r="E1" s="3"/>
      <c r="F1" s="1"/>
      <c r="G1" s="1"/>
    </row>
    <row r="2" ht="15.75" customHeight="1">
      <c r="A2" s="1"/>
      <c r="B2" s="4"/>
      <c r="C2" s="5"/>
      <c r="D2" s="6"/>
      <c r="E2" s="7" t="str">
        <f>'Dados de Base'!G2</f>
        <v>Claudinei Gasparoto</v>
      </c>
      <c r="F2" s="8"/>
      <c r="G2" s="9"/>
    </row>
    <row r="3" ht="15.75" customHeight="1">
      <c r="A3" s="1"/>
      <c r="B3" s="4"/>
      <c r="C3" s="5"/>
      <c r="D3" s="6"/>
      <c r="E3" s="10" t="str">
        <f>'Dados de Base'!G3</f>
        <v>Planilha 37</v>
      </c>
      <c r="F3" s="8"/>
      <c r="G3" s="9"/>
    </row>
    <row r="4" ht="6.0" customHeight="1">
      <c r="A4" s="1"/>
      <c r="B4" s="4"/>
      <c r="C4" s="5"/>
      <c r="D4" s="11"/>
      <c r="E4" s="11"/>
      <c r="F4" s="8"/>
      <c r="G4" s="9"/>
    </row>
    <row r="5" ht="45.75" customHeight="1">
      <c r="A5" s="12"/>
      <c r="B5" s="13"/>
      <c r="C5" s="14" t="s">
        <v>0</v>
      </c>
      <c r="D5" s="15" t="s">
        <v>1</v>
      </c>
      <c r="E5" s="16" t="s">
        <v>2</v>
      </c>
      <c r="F5" s="17"/>
      <c r="G5" s="18"/>
    </row>
    <row r="6" ht="45.0" customHeight="1">
      <c r="A6" s="12"/>
      <c r="B6" s="19"/>
      <c r="C6" s="20">
        <v>1.0</v>
      </c>
      <c r="D6" s="21" t="str">
        <f t="shared" ref="D6:D10" si="1">"De "&amp;TEXT(G6,"dd/mm")&amp;" a "&amp;TEXT(G6+6,"dd/mm")</f>
        <v>De 12/01 a 18/01</v>
      </c>
      <c r="E6" s="22"/>
      <c r="F6" s="17"/>
      <c r="G6" s="23">
        <f>Montagem!$C$12</f>
        <v>46034</v>
      </c>
    </row>
    <row r="7" ht="45.0" customHeight="1">
      <c r="A7" s="12"/>
      <c r="B7" s="19"/>
      <c r="C7" s="20">
        <v>2.0</v>
      </c>
      <c r="D7" s="21" t="str">
        <f t="shared" si="1"/>
        <v>De 19/01 a 25/01</v>
      </c>
      <c r="E7" s="22"/>
      <c r="F7" s="17"/>
      <c r="G7" s="23">
        <f>Montagem!$C$62</f>
        <v>46041</v>
      </c>
    </row>
    <row r="8" ht="45.0" customHeight="1">
      <c r="A8" s="12"/>
      <c r="B8" s="19"/>
      <c r="C8" s="20">
        <v>3.0</v>
      </c>
      <c r="D8" s="21" t="str">
        <f t="shared" si="1"/>
        <v>De 26/01 a 01/02</v>
      </c>
      <c r="E8" s="22"/>
      <c r="F8" s="17"/>
      <c r="G8" s="23">
        <f>Montagem!$C$112</f>
        <v>46048</v>
      </c>
    </row>
    <row r="9" ht="45.0" customHeight="1">
      <c r="A9" s="12"/>
      <c r="B9" s="19"/>
      <c r="C9" s="20">
        <v>4.0</v>
      </c>
      <c r="D9" s="21" t="str">
        <f t="shared" si="1"/>
        <v>De 02/02 a 08/02</v>
      </c>
      <c r="E9" s="22"/>
      <c r="F9" s="17"/>
      <c r="G9" s="23">
        <f>Montagem!$C$162</f>
        <v>46055</v>
      </c>
    </row>
    <row r="10" ht="45.0" customHeight="1">
      <c r="A10" s="12"/>
      <c r="B10" s="19"/>
      <c r="C10" s="24">
        <v>5.0</v>
      </c>
      <c r="D10" s="25" t="str">
        <f t="shared" si="1"/>
        <v>De 09/02 a 15/02</v>
      </c>
      <c r="E10" s="26"/>
      <c r="F10" s="17"/>
      <c r="G10" s="23">
        <f>Montagem!$C$212</f>
        <v>46062</v>
      </c>
    </row>
    <row r="11" ht="15.75" customHeight="1">
      <c r="A11" s="1"/>
      <c r="B11" s="27"/>
      <c r="C11" s="28" t="s">
        <v>3</v>
      </c>
      <c r="D11" s="29"/>
      <c r="E11" s="30" t="s">
        <v>4</v>
      </c>
      <c r="F11" s="29"/>
      <c r="G11" s="31"/>
    </row>
    <row r="12" ht="15.75" customHeight="1">
      <c r="A12" s="32"/>
      <c r="B12" s="32"/>
      <c r="C12" s="33"/>
      <c r="D12" s="34"/>
      <c r="E12" s="34"/>
      <c r="F12" s="34"/>
      <c r="G12" s="34"/>
    </row>
  </sheetData>
  <hyperlinks>
    <hyperlink display="" location="'Semana 1'!A1" ref="E6"/>
    <hyperlink display="" location="'Semana 2'!A1" ref="E7"/>
    <hyperlink display="" location="'Semana 3'!A1" ref="E8"/>
    <hyperlink display="" location="'Semana 4'!A1" ref="E9"/>
    <hyperlink display="" location="'Semana 5'!A1" ref="E10"/>
    <hyperlink display="Área do professor" location="Montagem!A1" ref="C11"/>
  </hyperlinks>
  <printOptions/>
  <pageMargins bottom="0.393700787401575" footer="0.0" header="0.0" left="0.393700787401575" right="0.393700787401575" top="0.3937007874015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86"/>
    <col customWidth="1" min="3" max="3" width="11.14"/>
    <col customWidth="1" min="4" max="4" width="10.29"/>
    <col customWidth="1" min="5" max="6" width="4.86"/>
    <col customWidth="1" min="7" max="7" width="4.57"/>
    <col customWidth="1" min="8" max="9" width="1.86"/>
    <col customWidth="1" min="10" max="10" width="5.57"/>
    <col customWidth="1" hidden="1" min="11" max="11" width="4.14"/>
    <col customWidth="1" hidden="1" min="12" max="14" width="3.57"/>
    <col customWidth="1" hidden="1" min="15" max="15" width="4.29"/>
    <col customWidth="1" hidden="1" min="16" max="16" width="3.57"/>
    <col customWidth="1" min="17" max="17" width="0.43"/>
    <col customWidth="1" min="18" max="19" width="9.86"/>
    <col customWidth="1" min="20" max="20" width="11.14"/>
    <col customWidth="1" min="21" max="21" width="10.29"/>
    <col customWidth="1" min="22" max="23" width="4.86"/>
    <col customWidth="1" min="24" max="24" width="4.57"/>
    <col customWidth="1" min="25" max="26" width="1.86"/>
    <col customWidth="1" min="27" max="27" width="5.57"/>
    <col customWidth="1" hidden="1" min="28" max="31" width="3.57"/>
    <col customWidth="1" hidden="1" min="32" max="32" width="4.86"/>
    <col customWidth="1" hidden="1" min="33" max="33" width="3.57"/>
    <col customWidth="1" min="34" max="34" width="0.43"/>
    <col customWidth="1" min="35" max="36" width="9.86"/>
    <col customWidth="1" min="37" max="37" width="11.14"/>
    <col customWidth="1" min="38" max="38" width="10.29"/>
    <col customWidth="1" min="39" max="40" width="4.86"/>
    <col customWidth="1" min="41" max="41" width="4.57"/>
    <col customWidth="1" min="42" max="43" width="1.86"/>
    <col customWidth="1" min="44" max="44" width="5.57"/>
    <col customWidth="1" hidden="1" min="45" max="48" width="3.57"/>
    <col customWidth="1" hidden="1" min="49" max="49" width="4.14"/>
    <col customWidth="1" hidden="1" min="50" max="50" width="3.57"/>
    <col customWidth="1" min="51" max="51" width="0.43"/>
    <col customWidth="1" min="52" max="53" width="9.86"/>
    <col customWidth="1" min="54" max="54" width="11.14"/>
    <col customWidth="1" min="55" max="55" width="10.29"/>
    <col customWidth="1" min="56" max="57" width="4.86"/>
    <col customWidth="1" min="58" max="58" width="4.57"/>
    <col customWidth="1" min="59" max="60" width="1.86"/>
    <col customWidth="1" min="61" max="61" width="5.57"/>
    <col customWidth="1" hidden="1" min="62" max="65" width="3.57"/>
    <col customWidth="1" hidden="1" min="66" max="66" width="5.57"/>
    <col customWidth="1" hidden="1" min="67" max="67" width="3.57"/>
    <col customWidth="1" min="68" max="68" width="0.43"/>
    <col customWidth="1" min="69" max="70" width="9.86"/>
    <col customWidth="1" min="71" max="71" width="11.14"/>
    <col customWidth="1" min="72" max="72" width="10.29"/>
    <col customWidth="1" min="73" max="74" width="4.86"/>
    <col customWidth="1" min="75" max="75" width="4.57"/>
    <col customWidth="1" min="76" max="77" width="1.86"/>
    <col customWidth="1" min="78" max="78" width="5.57"/>
    <col customWidth="1" hidden="1" min="79" max="82" width="3.57"/>
    <col customWidth="1" hidden="1" min="83" max="83" width="4.86"/>
    <col customWidth="1" hidden="1" min="84" max="84" width="3.57"/>
    <col customWidth="1" min="85" max="85" width="0.43"/>
    <col customWidth="1" min="86" max="87" width="9.86"/>
    <col customWidth="1" min="88" max="88" width="11.14"/>
    <col customWidth="1" min="89" max="89" width="10.29"/>
    <col customWidth="1" min="90" max="91" width="4.86"/>
    <col customWidth="1" min="92" max="92" width="4.57"/>
    <col customWidth="1" min="93" max="94" width="1.86"/>
    <col customWidth="1" min="95" max="95" width="5.57"/>
    <col customWidth="1" hidden="1" min="96" max="99" width="3.57"/>
    <col customWidth="1" hidden="1" min="100" max="100" width="4.29"/>
    <col customWidth="1" hidden="1" min="101" max="101" width="3.57"/>
    <col customWidth="1" min="102" max="102" width="0.43"/>
    <col customWidth="1" min="103" max="104" width="9.86"/>
    <col customWidth="1" min="105" max="105" width="11.14"/>
    <col customWidth="1" min="106" max="106" width="10.29"/>
    <col customWidth="1" min="107" max="108" width="4.86"/>
    <col customWidth="1" min="109" max="109" width="4.57"/>
    <col customWidth="1" min="110" max="111" width="1.86"/>
    <col customWidth="1" min="112" max="112" width="5.57"/>
    <col customWidth="1" hidden="1" min="113" max="116" width="3.57"/>
    <col customWidth="1" hidden="1" min="117" max="117" width="5.14"/>
    <col customWidth="1" hidden="1" min="118" max="118" width="3.57"/>
    <col customWidth="1" hidden="1" min="119" max="119" width="1.0"/>
    <col customWidth="1" hidden="1" min="120" max="120" width="42.43"/>
    <col customWidth="1" hidden="1" min="121" max="129" width="6.86"/>
  </cols>
  <sheetData>
    <row r="1" ht="7.5" customHeight="1">
      <c r="A1" s="35" t="str">
        <f>'Periodização Macrociclo'!$N$1</f>
        <v>Claudinei Gasparoto</v>
      </c>
      <c r="B1" s="36"/>
      <c r="C1" s="36"/>
      <c r="D1" s="36"/>
      <c r="E1" s="36"/>
      <c r="F1" s="36"/>
      <c r="G1" s="36"/>
      <c r="H1" s="36"/>
      <c r="I1" s="36"/>
      <c r="J1" s="37"/>
      <c r="K1" s="38"/>
      <c r="L1" s="38"/>
      <c r="M1" s="38"/>
      <c r="N1" s="38"/>
      <c r="O1" s="38"/>
      <c r="P1" s="38"/>
      <c r="Q1" s="39"/>
      <c r="R1" s="35" t="str">
        <f>$A1</f>
        <v>Claudinei Gasparoto</v>
      </c>
      <c r="S1" s="36"/>
      <c r="T1" s="36"/>
      <c r="U1" s="36"/>
      <c r="V1" s="36"/>
      <c r="W1" s="36"/>
      <c r="X1" s="36"/>
      <c r="Y1" s="36"/>
      <c r="Z1" s="36"/>
      <c r="AA1" s="37"/>
      <c r="AB1" s="38"/>
      <c r="AC1" s="40"/>
      <c r="AD1" s="40"/>
      <c r="AE1" s="40"/>
      <c r="AF1" s="40"/>
      <c r="AG1" s="40"/>
      <c r="AH1" s="39"/>
      <c r="AI1" s="35" t="str">
        <f>$A1</f>
        <v>Claudinei Gasparoto</v>
      </c>
      <c r="AJ1" s="36"/>
      <c r="AK1" s="36"/>
      <c r="AL1" s="36"/>
      <c r="AM1" s="36"/>
      <c r="AN1" s="36"/>
      <c r="AO1" s="36"/>
      <c r="AP1" s="36"/>
      <c r="AQ1" s="36"/>
      <c r="AR1" s="37"/>
      <c r="AS1" s="38"/>
      <c r="AT1" s="40"/>
      <c r="AU1" s="40"/>
      <c r="AV1" s="40"/>
      <c r="AW1" s="40"/>
      <c r="AX1" s="40"/>
      <c r="AY1" s="39"/>
      <c r="AZ1" s="35" t="str">
        <f>$A1</f>
        <v>Claudinei Gasparoto</v>
      </c>
      <c r="BA1" s="36"/>
      <c r="BB1" s="36"/>
      <c r="BC1" s="36"/>
      <c r="BD1" s="36"/>
      <c r="BE1" s="36"/>
      <c r="BF1" s="36"/>
      <c r="BG1" s="36"/>
      <c r="BH1" s="36"/>
      <c r="BI1" s="37"/>
      <c r="BJ1" s="38"/>
      <c r="BK1" s="40"/>
      <c r="BL1" s="40"/>
      <c r="BM1" s="40"/>
      <c r="BN1" s="40"/>
      <c r="BO1" s="40"/>
      <c r="BP1" s="39"/>
      <c r="BQ1" s="35" t="str">
        <f>$A1</f>
        <v>Claudinei Gasparoto</v>
      </c>
      <c r="BR1" s="36"/>
      <c r="BS1" s="36"/>
      <c r="BT1" s="36"/>
      <c r="BU1" s="36"/>
      <c r="BV1" s="36"/>
      <c r="BW1" s="36"/>
      <c r="BX1" s="36"/>
      <c r="BY1" s="36"/>
      <c r="BZ1" s="37"/>
      <c r="CA1" s="38"/>
      <c r="CB1" s="40"/>
      <c r="CC1" s="40"/>
      <c r="CD1" s="40"/>
      <c r="CE1" s="40"/>
      <c r="CF1" s="40"/>
      <c r="CG1" s="39"/>
      <c r="CH1" s="35" t="str">
        <f>$A1</f>
        <v>Claudinei Gasparoto</v>
      </c>
      <c r="CI1" s="36"/>
      <c r="CJ1" s="36"/>
      <c r="CK1" s="36"/>
      <c r="CL1" s="36"/>
      <c r="CM1" s="36"/>
      <c r="CN1" s="36"/>
      <c r="CO1" s="36"/>
      <c r="CP1" s="36"/>
      <c r="CQ1" s="37"/>
      <c r="CR1" s="38"/>
      <c r="CS1" s="40"/>
      <c r="CT1" s="40"/>
      <c r="CU1" s="40"/>
      <c r="CV1" s="40"/>
      <c r="CW1" s="40"/>
      <c r="CX1" s="39"/>
      <c r="CY1" s="35" t="str">
        <f>$A1</f>
        <v>Claudinei Gasparoto</v>
      </c>
      <c r="CZ1" s="36"/>
      <c r="DA1" s="36"/>
      <c r="DB1" s="36"/>
      <c r="DC1" s="36"/>
      <c r="DD1" s="36"/>
      <c r="DE1" s="36"/>
      <c r="DF1" s="36"/>
      <c r="DG1" s="36"/>
      <c r="DH1" s="37"/>
      <c r="DI1" s="38"/>
      <c r="DJ1" s="40"/>
      <c r="DK1" s="40"/>
      <c r="DL1" s="40"/>
      <c r="DM1" s="40"/>
      <c r="DN1" s="40"/>
      <c r="DO1" s="39"/>
      <c r="DP1" s="40"/>
      <c r="DQ1" s="41"/>
      <c r="DR1" s="41"/>
      <c r="DS1" s="41"/>
      <c r="DT1" s="41"/>
      <c r="DU1" s="41"/>
      <c r="DV1" s="41"/>
      <c r="DW1" s="41"/>
      <c r="DX1" s="41"/>
      <c r="DY1" s="41"/>
    </row>
    <row r="2" ht="7.5" customHeight="1">
      <c r="A2" s="42" t="s">
        <v>5</v>
      </c>
      <c r="B2" s="43">
        <f>Montagem!C2</f>
        <v>8</v>
      </c>
      <c r="C2" s="43" t="s">
        <v>6</v>
      </c>
      <c r="D2" s="44">
        <f>Montagem!F2</f>
        <v>29</v>
      </c>
      <c r="E2" s="45" t="s">
        <v>7</v>
      </c>
      <c r="F2" s="46"/>
      <c r="G2" s="46"/>
      <c r="H2" s="46"/>
      <c r="I2" s="47"/>
      <c r="J2" s="48">
        <f>Montagem!B43</f>
        <v>6</v>
      </c>
      <c r="K2" s="38" t="str">
        <f>IF(L2=0,0,L2-2&amp;" a "&amp;L2)</f>
        <v>0 a 2</v>
      </c>
      <c r="L2" s="38">
        <f>Montagem!O5</f>
        <v>2</v>
      </c>
      <c r="M2" s="38"/>
      <c r="N2" s="38"/>
      <c r="O2" s="38"/>
      <c r="P2" s="38"/>
      <c r="Q2" s="39"/>
      <c r="R2" s="42" t="s">
        <v>5</v>
      </c>
      <c r="S2" s="43">
        <f>B2</f>
        <v>8</v>
      </c>
      <c r="T2" s="43" t="s">
        <v>6</v>
      </c>
      <c r="U2" s="44">
        <f>D2</f>
        <v>29</v>
      </c>
      <c r="V2" s="45" t="s">
        <v>7</v>
      </c>
      <c r="W2" s="46"/>
      <c r="X2" s="46"/>
      <c r="Y2" s="46"/>
      <c r="Z2" s="47"/>
      <c r="AA2" s="48">
        <f>J2</f>
        <v>6</v>
      </c>
      <c r="AB2" s="38"/>
      <c r="AC2" s="49"/>
      <c r="AD2" s="49"/>
      <c r="AE2" s="49"/>
      <c r="AF2" s="49"/>
      <c r="AG2" s="49"/>
      <c r="AH2" s="39"/>
      <c r="AI2" s="42" t="s">
        <v>5</v>
      </c>
      <c r="AJ2" s="43">
        <f>B2</f>
        <v>8</v>
      </c>
      <c r="AK2" s="43" t="s">
        <v>6</v>
      </c>
      <c r="AL2" s="44">
        <f>D2</f>
        <v>29</v>
      </c>
      <c r="AM2" s="45" t="s">
        <v>7</v>
      </c>
      <c r="AN2" s="46"/>
      <c r="AO2" s="46"/>
      <c r="AP2" s="46"/>
      <c r="AQ2" s="47"/>
      <c r="AR2" s="48">
        <f>J2</f>
        <v>6</v>
      </c>
      <c r="AS2" s="38"/>
      <c r="AT2" s="49"/>
      <c r="AU2" s="49"/>
      <c r="AV2" s="49"/>
      <c r="AW2" s="49"/>
      <c r="AX2" s="49"/>
      <c r="AY2" s="39"/>
      <c r="AZ2" s="42" t="s">
        <v>5</v>
      </c>
      <c r="BA2" s="43">
        <f>B2</f>
        <v>8</v>
      </c>
      <c r="BB2" s="43" t="s">
        <v>6</v>
      </c>
      <c r="BC2" s="44">
        <f>D2</f>
        <v>29</v>
      </c>
      <c r="BD2" s="45" t="s">
        <v>7</v>
      </c>
      <c r="BE2" s="46"/>
      <c r="BF2" s="46"/>
      <c r="BG2" s="46"/>
      <c r="BH2" s="47"/>
      <c r="BI2" s="48">
        <f>J2</f>
        <v>6</v>
      </c>
      <c r="BJ2" s="38"/>
      <c r="BK2" s="49"/>
      <c r="BL2" s="49"/>
      <c r="BM2" s="49"/>
      <c r="BN2" s="49"/>
      <c r="BO2" s="49"/>
      <c r="BP2" s="39"/>
      <c r="BQ2" s="42" t="s">
        <v>5</v>
      </c>
      <c r="BR2" s="43">
        <f>B2</f>
        <v>8</v>
      </c>
      <c r="BS2" s="43" t="s">
        <v>6</v>
      </c>
      <c r="BT2" s="44">
        <f>D2</f>
        <v>29</v>
      </c>
      <c r="BU2" s="45" t="s">
        <v>7</v>
      </c>
      <c r="BV2" s="46"/>
      <c r="BW2" s="46"/>
      <c r="BX2" s="46"/>
      <c r="BY2" s="47"/>
      <c r="BZ2" s="48">
        <f>J2</f>
        <v>6</v>
      </c>
      <c r="CA2" s="38"/>
      <c r="CB2" s="49"/>
      <c r="CC2" s="49"/>
      <c r="CD2" s="49"/>
      <c r="CE2" s="49"/>
      <c r="CF2" s="49"/>
      <c r="CG2" s="39"/>
      <c r="CH2" s="42" t="s">
        <v>5</v>
      </c>
      <c r="CI2" s="43">
        <f>B2</f>
        <v>8</v>
      </c>
      <c r="CJ2" s="43" t="s">
        <v>6</v>
      </c>
      <c r="CK2" s="44">
        <f>D2</f>
        <v>29</v>
      </c>
      <c r="CL2" s="45" t="s">
        <v>7</v>
      </c>
      <c r="CM2" s="46"/>
      <c r="CN2" s="46"/>
      <c r="CO2" s="46"/>
      <c r="CP2" s="47"/>
      <c r="CQ2" s="48">
        <f>J2</f>
        <v>6</v>
      </c>
      <c r="CR2" s="38"/>
      <c r="CS2" s="49"/>
      <c r="CT2" s="49"/>
      <c r="CU2" s="49"/>
      <c r="CV2" s="49"/>
      <c r="CW2" s="49"/>
      <c r="CX2" s="39"/>
      <c r="CY2" s="42" t="s">
        <v>5</v>
      </c>
      <c r="CZ2" s="43">
        <f>B2</f>
        <v>8</v>
      </c>
      <c r="DA2" s="43" t="s">
        <v>6</v>
      </c>
      <c r="DB2" s="44">
        <f>D2</f>
        <v>29</v>
      </c>
      <c r="DC2" s="45" t="s">
        <v>7</v>
      </c>
      <c r="DD2" s="46"/>
      <c r="DE2" s="46"/>
      <c r="DF2" s="46"/>
      <c r="DG2" s="47"/>
      <c r="DH2" s="48">
        <f>J2</f>
        <v>6</v>
      </c>
      <c r="DI2" s="38"/>
      <c r="DJ2" s="49"/>
      <c r="DK2" s="49"/>
      <c r="DL2" s="49"/>
      <c r="DM2" s="49"/>
      <c r="DN2" s="49"/>
      <c r="DO2" s="39"/>
      <c r="DP2" s="49" t="s">
        <v>8</v>
      </c>
      <c r="DQ2" s="50">
        <f>IF(L80&gt;0,G9,0)+IF(AC80&gt;0,X9,0)+IF(AT80&gt;0,AO9,0)+IF(BK80&gt;0,BF9,0)+IF(CB80&gt;0,BW9,0)+IF(CS80&gt;0,CN9,0)+IF(DJ80&gt;0,DE9,0)</f>
        <v>0</v>
      </c>
      <c r="DR2" s="51"/>
      <c r="DS2" s="51"/>
      <c r="DT2" s="51"/>
      <c r="DU2" s="51"/>
      <c r="DV2" s="51"/>
      <c r="DW2" s="51"/>
      <c r="DX2" s="51"/>
      <c r="DY2" s="51"/>
    </row>
    <row r="3">
      <c r="A3" s="52">
        <f>Montagem!K8</f>
        <v>46034</v>
      </c>
      <c r="B3" s="53" t="str">
        <f>Montagem!K9</f>
        <v>Segunda-Feira</v>
      </c>
      <c r="C3" s="54"/>
      <c r="D3" s="54"/>
      <c r="E3" s="54"/>
      <c r="F3" s="54"/>
      <c r="G3" s="54"/>
      <c r="H3" s="54"/>
      <c r="I3" s="54"/>
      <c r="J3" s="55"/>
      <c r="K3" s="56">
        <f>DQ17-DQ18</f>
        <v>6</v>
      </c>
      <c r="L3" s="57"/>
      <c r="M3" s="57"/>
      <c r="N3" s="57"/>
      <c r="O3" s="57"/>
      <c r="P3" s="57"/>
      <c r="Q3" s="58"/>
      <c r="R3" s="52">
        <f>Montagem!Z8</f>
        <v>46035</v>
      </c>
      <c r="S3" s="53" t="str">
        <f>Montagem!Z9</f>
        <v>Terça-Feira</v>
      </c>
      <c r="T3" s="54"/>
      <c r="U3" s="54"/>
      <c r="V3" s="54"/>
      <c r="W3" s="54"/>
      <c r="X3" s="54"/>
      <c r="Y3" s="54"/>
      <c r="Z3" s="54"/>
      <c r="AA3" s="55"/>
      <c r="AB3" s="57"/>
      <c r="AC3" s="57"/>
      <c r="AD3" s="57"/>
      <c r="AE3" s="57"/>
      <c r="AF3" s="57"/>
      <c r="AG3" s="57"/>
      <c r="AH3" s="58"/>
      <c r="AI3" s="52">
        <f>Montagem!AO8</f>
        <v>46036</v>
      </c>
      <c r="AJ3" s="53" t="str">
        <f>Montagem!AO9</f>
        <v>Quarta-Feira</v>
      </c>
      <c r="AK3" s="54"/>
      <c r="AL3" s="54"/>
      <c r="AM3" s="54"/>
      <c r="AN3" s="54"/>
      <c r="AO3" s="54"/>
      <c r="AP3" s="54"/>
      <c r="AQ3" s="54"/>
      <c r="AR3" s="55"/>
      <c r="AS3" s="57"/>
      <c r="AT3" s="57"/>
      <c r="AU3" s="57"/>
      <c r="AV3" s="57"/>
      <c r="AW3" s="57"/>
      <c r="AX3" s="57"/>
      <c r="AY3" s="58"/>
      <c r="AZ3" s="52">
        <f>Montagem!BD8</f>
        <v>46037</v>
      </c>
      <c r="BA3" s="53" t="str">
        <f>Montagem!BD9</f>
        <v>Quinta Feira</v>
      </c>
      <c r="BB3" s="54"/>
      <c r="BC3" s="54"/>
      <c r="BD3" s="54"/>
      <c r="BE3" s="54"/>
      <c r="BF3" s="54"/>
      <c r="BG3" s="54"/>
      <c r="BH3" s="54"/>
      <c r="BI3" s="55"/>
      <c r="BJ3" s="57"/>
      <c r="BK3" s="57"/>
      <c r="BL3" s="57"/>
      <c r="BM3" s="57"/>
      <c r="BN3" s="57"/>
      <c r="BO3" s="57"/>
      <c r="BP3" s="58"/>
      <c r="BQ3" s="52">
        <f>Montagem!BS8</f>
        <v>46038</v>
      </c>
      <c r="BR3" s="53" t="str">
        <f>Montagem!BS9</f>
        <v>Sexta-Feira</v>
      </c>
      <c r="BS3" s="54"/>
      <c r="BT3" s="54"/>
      <c r="BU3" s="54"/>
      <c r="BV3" s="54"/>
      <c r="BW3" s="54"/>
      <c r="BX3" s="54"/>
      <c r="BY3" s="54"/>
      <c r="BZ3" s="55"/>
      <c r="CA3" s="57"/>
      <c r="CB3" s="57"/>
      <c r="CC3" s="57"/>
      <c r="CD3" s="57"/>
      <c r="CE3" s="57"/>
      <c r="CF3" s="57"/>
      <c r="CG3" s="58"/>
      <c r="CH3" s="52">
        <f>Montagem!CH8</f>
        <v>46039</v>
      </c>
      <c r="CI3" s="53" t="str">
        <f>Montagem!CH9</f>
        <v>Sábado</v>
      </c>
      <c r="CJ3" s="54"/>
      <c r="CK3" s="54"/>
      <c r="CL3" s="54"/>
      <c r="CM3" s="54"/>
      <c r="CN3" s="54"/>
      <c r="CO3" s="54"/>
      <c r="CP3" s="54"/>
      <c r="CQ3" s="55"/>
      <c r="CR3" s="57"/>
      <c r="CS3" s="57"/>
      <c r="CT3" s="57"/>
      <c r="CU3" s="57"/>
      <c r="CV3" s="57"/>
      <c r="CW3" s="57"/>
      <c r="CX3" s="58"/>
      <c r="CY3" s="52">
        <f>Montagem!CW8</f>
        <v>46040</v>
      </c>
      <c r="CZ3" s="53" t="str">
        <f>Montagem!CW9</f>
        <v>Domingo</v>
      </c>
      <c r="DA3" s="54"/>
      <c r="DB3" s="54"/>
      <c r="DC3" s="54"/>
      <c r="DD3" s="54"/>
      <c r="DE3" s="54"/>
      <c r="DF3" s="54"/>
      <c r="DG3" s="54"/>
      <c r="DH3" s="55"/>
      <c r="DI3" s="57"/>
      <c r="DJ3" s="57"/>
      <c r="DK3" s="57"/>
      <c r="DL3" s="57"/>
      <c r="DM3" s="57"/>
      <c r="DN3" s="57"/>
      <c r="DO3" s="58"/>
      <c r="DP3" s="57" t="s">
        <v>9</v>
      </c>
      <c r="DQ3" s="56">
        <f>IF(L80&gt;0,IF(ISNUMBER(B82),B82,B6),0)+IF(AC80&gt;0,IF(ISNUMBER(S82),S82,S6),0)+IF(AT80&gt;0,IF(ISNUMBER(AJ82),AJ82,AJ6),0)+IF(BK80&gt;0,IF(ISNUMBER(BA82),BA82,BA6),0)+IF(CB80&gt;0,IF(ISNUMBER(BR82),BR82,BR6),0)+IF(CS80&gt;0,IF(ISNUMBER(CI82),CI82,CI6),0)+IF(DJ80&gt;0,IF(ISNUMBER(CZ82),CZ82,CZ6),0)</f>
        <v>0</v>
      </c>
      <c r="DR3" s="56"/>
      <c r="DS3" s="56"/>
      <c r="DT3" s="56"/>
      <c r="DU3" s="56"/>
      <c r="DV3" s="56"/>
      <c r="DW3" s="56"/>
      <c r="DX3" s="56"/>
      <c r="DY3" s="56"/>
    </row>
    <row r="4">
      <c r="A4" s="59" t="s">
        <v>10</v>
      </c>
      <c r="B4" s="60"/>
      <c r="C4" s="61"/>
      <c r="D4" s="62" t="s">
        <v>11</v>
      </c>
      <c r="E4" s="60"/>
      <c r="F4" s="60"/>
      <c r="G4" s="60"/>
      <c r="H4" s="60"/>
      <c r="I4" s="60"/>
      <c r="J4" s="63"/>
      <c r="K4" s="64">
        <f>IF(D4="","",LEFT(D4,2)+0)</f>
        <v>10</v>
      </c>
      <c r="L4" s="57"/>
      <c r="M4" s="57"/>
      <c r="N4" s="57"/>
      <c r="O4" s="57"/>
      <c r="P4" s="57"/>
      <c r="Q4" s="58"/>
      <c r="R4" s="59" t="s">
        <v>10</v>
      </c>
      <c r="S4" s="60"/>
      <c r="T4" s="61"/>
      <c r="U4" s="62"/>
      <c r="V4" s="60"/>
      <c r="W4" s="60"/>
      <c r="X4" s="60"/>
      <c r="Y4" s="60"/>
      <c r="Z4" s="60"/>
      <c r="AA4" s="63"/>
      <c r="AB4" s="64" t="str">
        <f>IF(U4="","",LEFT(U4,2)+0)</f>
        <v/>
      </c>
      <c r="AC4" s="57"/>
      <c r="AD4" s="57"/>
      <c r="AE4" s="57"/>
      <c r="AF4" s="57"/>
      <c r="AG4" s="57"/>
      <c r="AH4" s="58"/>
      <c r="AI4" s="59" t="s">
        <v>10</v>
      </c>
      <c r="AJ4" s="60"/>
      <c r="AK4" s="61"/>
      <c r="AL4" s="62"/>
      <c r="AM4" s="60"/>
      <c r="AN4" s="60"/>
      <c r="AO4" s="60"/>
      <c r="AP4" s="60"/>
      <c r="AQ4" s="60"/>
      <c r="AR4" s="63"/>
      <c r="AS4" s="64" t="str">
        <f>IF(AL4="","",LEFT(AL4,2)+0)</f>
        <v/>
      </c>
      <c r="AT4" s="57"/>
      <c r="AU4" s="57"/>
      <c r="AV4" s="57"/>
      <c r="AW4" s="57"/>
      <c r="AX4" s="57"/>
      <c r="AY4" s="58"/>
      <c r="AZ4" s="59" t="s">
        <v>10</v>
      </c>
      <c r="BA4" s="60"/>
      <c r="BB4" s="61"/>
      <c r="BC4" s="62"/>
      <c r="BD4" s="60"/>
      <c r="BE4" s="60"/>
      <c r="BF4" s="60"/>
      <c r="BG4" s="60"/>
      <c r="BH4" s="60"/>
      <c r="BI4" s="63"/>
      <c r="BJ4" s="64" t="str">
        <f>IF(BC4="","",LEFT(BC4,2)+0)</f>
        <v/>
      </c>
      <c r="BK4" s="57"/>
      <c r="BL4" s="57"/>
      <c r="BM4" s="57"/>
      <c r="BN4" s="57"/>
      <c r="BO4" s="57"/>
      <c r="BP4" s="58"/>
      <c r="BQ4" s="59" t="s">
        <v>10</v>
      </c>
      <c r="BR4" s="60"/>
      <c r="BS4" s="61"/>
      <c r="BT4" s="62"/>
      <c r="BU4" s="60"/>
      <c r="BV4" s="60"/>
      <c r="BW4" s="60"/>
      <c r="BX4" s="60"/>
      <c r="BY4" s="60"/>
      <c r="BZ4" s="63"/>
      <c r="CA4" s="64" t="str">
        <f>IF(BT4="","",LEFT(BT4,2)+0)</f>
        <v/>
      </c>
      <c r="CB4" s="57"/>
      <c r="CC4" s="57"/>
      <c r="CD4" s="57"/>
      <c r="CE4" s="57"/>
      <c r="CF4" s="57"/>
      <c r="CG4" s="58"/>
      <c r="CH4" s="59" t="s">
        <v>10</v>
      </c>
      <c r="CI4" s="60"/>
      <c r="CJ4" s="61"/>
      <c r="CK4" s="62"/>
      <c r="CL4" s="60"/>
      <c r="CM4" s="60"/>
      <c r="CN4" s="60"/>
      <c r="CO4" s="60"/>
      <c r="CP4" s="60"/>
      <c r="CQ4" s="63"/>
      <c r="CR4" s="64" t="str">
        <f>IF(CK4="","",LEFT(CK4,2)+0)</f>
        <v/>
      </c>
      <c r="CS4" s="57"/>
      <c r="CT4" s="57"/>
      <c r="CU4" s="57"/>
      <c r="CV4" s="57"/>
      <c r="CW4" s="57"/>
      <c r="CX4" s="58"/>
      <c r="CY4" s="59" t="s">
        <v>10</v>
      </c>
      <c r="CZ4" s="60"/>
      <c r="DA4" s="61"/>
      <c r="DB4" s="62"/>
      <c r="DC4" s="60"/>
      <c r="DD4" s="60"/>
      <c r="DE4" s="60"/>
      <c r="DF4" s="60"/>
      <c r="DG4" s="60"/>
      <c r="DH4" s="63"/>
      <c r="DI4" s="64" t="str">
        <f>IF(DB4="","",LEFT(DB4,2)+0)</f>
        <v/>
      </c>
      <c r="DJ4" s="57"/>
      <c r="DK4" s="57"/>
      <c r="DL4" s="57"/>
      <c r="DM4" s="57"/>
      <c r="DN4" s="57"/>
      <c r="DO4" s="58"/>
      <c r="DP4" s="57" t="s">
        <v>12</v>
      </c>
      <c r="DQ4" s="56">
        <f>IF(L80&gt;0,D82,0)+IF(AC80&gt;0,U82,0)+IF(AT80&gt;0,AL82,0)+IF(BK80&gt;0,BC82,0)+IF(CB80&gt;0,BT82,0)+IF(CS80&gt;0,CK82,0)+IF(DJ80&gt;0,DB82,0)</f>
        <v>0</v>
      </c>
      <c r="DR4" s="56"/>
      <c r="DS4" s="56"/>
      <c r="DT4" s="56"/>
      <c r="DU4" s="56"/>
      <c r="DV4" s="56"/>
      <c r="DW4" s="56"/>
      <c r="DX4" s="56"/>
      <c r="DY4" s="56"/>
    </row>
    <row r="5">
      <c r="A5" s="65" t="str">
        <f>IF(G9=10,"Tenha um bom descanso!😉💤","TREINAMENTO CÍCLICO")</f>
        <v>TREINAMENTO CÍCLICO</v>
      </c>
      <c r="J5" s="66"/>
      <c r="K5" s="57"/>
      <c r="L5" s="57"/>
      <c r="M5" s="57"/>
      <c r="N5" s="57"/>
      <c r="O5" s="57"/>
      <c r="P5" s="57"/>
      <c r="Q5" s="58"/>
      <c r="R5" s="65" t="str">
        <f>IF(X9=10,"Tenha um bom descanso!😉💤","TREINAMENTO CÍCLICO")</f>
        <v>TREINAMENTO CÍCLICO</v>
      </c>
      <c r="AA5" s="66"/>
      <c r="AB5" s="57"/>
      <c r="AC5" s="57"/>
      <c r="AD5" s="57"/>
      <c r="AE5" s="57"/>
      <c r="AF5" s="57"/>
      <c r="AG5" s="57"/>
      <c r="AH5" s="58"/>
      <c r="AI5" s="65" t="str">
        <f>IF(AO9=10,"Tenha um bom descanso!😉💤","TREINAMENTO CÍCLICO")</f>
        <v>TREINAMENTO CÍCLICO</v>
      </c>
      <c r="AR5" s="66"/>
      <c r="AS5" s="57"/>
      <c r="AT5" s="57"/>
      <c r="AU5" s="57"/>
      <c r="AV5" s="57"/>
      <c r="AW5" s="57"/>
      <c r="AX5" s="57"/>
      <c r="AY5" s="58"/>
      <c r="AZ5" s="65" t="str">
        <f>IF(BF9=10,"Tenha um bom descanso!😉💤","TREINAMENTO CÍCLICO")</f>
        <v>TREINAMENTO CÍCLICO</v>
      </c>
      <c r="BI5" s="66"/>
      <c r="BJ5" s="57"/>
      <c r="BK5" s="57"/>
      <c r="BL5" s="57"/>
      <c r="BM5" s="57"/>
      <c r="BN5" s="57"/>
      <c r="BO5" s="57"/>
      <c r="BP5" s="58"/>
      <c r="BQ5" s="65" t="str">
        <f>IF(BW9=10,"Tenha um bom descanso!😉💤","TREINAMENTO CÍCLICO")</f>
        <v>TREINAMENTO CÍCLICO</v>
      </c>
      <c r="BZ5" s="66"/>
      <c r="CA5" s="57"/>
      <c r="CB5" s="57"/>
      <c r="CC5" s="57"/>
      <c r="CD5" s="57"/>
      <c r="CE5" s="57"/>
      <c r="CF5" s="57"/>
      <c r="CG5" s="58"/>
      <c r="CH5" s="65" t="str">
        <f>IF(CN9=10,"Tenha um bom descanso!😉💤","TREINAMENTO CÍCLICO")</f>
        <v>TREINAMENTO CÍCLICO</v>
      </c>
      <c r="CQ5" s="66"/>
      <c r="CR5" s="57"/>
      <c r="CS5" s="57"/>
      <c r="CT5" s="57"/>
      <c r="CU5" s="57"/>
      <c r="CV5" s="57"/>
      <c r="CW5" s="57"/>
      <c r="CX5" s="58"/>
      <c r="CY5" s="65" t="str">
        <f>IF(DE9=10,"Tenha um bom descanso!😉💤","TREINAMENTO CÍCLICO")</f>
        <v>Tenha um bom descanso!😉💤</v>
      </c>
      <c r="DH5" s="66"/>
      <c r="DI5" s="57"/>
      <c r="DJ5" s="57"/>
      <c r="DK5" s="57"/>
      <c r="DL5" s="57"/>
      <c r="DM5" s="57"/>
      <c r="DN5" s="57"/>
      <c r="DO5" s="58"/>
      <c r="DP5" s="57" t="s">
        <v>13</v>
      </c>
      <c r="DQ5" s="56">
        <f>IF(L80&gt;0,B8,0)+IF(AC80&gt;0,S8,0)+IF(AT80&gt;0,AJ8,0)+IF(BK80&gt;0,BA8,0)+IF(CB80&gt;0,BR8,0)+IF(CS80&gt;0,CI8,0)+IF(DJ80&gt;0,CZ8,0)</f>
        <v>0</v>
      </c>
      <c r="DR5" s="56"/>
      <c r="DS5" s="56"/>
      <c r="DT5" s="56"/>
      <c r="DU5" s="56"/>
      <c r="DV5" s="56"/>
      <c r="DW5" s="56"/>
      <c r="DX5" s="56"/>
      <c r="DY5" s="56"/>
    </row>
    <row r="6">
      <c r="A6" s="67" t="s">
        <v>14</v>
      </c>
      <c r="B6" s="68">
        <f>Montagem!C15</f>
        <v>25</v>
      </c>
      <c r="C6" s="69" t="s">
        <v>15</v>
      </c>
      <c r="D6" s="70" t="str">
        <f>Montagem!C17</f>
        <v>CEXT</v>
      </c>
      <c r="E6" s="61"/>
      <c r="F6" s="71" t="s">
        <v>16</v>
      </c>
      <c r="G6" s="61"/>
      <c r="H6" s="72">
        <f>0.0175*IF(ISNUMBER(B82),B82,B6)*'Dados de Base'!$D$5*('Dados de Base'!$D$7*IF(ISNUMBER(G82),(G82-'Dados de Base'!$F$6)/('Dados de Base'!$E$20-'Dados de Base'!$F$6),Montagem!C27))</f>
        <v>248.61375</v>
      </c>
      <c r="I6" s="60"/>
      <c r="J6" s="63"/>
      <c r="K6" s="57"/>
      <c r="L6" s="57"/>
      <c r="M6" s="57"/>
      <c r="N6" s="57"/>
      <c r="O6" s="57"/>
      <c r="P6" s="57"/>
      <c r="Q6" s="58"/>
      <c r="R6" s="67" t="s">
        <v>14</v>
      </c>
      <c r="S6" s="68">
        <f>Montagem!D15</f>
        <v>5</v>
      </c>
      <c r="T6" s="69" t="s">
        <v>15</v>
      </c>
      <c r="U6" s="70" t="str">
        <f>Montagem!D17</f>
        <v>IINT</v>
      </c>
      <c r="V6" s="61"/>
      <c r="W6" s="71" t="s">
        <v>16</v>
      </c>
      <c r="X6" s="61"/>
      <c r="Y6" s="72">
        <f>0.0175*IF(ISNUMBER(S82),S82,S6)*'Dados de Base'!$D$5*('Dados de Base'!$D$7*IF(ISNUMBER(X82),(X82-'Dados de Base'!$F$6)/('Dados de Base'!$E$20-'Dados de Base'!$F$6),Montagem!D27))</f>
        <v>0</v>
      </c>
      <c r="Z6" s="60"/>
      <c r="AA6" s="63"/>
      <c r="AB6" s="57"/>
      <c r="AC6" s="57"/>
      <c r="AD6" s="57"/>
      <c r="AE6" s="57"/>
      <c r="AF6" s="57"/>
      <c r="AG6" s="57"/>
      <c r="AH6" s="58"/>
      <c r="AI6" s="67" t="s">
        <v>14</v>
      </c>
      <c r="AJ6" s="68" t="str">
        <f>Montagem!E15</f>
        <v/>
      </c>
      <c r="AK6" s="69" t="s">
        <v>15</v>
      </c>
      <c r="AL6" s="70" t="str">
        <f>Montagem!E17</f>
        <v/>
      </c>
      <c r="AM6" s="61"/>
      <c r="AN6" s="71" t="s">
        <v>16</v>
      </c>
      <c r="AO6" s="61"/>
      <c r="AP6" s="72">
        <f>0.0175*IF(ISNUMBER(AJ82),AJ82,AJ6)*'Dados de Base'!$D$5*('Dados de Base'!$D$7*IF(ISNUMBER(AO82),(AO82-'Dados de Base'!$F$6)/('Dados de Base'!$E$20-'Dados de Base'!$F$6),Montagem!E27))</f>
        <v>0</v>
      </c>
      <c r="AQ6" s="60"/>
      <c r="AR6" s="63"/>
      <c r="AS6" s="57"/>
      <c r="AT6" s="57"/>
      <c r="AU6" s="57"/>
      <c r="AV6" s="57"/>
      <c r="AW6" s="57"/>
      <c r="AX6" s="57"/>
      <c r="AY6" s="58"/>
      <c r="AZ6" s="67" t="s">
        <v>14</v>
      </c>
      <c r="BA6" s="68">
        <f>Montagem!F15</f>
        <v>6</v>
      </c>
      <c r="BB6" s="69" t="s">
        <v>15</v>
      </c>
      <c r="BC6" s="70" t="str">
        <f>Montagem!F17</f>
        <v>IINT</v>
      </c>
      <c r="BD6" s="61"/>
      <c r="BE6" s="71" t="s">
        <v>16</v>
      </c>
      <c r="BF6" s="61"/>
      <c r="BG6" s="72">
        <f>0.0175*IF(ISNUMBER(BA82),BA82,BA6)*'Dados de Base'!$D$5*('Dados de Base'!$D$7*IF(ISNUMBER(BF82),(BF82-'Dados de Base'!$F$6)/('Dados de Base'!$E$20-'Dados de Base'!$F$6),Montagem!F27))</f>
        <v>0</v>
      </c>
      <c r="BH6" s="60"/>
      <c r="BI6" s="63"/>
      <c r="BJ6" s="57"/>
      <c r="BK6" s="57"/>
      <c r="BL6" s="57"/>
      <c r="BM6" s="57"/>
      <c r="BN6" s="57"/>
      <c r="BO6" s="57"/>
      <c r="BP6" s="58"/>
      <c r="BQ6" s="67" t="s">
        <v>14</v>
      </c>
      <c r="BR6" s="68">
        <f>Montagem!G15</f>
        <v>35</v>
      </c>
      <c r="BS6" s="69" t="s">
        <v>15</v>
      </c>
      <c r="BT6" s="70" t="str">
        <f>Montagem!G17</f>
        <v>CEXT</v>
      </c>
      <c r="BU6" s="61"/>
      <c r="BV6" s="71" t="s">
        <v>16</v>
      </c>
      <c r="BW6" s="61"/>
      <c r="BX6" s="72">
        <f>0.0175*IF(ISNUMBER(BR82),BR82,BR6)*'Dados de Base'!$D$5*('Dados de Base'!$D$7*IF(ISNUMBER(BW82),(BW82-'Dados de Base'!$F$6)/('Dados de Base'!$E$20-'Dados de Base'!$F$6),Montagem!G27))</f>
        <v>348.05925</v>
      </c>
      <c r="BY6" s="60"/>
      <c r="BZ6" s="63"/>
      <c r="CA6" s="57"/>
      <c r="CB6" s="57"/>
      <c r="CC6" s="57"/>
      <c r="CD6" s="57"/>
      <c r="CE6" s="57"/>
      <c r="CF6" s="57"/>
      <c r="CG6" s="58"/>
      <c r="CH6" s="67" t="s">
        <v>14</v>
      </c>
      <c r="CI6" s="68" t="str">
        <f>Montagem!H15</f>
        <v/>
      </c>
      <c r="CJ6" s="69" t="s">
        <v>15</v>
      </c>
      <c r="CK6" s="70" t="str">
        <f>Montagem!H17</f>
        <v/>
      </c>
      <c r="CL6" s="61"/>
      <c r="CM6" s="71" t="s">
        <v>16</v>
      </c>
      <c r="CN6" s="61"/>
      <c r="CO6" s="72">
        <f>0.0175*IF(ISNUMBER(CI82),CI82,CI6)*'Dados de Base'!$D$5*('Dados de Base'!$D$7*IF(ISNUMBER(CN82),(CN82-'Dados de Base'!$F$6)/('Dados de Base'!$E$20-'Dados de Base'!$F$6),Montagem!H27))</f>
        <v>0</v>
      </c>
      <c r="CP6" s="60"/>
      <c r="CQ6" s="63"/>
      <c r="CR6" s="57"/>
      <c r="CS6" s="57"/>
      <c r="CT6" s="57"/>
      <c r="CU6" s="57"/>
      <c r="CV6" s="57"/>
      <c r="CW6" s="57"/>
      <c r="CX6" s="58"/>
      <c r="CY6" s="67" t="s">
        <v>14</v>
      </c>
      <c r="CZ6" s="68" t="str">
        <f>Montagem!I15</f>
        <v/>
      </c>
      <c r="DA6" s="69" t="s">
        <v>15</v>
      </c>
      <c r="DB6" s="70" t="str">
        <f>Montagem!I17</f>
        <v/>
      </c>
      <c r="DC6" s="61"/>
      <c r="DD6" s="71" t="s">
        <v>16</v>
      </c>
      <c r="DE6" s="61"/>
      <c r="DF6" s="72">
        <f>0.0175*IF(ISNUMBER(CZ82),CZ82,CZ6)*'Dados de Base'!$D$5*('Dados de Base'!$D$7*IF(ISNUMBER(DE82),(DE82-'Dados de Base'!$F$6)/('Dados de Base'!$E$20-'Dados de Base'!$F$6),Montagem!I27))</f>
        <v>0</v>
      </c>
      <c r="DG6" s="60"/>
      <c r="DH6" s="63"/>
      <c r="DI6" s="57"/>
      <c r="DJ6" s="57"/>
      <c r="DK6" s="57"/>
      <c r="DL6" s="57"/>
      <c r="DM6" s="57"/>
      <c r="DN6" s="57"/>
      <c r="DO6" s="58"/>
      <c r="DP6" s="73" t="s">
        <v>17</v>
      </c>
      <c r="DQ6" s="74">
        <f>IF(L80&gt;0,E8,0)+IF(AC80&gt;0,V8,0)+IF(AT80&gt;0,AM8,0)+IF(BK80&gt;0,BD8,0)+IF(CB80&gt;0,BU8,0)+IF(CS80&gt;0,CL8,0)+IF(DJ80&gt;0,DC8,0)</f>
        <v>0</v>
      </c>
      <c r="DR6" s="74"/>
      <c r="DS6" s="74"/>
      <c r="DT6" s="74"/>
      <c r="DU6" s="74"/>
      <c r="DV6" s="74"/>
      <c r="DW6" s="74"/>
      <c r="DX6" s="74"/>
      <c r="DY6" s="74"/>
    </row>
    <row r="7">
      <c r="A7" s="75" t="str">
        <f>IF(G9=10,"Se você tem treino programado nesta data, entre em contato com a equipe para atualizarmos a sessão!","TREINAMENTO RESISTIDO")</f>
        <v>TREINAMENTO RESISTIDO</v>
      </c>
      <c r="B7" s="60"/>
      <c r="C7" s="60"/>
      <c r="D7" s="60"/>
      <c r="E7" s="60"/>
      <c r="F7" s="60"/>
      <c r="G7" s="60"/>
      <c r="H7" s="60"/>
      <c r="I7" s="60"/>
      <c r="J7" s="63"/>
      <c r="K7" s="76"/>
      <c r="L7" s="76"/>
      <c r="M7" s="76"/>
      <c r="N7" s="76"/>
      <c r="O7" s="76"/>
      <c r="P7" s="76"/>
      <c r="Q7" s="77"/>
      <c r="R7" s="75" t="str">
        <f>IF(X9=10,"Se você tem treino programado nesta data, entre em contato com a equipe para atualizarmos a sessão!","TREINAMENTO RESISTIDO")</f>
        <v>TREINAMENTO RESISTIDO</v>
      </c>
      <c r="S7" s="60"/>
      <c r="T7" s="60"/>
      <c r="U7" s="60"/>
      <c r="V7" s="60"/>
      <c r="W7" s="60"/>
      <c r="X7" s="60"/>
      <c r="Y7" s="60"/>
      <c r="Z7" s="60"/>
      <c r="AA7" s="63"/>
      <c r="AB7" s="76"/>
      <c r="AC7" s="76"/>
      <c r="AD7" s="76"/>
      <c r="AE7" s="76"/>
      <c r="AF7" s="76"/>
      <c r="AG7" s="76"/>
      <c r="AH7" s="77"/>
      <c r="AI7" s="75" t="str">
        <f>IF(AO9=10,"Se você tem treino programado nesta data, entre em contato com a equipe para atualizarmos a sessão!","TREINAMENTO RESISTIDO")</f>
        <v>TREINAMENTO RESISTIDO</v>
      </c>
      <c r="AJ7" s="60"/>
      <c r="AK7" s="60"/>
      <c r="AL7" s="60"/>
      <c r="AM7" s="60"/>
      <c r="AN7" s="60"/>
      <c r="AO7" s="60"/>
      <c r="AP7" s="60"/>
      <c r="AQ7" s="60"/>
      <c r="AR7" s="63"/>
      <c r="AS7" s="76"/>
      <c r="AT7" s="76"/>
      <c r="AU7" s="76"/>
      <c r="AV7" s="76"/>
      <c r="AW7" s="76"/>
      <c r="AX7" s="76"/>
      <c r="AY7" s="77"/>
      <c r="AZ7" s="75" t="str">
        <f>IF(BF9=10,"Se você tem treino programado nesta data, entre em contato com a equipe para atualizarmos a sessão!","TREINAMENTO RESISTIDO")</f>
        <v>TREINAMENTO RESISTIDO</v>
      </c>
      <c r="BA7" s="60"/>
      <c r="BB7" s="60"/>
      <c r="BC7" s="60"/>
      <c r="BD7" s="60"/>
      <c r="BE7" s="60"/>
      <c r="BF7" s="60"/>
      <c r="BG7" s="60"/>
      <c r="BH7" s="60"/>
      <c r="BI7" s="63"/>
      <c r="BJ7" s="76"/>
      <c r="BK7" s="76"/>
      <c r="BL7" s="76"/>
      <c r="BM7" s="76"/>
      <c r="BN7" s="76"/>
      <c r="BO7" s="76"/>
      <c r="BP7" s="77"/>
      <c r="BQ7" s="75" t="str">
        <f>IF(BW9=10,"Se você tem treino programado nesta data, entre em contato com a equipe para atualizarmos a sessão!","TREINAMENTO RESISTIDO")</f>
        <v>TREINAMENTO RESISTIDO</v>
      </c>
      <c r="BR7" s="60"/>
      <c r="BS7" s="60"/>
      <c r="BT7" s="60"/>
      <c r="BU7" s="60"/>
      <c r="BV7" s="60"/>
      <c r="BW7" s="60"/>
      <c r="BX7" s="60"/>
      <c r="BY7" s="60"/>
      <c r="BZ7" s="63"/>
      <c r="CA7" s="76"/>
      <c r="CB7" s="76"/>
      <c r="CC7" s="76"/>
      <c r="CD7" s="76"/>
      <c r="CE7" s="76"/>
      <c r="CF7" s="76"/>
      <c r="CG7" s="77"/>
      <c r="CH7" s="75" t="str">
        <f>IF(CN9=10,"Se você tem treino programado nesta data, entre em contato com a equipe para atualizarmos a sessão!","TREINAMENTO RESISTIDO")</f>
        <v>TREINAMENTO RESISTIDO</v>
      </c>
      <c r="CI7" s="60"/>
      <c r="CJ7" s="60"/>
      <c r="CK7" s="60"/>
      <c r="CL7" s="60"/>
      <c r="CM7" s="60"/>
      <c r="CN7" s="60"/>
      <c r="CO7" s="60"/>
      <c r="CP7" s="60"/>
      <c r="CQ7" s="63"/>
      <c r="CR7" s="76"/>
      <c r="CS7" s="76"/>
      <c r="CT7" s="76"/>
      <c r="CU7" s="76"/>
      <c r="CV7" s="76"/>
      <c r="CW7" s="76"/>
      <c r="CX7" s="77"/>
      <c r="CY7" s="75" t="str">
        <f>IF(DE9=10,"Se você tem treino programado nesta data, entre em contato com a equipe para atualizarmos a sessão!","TREINAMENTO RESISTIDO")</f>
        <v>Se você tem treino programado nesta data, entre em contato com a equipe para atualizarmos a sessão!</v>
      </c>
      <c r="CZ7" s="60"/>
      <c r="DA7" s="60"/>
      <c r="DB7" s="60"/>
      <c r="DC7" s="60"/>
      <c r="DD7" s="60"/>
      <c r="DE7" s="60"/>
      <c r="DF7" s="60"/>
      <c r="DG7" s="60"/>
      <c r="DH7" s="63"/>
      <c r="DI7" s="76"/>
      <c r="DJ7" s="76"/>
      <c r="DK7" s="76"/>
      <c r="DL7" s="76"/>
      <c r="DM7" s="76"/>
      <c r="DN7" s="76"/>
      <c r="DO7" s="77"/>
      <c r="DP7" s="78" t="s">
        <v>18</v>
      </c>
      <c r="DQ7" s="79">
        <f>E83+V83+AM83+BD83+BU83+CL83+DC83</f>
        <v>0</v>
      </c>
      <c r="DR7" s="80"/>
      <c r="DS7" s="80"/>
      <c r="DT7" s="80"/>
      <c r="DU7" s="80"/>
      <c r="DV7" s="80"/>
      <c r="DW7" s="80"/>
      <c r="DX7" s="80"/>
      <c r="DY7" s="80"/>
    </row>
    <row r="8">
      <c r="A8" s="67" t="s">
        <v>19</v>
      </c>
      <c r="B8" s="81">
        <f>SUM(E16,E18,E20,E22,E26,E28,E30,E32,E34,E36,E38,E40,E42,E44,E46,E48,E50,E52,E54,E56,E58,E60,E62,E64,E68,E70,E72)</f>
        <v>46</v>
      </c>
      <c r="C8" s="71" t="s">
        <v>20</v>
      </c>
      <c r="D8" s="61"/>
      <c r="E8" s="82">
        <f>SUM(E16*F16,E18*F18,E20*F20,E22*F22,E26*F26,E28*F28,E30*F30,E32*F32,E34*F34,E36*F36,E38*F38,E40*F40,E42*F42,E44*F44,E46*F46,E48*F48,E50*F50,E52*F52,E54*F54,E56*F56,E58*F58,E60*F60,E62*F62,E64*F64,E68*F68,E70*F70,E72*F72)</f>
        <v>460</v>
      </c>
      <c r="F8" s="83" t="s">
        <v>16</v>
      </c>
      <c r="G8" s="61"/>
      <c r="H8" s="72">
        <f>0.0175*'Dados de Base'!$D$5*D89*5</f>
        <v>119.4375</v>
      </c>
      <c r="I8" s="60"/>
      <c r="J8" s="63"/>
      <c r="K8" s="57"/>
      <c r="L8" s="57"/>
      <c r="M8" s="57"/>
      <c r="N8" s="57"/>
      <c r="O8" s="57"/>
      <c r="P8" s="57"/>
      <c r="Q8" s="58"/>
      <c r="R8" s="67" t="s">
        <v>19</v>
      </c>
      <c r="S8" s="81">
        <f>SUM(V16,V18,V20,V22,V26,V28,V30,V32,V34,V36,V38,V40,V42,V44,V46,V48,V50,V52,V54,V56,V58,V60,V62,V64,V68,V70,V72)</f>
        <v>42</v>
      </c>
      <c r="T8" s="71" t="s">
        <v>20</v>
      </c>
      <c r="U8" s="61"/>
      <c r="V8" s="82">
        <f>SUM(V16*W16,V18*W18,V20*W20,V22*W22,V26*W26,V28*W28,V30*W30,V32*W32,V34*W34,V36*W36,V38*W38,V40*W40,V42*W42,V44*W44,V46*W46,V48*W48,V50*W50,V52*W52,V54*W54,V56*W56,V58*W58,V60*W60,V62*W62,V64*W64,V68*W68,V70*W70,V72*W72)</f>
        <v>525</v>
      </c>
      <c r="W8" s="84" t="s">
        <v>16</v>
      </c>
      <c r="X8" s="84"/>
      <c r="Y8" s="72">
        <f>0.0175*'Dados de Base'!$D$5*U89*5</f>
        <v>114.384375</v>
      </c>
      <c r="Z8" s="60"/>
      <c r="AA8" s="63"/>
      <c r="AB8" s="57"/>
      <c r="AC8" s="57"/>
      <c r="AD8" s="57"/>
      <c r="AE8" s="57"/>
      <c r="AF8" s="57"/>
      <c r="AG8" s="57"/>
      <c r="AH8" s="58"/>
      <c r="AI8" s="67" t="s">
        <v>19</v>
      </c>
      <c r="AJ8" s="81">
        <f>SUM(AM16,AM18,AM20,AM22,AM26,AM28,AM30,AM32,AM34,AM36,AM38,AM40,AM42,AM44,AM46,AM48,AM50,AM52,AM54,AM56,AM58,AM60,AM62,AM64,AM68,AM70,AM72)</f>
        <v>5</v>
      </c>
      <c r="AK8" s="71" t="s">
        <v>20</v>
      </c>
      <c r="AL8" s="61"/>
      <c r="AM8" s="82">
        <f>SUM(AM16*AN16,AM18*AN18,AM20*AN20,AM22*AN22,AM26*AN26,AM28*AN28,AM30*AN30,AM32*AN32,AM34*AN34,AM36*AN36,AM38*AN38,AM40*AN40,AM42*AN42,AM44*AN44,AM46*AN46,AM48*AN48,AM50*AN50,AM52*AN52,AM54*AN54,AM56*AN56,AM58*AN58,AM60*AN60,AM62*AN62,AM64*AN64,AM68*AN68,AM70*AN70,AM72*AN72)</f>
        <v>90</v>
      </c>
      <c r="AN8" s="83" t="s">
        <v>16</v>
      </c>
      <c r="AO8" s="61"/>
      <c r="AP8" s="72">
        <f>0.0175*'Dados de Base'!$D$5*AL89*5</f>
        <v>11.94375</v>
      </c>
      <c r="AQ8" s="60"/>
      <c r="AR8" s="63"/>
      <c r="AS8" s="57"/>
      <c r="AT8" s="57"/>
      <c r="AU8" s="57"/>
      <c r="AV8" s="57"/>
      <c r="AW8" s="57"/>
      <c r="AX8" s="57"/>
      <c r="AY8" s="58"/>
      <c r="AZ8" s="67" t="s">
        <v>19</v>
      </c>
      <c r="BA8" s="81">
        <f>SUM(BD16,BD18,BD20,BD22,BD26,BD28,BD30,BD32,BD34,BD36,BD38,BD40,BD42,BD44,BD46,BD48,BD50,BD52,BD54,BD56,BD58,BD60,BD62,BD64,BD68,BD70,BD72)</f>
        <v>40</v>
      </c>
      <c r="BB8" s="71" t="s">
        <v>20</v>
      </c>
      <c r="BC8" s="61"/>
      <c r="BD8" s="82">
        <f>SUM(BD16*BE16,BD18*BE18,BD20*BE20,BD22*BE22,BD26*BE26,BD28*BE28,BD30*BE30,BD32*BE32,BD34*BE34,BD36*BE36,BD38*BE38,BD40*BE40,BD42*BE42,BD44*BE44,BD46*BE46,BD48*BE48,BD50*BE50,BD52*BE52,BD54*BE54,BD56*BE56,BD58*BE58,BD60*BE60,BD62*BE62,BD64*BE64,BD68*BE68,BD70*BE70,BD72*BE72)</f>
        <v>410</v>
      </c>
      <c r="BE8" s="83" t="s">
        <v>16</v>
      </c>
      <c r="BF8" s="61"/>
      <c r="BG8" s="72">
        <f>0.0175*'Dados de Base'!$D$5*BC89*5</f>
        <v>107.49375</v>
      </c>
      <c r="BH8" s="60"/>
      <c r="BI8" s="63"/>
      <c r="BJ8" s="57"/>
      <c r="BK8" s="57"/>
      <c r="BL8" s="57"/>
      <c r="BM8" s="57"/>
      <c r="BN8" s="57"/>
      <c r="BO8" s="57"/>
      <c r="BP8" s="58"/>
      <c r="BQ8" s="67" t="s">
        <v>19</v>
      </c>
      <c r="BR8" s="81">
        <f>SUM(BU16,BU18,BU20,BU22,BU26,BU28,BU30,BU32,BU34,BU36,BU38,BU40,BU42,BU44,BU46,BU48,BU50,BU52,BU54,BU56,BU58,BU60,BU62,BU64,BU68,BU70,BU72)</f>
        <v>46</v>
      </c>
      <c r="BS8" s="71" t="s">
        <v>20</v>
      </c>
      <c r="BT8" s="61"/>
      <c r="BU8" s="82">
        <f>SUM(BU16*BV16,BU18*BV18,BU20*BV20,BU22*BV22,BU26*BV26,BU28*BV28,BU30*BV30,BU32*BV32,BU34*BV34,BU36*BV36,BU38*BV38,BU40*BV40,BU42*BV42,BU44*BV44,BU46*BV46,BU48*BV48,BU50*BV50,BU52*BV52,BU54*BV54,BU56*BV56,BU58*BV58,BU60*BV60,BU62*BV62,BU64*BV64,BU68*BV68,BU70*BV70,BU72*BV72)</f>
        <v>460</v>
      </c>
      <c r="BV8" s="83" t="s">
        <v>16</v>
      </c>
      <c r="BW8" s="61"/>
      <c r="BX8" s="72">
        <f>0.0175*'Dados de Base'!$D$5*BT89*5</f>
        <v>119.4375</v>
      </c>
      <c r="BY8" s="60"/>
      <c r="BZ8" s="63"/>
      <c r="CA8" s="57"/>
      <c r="CB8" s="57"/>
      <c r="CC8" s="57"/>
      <c r="CD8" s="57"/>
      <c r="CE8" s="57"/>
      <c r="CF8" s="57"/>
      <c r="CG8" s="58"/>
      <c r="CH8" s="67" t="s">
        <v>19</v>
      </c>
      <c r="CI8" s="81">
        <f>SUM(CL16,CL18,CL20,CL22,CL26,CL28,CL30,CL32,CL34,CL36,CL38,CL40,CL42,CL44,CL46,CL48,CL50,CL52,CL54,CL56,CL58,CL60,CL62,CL64,CL68,CL70,CL72)</f>
        <v>6</v>
      </c>
      <c r="CJ8" s="71" t="s">
        <v>20</v>
      </c>
      <c r="CK8" s="61"/>
      <c r="CL8" s="82">
        <f>SUM(CL16*CM16,CL18*CM18,CL20*CM20,CL22*CM22,CL26*CM26,CL28*CM28,CL30*CM30,CL32*CM32,CL34*CM34,CL36*CM36,CL38*CM38,CL40*CM40,CL42*CM42,CL44*CM44,CL46*CM46,CL48*CM48,CL50*CM50,CL52*CM52,CL54*CM54,CL56*CM56,CL58*CM58,CL60*CM60,CL62*CM62,CL64*CM64,CL68*CM68,CL70*CM70,CL72*CM72)</f>
        <v>100</v>
      </c>
      <c r="CM8" s="83" t="s">
        <v>16</v>
      </c>
      <c r="CN8" s="61"/>
      <c r="CO8" s="72">
        <f>0.0175*'Dados de Base'!$D$5*CK89*5</f>
        <v>9.1875</v>
      </c>
      <c r="CP8" s="60"/>
      <c r="CQ8" s="63"/>
      <c r="CR8" s="57"/>
      <c r="CS8" s="57"/>
      <c r="CT8" s="57"/>
      <c r="CU8" s="57"/>
      <c r="CV8" s="57"/>
      <c r="CW8" s="57"/>
      <c r="CX8" s="58"/>
      <c r="CY8" s="67" t="s">
        <v>19</v>
      </c>
      <c r="CZ8" s="81">
        <f>SUM(DC16,DC18,DC20,DC22,DC26,DC28,DC30,DC32,DC34,DC36,DC38,DC40,DC42,DC44,DC46,DC48,DC50,DC52,DC54,DC56,DC58,DC60,DC62,DC64,DC68,DC70,DC72)</f>
        <v>0</v>
      </c>
      <c r="DA8" s="71" t="s">
        <v>20</v>
      </c>
      <c r="DB8" s="61"/>
      <c r="DC8" s="82">
        <f>SUM(DC16*DD16,DC18*DD18,DC20*DD20,DC22*DD22,DC26*DD26,DC28*DD28,DC30*DD30,DC32*DD32,DC34*DD34,DC36*DD36,DC38*DD38,DC40*DD40,DC42*DD42,DC44*DD44,DC46*DD46,DC48*DD48,DC50*DD50,DC52*DD52,DC54*DD54,DC56*DD56,DC58*DD58,DC60*DD60,DC62*DD62,DC64*DD64,DC68*DD68,DC70*DD70,DC72*DD72)</f>
        <v>0</v>
      </c>
      <c r="DD8" s="83" t="s">
        <v>16</v>
      </c>
      <c r="DE8" s="61"/>
      <c r="DF8" s="72">
        <f>0.0175*'Dados de Base'!$D$5*DB89*5</f>
        <v>0</v>
      </c>
      <c r="DG8" s="60"/>
      <c r="DH8" s="63"/>
      <c r="DI8" s="57"/>
      <c r="DJ8" s="57"/>
      <c r="DK8" s="57"/>
      <c r="DL8" s="57"/>
      <c r="DM8" s="57"/>
      <c r="DN8" s="57"/>
      <c r="DO8" s="58"/>
      <c r="DP8" s="57" t="s">
        <v>21</v>
      </c>
      <c r="DQ8" s="56">
        <f>IF(L80&gt;0,D89,0)+IF(AC80&gt;0,U89,0)+IF(AT80&gt;0,AL89,0)+IF(BK80&gt;0,BC89,0)+IF(CB80&gt;0,BT89,0)+IF(CS80&gt;0,CK89,0)+IF(DJ80&gt;0,DB89,0)</f>
        <v>0</v>
      </c>
      <c r="DR8" s="56"/>
      <c r="DS8" s="56"/>
      <c r="DT8" s="56"/>
      <c r="DU8" s="56"/>
      <c r="DV8" s="56"/>
      <c r="DW8" s="56"/>
      <c r="DX8" s="56"/>
      <c r="DY8" s="56"/>
    </row>
    <row r="9">
      <c r="A9" s="85" t="s">
        <v>22</v>
      </c>
      <c r="B9" s="86"/>
      <c r="C9" s="86"/>
      <c r="D9" s="86"/>
      <c r="E9" s="86"/>
      <c r="F9" s="87"/>
      <c r="G9" s="88">
        <f>((D89+K89+IF(ISNUMBER(B82),B82,B6))*Montagem!AS3)+10</f>
        <v>73.25</v>
      </c>
      <c r="H9" s="86"/>
      <c r="I9" s="86"/>
      <c r="J9" s="89"/>
      <c r="K9" s="57"/>
      <c r="L9" s="57"/>
      <c r="M9" s="57"/>
      <c r="N9" s="57"/>
      <c r="O9" s="57"/>
      <c r="P9" s="57"/>
      <c r="Q9" s="58"/>
      <c r="R9" s="85" t="s">
        <v>22</v>
      </c>
      <c r="S9" s="86"/>
      <c r="T9" s="86"/>
      <c r="U9" s="86"/>
      <c r="V9" s="86"/>
      <c r="W9" s="87"/>
      <c r="X9" s="88">
        <f>((U89+AB89+IF(ISNUMBER(S82),S82,S6))*Montagem!AS3)+10</f>
        <v>51.25</v>
      </c>
      <c r="Y9" s="86"/>
      <c r="Z9" s="86"/>
      <c r="AA9" s="89"/>
      <c r="AB9" s="57"/>
      <c r="AC9" s="57"/>
      <c r="AD9" s="57"/>
      <c r="AE9" s="57"/>
      <c r="AF9" s="57"/>
      <c r="AG9" s="57"/>
      <c r="AH9" s="58"/>
      <c r="AI9" s="85" t="s">
        <v>22</v>
      </c>
      <c r="AJ9" s="86"/>
      <c r="AK9" s="86"/>
      <c r="AL9" s="86"/>
      <c r="AM9" s="86"/>
      <c r="AN9" s="87"/>
      <c r="AO9" s="88">
        <f>((AL89+AS89+IF(ISNUMBER(AJ82),AJ82,AJ6))*Montagem!AS3)+10</f>
        <v>13.83333333</v>
      </c>
      <c r="AP9" s="86"/>
      <c r="AQ9" s="86"/>
      <c r="AR9" s="89"/>
      <c r="AS9" s="57"/>
      <c r="AT9" s="57"/>
      <c r="AU9" s="57"/>
      <c r="AV9" s="57"/>
      <c r="AW9" s="57"/>
      <c r="AX9" s="57"/>
      <c r="AY9" s="58"/>
      <c r="AZ9" s="85" t="s">
        <v>22</v>
      </c>
      <c r="BA9" s="86"/>
      <c r="BB9" s="86"/>
      <c r="BC9" s="86"/>
      <c r="BD9" s="86"/>
      <c r="BE9" s="87"/>
      <c r="BF9" s="88">
        <f>((BC89+BJ89+IF(ISNUMBER(BA82),BA82,BA6))*Montagem!AS3)+10</f>
        <v>51</v>
      </c>
      <c r="BG9" s="86"/>
      <c r="BH9" s="86"/>
      <c r="BI9" s="89"/>
      <c r="BJ9" s="57"/>
      <c r="BK9" s="57"/>
      <c r="BL9" s="57"/>
      <c r="BM9" s="57"/>
      <c r="BN9" s="57"/>
      <c r="BO9" s="57"/>
      <c r="BP9" s="58"/>
      <c r="BQ9" s="85" t="s">
        <v>22</v>
      </c>
      <c r="BR9" s="86"/>
      <c r="BS9" s="86"/>
      <c r="BT9" s="86"/>
      <c r="BU9" s="86"/>
      <c r="BV9" s="87"/>
      <c r="BW9" s="88">
        <f>((BT89+CA89+IF(ISNUMBER(BR82),BR82,BR6))*Montagem!AS3)+10</f>
        <v>83.25</v>
      </c>
      <c r="BX9" s="86"/>
      <c r="BY9" s="86"/>
      <c r="BZ9" s="89"/>
      <c r="CA9" s="57"/>
      <c r="CB9" s="57"/>
      <c r="CC9" s="57"/>
      <c r="CD9" s="57"/>
      <c r="CE9" s="57"/>
      <c r="CF9" s="57"/>
      <c r="CG9" s="58"/>
      <c r="CH9" s="85" t="s">
        <v>22</v>
      </c>
      <c r="CI9" s="86"/>
      <c r="CJ9" s="86"/>
      <c r="CK9" s="86"/>
      <c r="CL9" s="86"/>
      <c r="CM9" s="87"/>
      <c r="CN9" s="88">
        <f>((CK89+CR89+IF(ISNUMBER(CI82),CI82,CI6))*Montagem!AS3)+10</f>
        <v>13.33333333</v>
      </c>
      <c r="CO9" s="86"/>
      <c r="CP9" s="86"/>
      <c r="CQ9" s="89"/>
      <c r="CR9" s="57"/>
      <c r="CS9" s="57"/>
      <c r="CT9" s="57"/>
      <c r="CU9" s="57"/>
      <c r="CV9" s="57"/>
      <c r="CW9" s="57"/>
      <c r="CX9" s="58"/>
      <c r="CY9" s="85" t="s">
        <v>22</v>
      </c>
      <c r="CZ9" s="86"/>
      <c r="DA9" s="86"/>
      <c r="DB9" s="86"/>
      <c r="DC9" s="86"/>
      <c r="DD9" s="87"/>
      <c r="DE9" s="88">
        <f>((DB89+DI89+IF(ISNUMBER(CZ82),CZ82,CZ6))*Montagem!AS3)+10</f>
        <v>10</v>
      </c>
      <c r="DF9" s="86"/>
      <c r="DG9" s="86"/>
      <c r="DH9" s="89"/>
      <c r="DI9" s="57"/>
      <c r="DJ9" s="57"/>
      <c r="DK9" s="57"/>
      <c r="DL9" s="57"/>
      <c r="DM9" s="57"/>
      <c r="DN9" s="57"/>
      <c r="DO9" s="58"/>
      <c r="DP9" s="57" t="s">
        <v>23</v>
      </c>
      <c r="DQ9" s="56">
        <f>IF(L80&gt;0,H8+H6,0)+IF(AC80&gt;0,Y8+Y6,0)+IF(AT80&gt;0,AP8+AP6,0)+IF(BK80&gt;0,BG8+BG6,0)+IF(CB80&gt;0,BX8+BX6,0)+IF(CS80&gt;0,CO8+CO6,0)+IF(DJ80&gt;0,DF8+DF6,0)</f>
        <v>0</v>
      </c>
      <c r="DR9" s="56"/>
      <c r="DS9" s="56"/>
      <c r="DT9" s="56"/>
      <c r="DU9" s="56"/>
      <c r="DV9" s="56"/>
      <c r="DW9" s="56"/>
      <c r="DX9" s="56"/>
      <c r="DY9" s="56"/>
    </row>
    <row r="10">
      <c r="A10" s="90" t="s">
        <v>24</v>
      </c>
      <c r="J10" s="66"/>
      <c r="K10" s="57"/>
      <c r="L10" s="57"/>
      <c r="M10" s="57"/>
      <c r="N10" s="57"/>
      <c r="O10" s="57"/>
      <c r="P10" s="57"/>
      <c r="Q10" s="58"/>
      <c r="R10" s="90" t="s">
        <v>24</v>
      </c>
      <c r="AA10" s="66"/>
      <c r="AB10" s="57"/>
      <c r="AC10" s="57"/>
      <c r="AD10" s="57"/>
      <c r="AE10" s="57"/>
      <c r="AF10" s="57"/>
      <c r="AG10" s="57"/>
      <c r="AH10" s="58"/>
      <c r="AI10" s="90" t="s">
        <v>24</v>
      </c>
      <c r="AR10" s="66"/>
      <c r="AS10" s="57"/>
      <c r="AT10" s="57"/>
      <c r="AU10" s="57"/>
      <c r="AV10" s="57"/>
      <c r="AW10" s="57"/>
      <c r="AX10" s="57"/>
      <c r="AY10" s="58"/>
      <c r="AZ10" s="90" t="s">
        <v>24</v>
      </c>
      <c r="BI10" s="66"/>
      <c r="BJ10" s="57"/>
      <c r="BK10" s="57"/>
      <c r="BL10" s="57"/>
      <c r="BM10" s="57"/>
      <c r="BN10" s="57"/>
      <c r="BO10" s="57"/>
      <c r="BP10" s="58"/>
      <c r="BQ10" s="90" t="s">
        <v>24</v>
      </c>
      <c r="BZ10" s="66"/>
      <c r="CA10" s="57"/>
      <c r="CB10" s="57"/>
      <c r="CC10" s="57"/>
      <c r="CD10" s="57"/>
      <c r="CE10" s="57"/>
      <c r="CF10" s="57"/>
      <c r="CG10" s="58"/>
      <c r="CH10" s="90" t="s">
        <v>24</v>
      </c>
      <c r="CQ10" s="66"/>
      <c r="CR10" s="57"/>
      <c r="CS10" s="57"/>
      <c r="CT10" s="57"/>
      <c r="CU10" s="57"/>
      <c r="CV10" s="57"/>
      <c r="CW10" s="57"/>
      <c r="CX10" s="58"/>
      <c r="CY10" s="90" t="s">
        <v>24</v>
      </c>
      <c r="DH10" s="66"/>
      <c r="DI10" s="57"/>
      <c r="DJ10" s="57"/>
      <c r="DK10" s="57"/>
      <c r="DL10" s="57"/>
      <c r="DM10" s="57"/>
      <c r="DN10" s="57"/>
      <c r="DO10" s="58"/>
      <c r="DP10" s="57" t="s">
        <v>25</v>
      </c>
      <c r="DQ10" s="56">
        <f>DQ9/7</f>
        <v>0</v>
      </c>
      <c r="DR10" s="56"/>
      <c r="DS10" s="56"/>
      <c r="DT10" s="56"/>
      <c r="DU10" s="56"/>
      <c r="DV10" s="56"/>
      <c r="DW10" s="56"/>
      <c r="DX10" s="56"/>
      <c r="DY10" s="56"/>
    </row>
    <row r="11">
      <c r="A11" s="91" t="str">
        <f>Montagem!K12</f>
        <v/>
      </c>
      <c r="J11" s="66"/>
      <c r="K11" s="92"/>
      <c r="L11" s="92"/>
      <c r="M11" s="92"/>
      <c r="N11" s="92"/>
      <c r="O11" s="92"/>
      <c r="P11" s="92"/>
      <c r="Q11" s="93"/>
      <c r="R11" s="91" t="str">
        <f>Montagem!Z12</f>
        <v/>
      </c>
      <c r="AA11" s="66"/>
      <c r="AB11" s="92"/>
      <c r="AC11" s="92"/>
      <c r="AD11" s="92"/>
      <c r="AE11" s="92"/>
      <c r="AF11" s="92"/>
      <c r="AG11" s="92"/>
      <c r="AH11" s="93"/>
      <c r="AI11" s="91" t="str">
        <f>Montagem!AO12</f>
        <v/>
      </c>
      <c r="AR11" s="66"/>
      <c r="AS11" s="92"/>
      <c r="AT11" s="92"/>
      <c r="AU11" s="92"/>
      <c r="AV11" s="92"/>
      <c r="AW11" s="92"/>
      <c r="AX11" s="92"/>
      <c r="AY11" s="93"/>
      <c r="AZ11" s="91" t="str">
        <f>Montagem!BD12</f>
        <v/>
      </c>
      <c r="BI11" s="66"/>
      <c r="BJ11" s="92"/>
      <c r="BK11" s="92"/>
      <c r="BL11" s="92"/>
      <c r="BM11" s="92"/>
      <c r="BN11" s="92"/>
      <c r="BO11" s="92"/>
      <c r="BP11" s="93"/>
      <c r="BQ11" s="91" t="str">
        <f>Montagem!BS12</f>
        <v/>
      </c>
      <c r="BZ11" s="66"/>
      <c r="CA11" s="92"/>
      <c r="CB11" s="92"/>
      <c r="CC11" s="92"/>
      <c r="CD11" s="92"/>
      <c r="CE11" s="92"/>
      <c r="CF11" s="92"/>
      <c r="CG11" s="93"/>
      <c r="CH11" s="91" t="str">
        <f>Montagem!CH12</f>
        <v/>
      </c>
      <c r="CQ11" s="66"/>
      <c r="CR11" s="92"/>
      <c r="CS11" s="92"/>
      <c r="CT11" s="92"/>
      <c r="CU11" s="92"/>
      <c r="CV11" s="92"/>
      <c r="CW11" s="92"/>
      <c r="CX11" s="93"/>
      <c r="CY11" s="91" t="str">
        <f>Montagem!CW12</f>
        <v/>
      </c>
      <c r="DH11" s="66"/>
      <c r="DI11" s="92"/>
      <c r="DJ11" s="92"/>
      <c r="DK11" s="92"/>
      <c r="DL11" s="92"/>
      <c r="DM11" s="92"/>
      <c r="DN11" s="92"/>
      <c r="DO11" s="93"/>
      <c r="DP11" s="92" t="s">
        <v>26</v>
      </c>
      <c r="DQ11" s="94">
        <f>SUM(D90,U90,AL90,BC90,BT90,CK90,DB90)</f>
        <v>0</v>
      </c>
      <c r="DR11" s="94"/>
      <c r="DS11" s="94"/>
      <c r="DT11" s="94"/>
      <c r="DU11" s="94"/>
      <c r="DV11" s="94"/>
      <c r="DW11" s="94"/>
      <c r="DX11" s="94"/>
      <c r="DY11" s="94"/>
    </row>
    <row r="12">
      <c r="A12" s="91" t="str">
        <f>Montagem!K13</f>
        <v/>
      </c>
      <c r="J12" s="66"/>
      <c r="K12" s="92"/>
      <c r="L12" s="92"/>
      <c r="M12" s="92"/>
      <c r="N12" s="92"/>
      <c r="O12" s="92"/>
      <c r="P12" s="92"/>
      <c r="Q12" s="93"/>
      <c r="R12" s="91" t="str">
        <f>Montagem!Z13</f>
        <v/>
      </c>
      <c r="AA12" s="66"/>
      <c r="AB12" s="92"/>
      <c r="AC12" s="92"/>
      <c r="AD12" s="92"/>
      <c r="AE12" s="92"/>
      <c r="AF12" s="92"/>
      <c r="AG12" s="92"/>
      <c r="AH12" s="93"/>
      <c r="AI12" s="91" t="str">
        <f>Montagem!AO13</f>
        <v/>
      </c>
      <c r="AR12" s="66"/>
      <c r="AS12" s="92"/>
      <c r="AT12" s="92"/>
      <c r="AU12" s="92"/>
      <c r="AV12" s="92"/>
      <c r="AW12" s="92"/>
      <c r="AX12" s="92"/>
      <c r="AY12" s="93"/>
      <c r="AZ12" s="91" t="str">
        <f>Montagem!BD13</f>
        <v/>
      </c>
      <c r="BI12" s="66"/>
      <c r="BJ12" s="92"/>
      <c r="BK12" s="92"/>
      <c r="BL12" s="92"/>
      <c r="BM12" s="92"/>
      <c r="BN12" s="92"/>
      <c r="BO12" s="92"/>
      <c r="BP12" s="93"/>
      <c r="BQ12" s="91" t="str">
        <f>Montagem!BS13</f>
        <v/>
      </c>
      <c r="BZ12" s="66"/>
      <c r="CA12" s="92"/>
      <c r="CB12" s="92"/>
      <c r="CC12" s="92"/>
      <c r="CD12" s="92"/>
      <c r="CE12" s="92"/>
      <c r="CF12" s="92"/>
      <c r="CG12" s="93"/>
      <c r="CH12" s="91" t="str">
        <f>Montagem!CH13</f>
        <v/>
      </c>
      <c r="CQ12" s="66"/>
      <c r="CR12" s="92"/>
      <c r="CS12" s="92"/>
      <c r="CT12" s="92"/>
      <c r="CU12" s="92"/>
      <c r="CV12" s="92"/>
      <c r="CW12" s="92"/>
      <c r="CX12" s="93"/>
      <c r="CY12" s="91" t="str">
        <f>Montagem!CW13</f>
        <v/>
      </c>
      <c r="DH12" s="66"/>
      <c r="DI12" s="92"/>
      <c r="DJ12" s="92"/>
      <c r="DK12" s="92"/>
      <c r="DL12" s="92"/>
      <c r="DM12" s="92"/>
      <c r="DN12" s="92"/>
      <c r="DO12" s="93"/>
      <c r="DP12" s="95" t="s">
        <v>27</v>
      </c>
      <c r="DQ12" s="94">
        <f>IF(DQ18=0,0,DQ11/DQ18)</f>
        <v>0</v>
      </c>
      <c r="DR12" s="94"/>
      <c r="DS12" s="94"/>
      <c r="DT12" s="94"/>
      <c r="DU12" s="94"/>
      <c r="DV12" s="94"/>
      <c r="DW12" s="94"/>
      <c r="DX12" s="94"/>
      <c r="DY12" s="94"/>
    </row>
    <row r="13">
      <c r="A13" s="91" t="str">
        <f>IFS(L2=4,"Semana de Adaptação",L2=2,"Semana Ordinária",L2=0,"Semana de Choque")</f>
        <v>Semana Ordinária</v>
      </c>
      <c r="J13" s="66"/>
      <c r="K13" s="92"/>
      <c r="L13" s="92"/>
      <c r="M13" s="92"/>
      <c r="N13" s="92"/>
      <c r="O13" s="92"/>
      <c r="P13" s="92"/>
      <c r="Q13" s="93"/>
      <c r="R13" s="91" t="str">
        <f>IFS(L2=4,"Semana de Adaptação",L2=2,"Semana Ordinária",L2=0,"Semana de Choque")</f>
        <v>Semana Ordinária</v>
      </c>
      <c r="AA13" s="66"/>
      <c r="AB13" s="92"/>
      <c r="AC13" s="92"/>
      <c r="AD13" s="92"/>
      <c r="AE13" s="92"/>
      <c r="AF13" s="92"/>
      <c r="AG13" s="92"/>
      <c r="AH13" s="93"/>
      <c r="AI13" s="91" t="str">
        <f>IFS(L2=4,"Semana de Adaptação",L2=2,"Semana Ordinária",L2=0,"Semana de Choque")</f>
        <v>Semana Ordinária</v>
      </c>
      <c r="AR13" s="66"/>
      <c r="AS13" s="92"/>
      <c r="AT13" s="92"/>
      <c r="AU13" s="92"/>
      <c r="AV13" s="92"/>
      <c r="AW13" s="92"/>
      <c r="AX13" s="92"/>
      <c r="AY13" s="93"/>
      <c r="AZ13" s="91" t="str">
        <f>IFS(L2=4,"Semana de Adaptação",L2=2,"Semana Ordinária",L2=0,"Semana de Choque")</f>
        <v>Semana Ordinária</v>
      </c>
      <c r="BI13" s="66"/>
      <c r="BJ13" s="92"/>
      <c r="BK13" s="92"/>
      <c r="BL13" s="92"/>
      <c r="BM13" s="92"/>
      <c r="BN13" s="92"/>
      <c r="BO13" s="92"/>
      <c r="BP13" s="93"/>
      <c r="BQ13" s="91" t="str">
        <f>IFS(L2=4,"Semana de Adaptação",L2=2,"Semana Ordinária",L2=0,"Semana de Choque")</f>
        <v>Semana Ordinária</v>
      </c>
      <c r="BZ13" s="66"/>
      <c r="CA13" s="92"/>
      <c r="CB13" s="92"/>
      <c r="CC13" s="92"/>
      <c r="CD13" s="92"/>
      <c r="CE13" s="92"/>
      <c r="CF13" s="92"/>
      <c r="CG13" s="93"/>
      <c r="CH13" s="91" t="str">
        <f>IFS(L2=4,"Semana de Adaptação",L2=2,"Semana Ordinária",L2=0,"Semana de Choque")</f>
        <v>Semana Ordinária</v>
      </c>
      <c r="CQ13" s="66"/>
      <c r="CR13" s="92"/>
      <c r="CS13" s="92"/>
      <c r="CT13" s="92"/>
      <c r="CU13" s="92"/>
      <c r="CV13" s="92"/>
      <c r="CW13" s="92"/>
      <c r="CX13" s="93"/>
      <c r="CY13" s="91" t="str">
        <f>IFS(L2=4,"Semana de Adaptação",L2=2,"Semana Ordinária",L2=0,"Semana de Choque")</f>
        <v>Semana Ordinária</v>
      </c>
      <c r="DH13" s="66"/>
      <c r="DI13" s="92"/>
      <c r="DJ13" s="92"/>
      <c r="DK13" s="92"/>
      <c r="DL13" s="92"/>
      <c r="DM13" s="92"/>
      <c r="DN13" s="92"/>
      <c r="DO13" s="93"/>
      <c r="DP13" s="95" t="s">
        <v>28</v>
      </c>
      <c r="DQ13" s="94">
        <f>DQ11/7</f>
        <v>0</v>
      </c>
      <c r="DR13" s="94"/>
      <c r="DS13" s="94"/>
      <c r="DT13" s="94"/>
      <c r="DU13" s="94"/>
      <c r="DV13" s="94"/>
      <c r="DW13" s="94"/>
      <c r="DX13" s="94"/>
      <c r="DY13" s="94"/>
    </row>
    <row r="14">
      <c r="A14" s="90" t="s">
        <v>29</v>
      </c>
      <c r="J14" s="66"/>
      <c r="K14" s="57"/>
      <c r="L14" s="57"/>
      <c r="M14" s="57"/>
      <c r="N14" s="57"/>
      <c r="O14" s="57"/>
      <c r="P14" s="57"/>
      <c r="Q14" s="58"/>
      <c r="R14" s="90" t="s">
        <v>29</v>
      </c>
      <c r="AA14" s="66"/>
      <c r="AB14" s="57"/>
      <c r="AC14" s="57"/>
      <c r="AD14" s="57"/>
      <c r="AE14" s="57"/>
      <c r="AF14" s="57"/>
      <c r="AG14" s="57"/>
      <c r="AH14" s="58"/>
      <c r="AI14" s="90" t="s">
        <v>29</v>
      </c>
      <c r="AR14" s="66"/>
      <c r="AS14" s="57"/>
      <c r="AT14" s="57"/>
      <c r="AU14" s="57"/>
      <c r="AV14" s="57"/>
      <c r="AW14" s="57"/>
      <c r="AX14" s="57"/>
      <c r="AY14" s="58"/>
      <c r="AZ14" s="90" t="s">
        <v>29</v>
      </c>
      <c r="BI14" s="66"/>
      <c r="BJ14" s="57"/>
      <c r="BK14" s="57"/>
      <c r="BL14" s="57"/>
      <c r="BM14" s="57"/>
      <c r="BN14" s="57"/>
      <c r="BO14" s="57"/>
      <c r="BP14" s="58"/>
      <c r="BQ14" s="90" t="s">
        <v>29</v>
      </c>
      <c r="BZ14" s="66"/>
      <c r="CA14" s="57"/>
      <c r="CB14" s="57"/>
      <c r="CC14" s="57"/>
      <c r="CD14" s="57"/>
      <c r="CE14" s="57"/>
      <c r="CF14" s="57"/>
      <c r="CG14" s="58"/>
      <c r="CH14" s="90" t="s">
        <v>29</v>
      </c>
      <c r="CQ14" s="66"/>
      <c r="CR14" s="57"/>
      <c r="CS14" s="57"/>
      <c r="CT14" s="57"/>
      <c r="CU14" s="57"/>
      <c r="CV14" s="57"/>
      <c r="CW14" s="57"/>
      <c r="CX14" s="58"/>
      <c r="CY14" s="90" t="s">
        <v>29</v>
      </c>
      <c r="DH14" s="66"/>
      <c r="DI14" s="57"/>
      <c r="DJ14" s="57"/>
      <c r="DK14" s="57"/>
      <c r="DL14" s="57"/>
      <c r="DM14" s="57"/>
      <c r="DN14" s="57"/>
      <c r="DO14" s="58"/>
      <c r="DP14" s="73" t="s">
        <v>30</v>
      </c>
      <c r="DQ14" s="56">
        <f>STDEVPA(D90,U90,AL90,BC90,BT90,CK90,DB90)</f>
        <v>0</v>
      </c>
      <c r="DR14" s="56"/>
      <c r="DS14" s="56"/>
      <c r="DT14" s="56"/>
      <c r="DU14" s="56"/>
      <c r="DV14" s="56"/>
      <c r="DW14" s="56"/>
      <c r="DX14" s="56"/>
      <c r="DY14" s="56"/>
    </row>
    <row r="15">
      <c r="A15" s="96" t="s">
        <v>31</v>
      </c>
      <c r="D15" s="97" t="s">
        <v>32</v>
      </c>
      <c r="E15" s="98" t="s">
        <v>33</v>
      </c>
      <c r="F15" s="98" t="s">
        <v>34</v>
      </c>
      <c r="G15" s="98" t="s">
        <v>35</v>
      </c>
      <c r="H15" s="98" t="s">
        <v>36</v>
      </c>
      <c r="I15" s="98" t="s">
        <v>37</v>
      </c>
      <c r="J15" s="99" t="s">
        <v>38</v>
      </c>
      <c r="K15" s="100"/>
      <c r="L15" s="100"/>
      <c r="M15" s="100"/>
      <c r="N15" s="100"/>
      <c r="O15" s="100"/>
      <c r="P15" s="100"/>
      <c r="Q15" s="101"/>
      <c r="R15" s="96" t="s">
        <v>31</v>
      </c>
      <c r="U15" s="97" t="s">
        <v>32</v>
      </c>
      <c r="V15" s="98" t="s">
        <v>33</v>
      </c>
      <c r="W15" s="98" t="s">
        <v>34</v>
      </c>
      <c r="X15" s="98" t="s">
        <v>35</v>
      </c>
      <c r="Y15" s="98" t="s">
        <v>36</v>
      </c>
      <c r="Z15" s="98" t="s">
        <v>37</v>
      </c>
      <c r="AA15" s="99" t="s">
        <v>38</v>
      </c>
      <c r="AB15" s="100"/>
      <c r="AC15" s="100"/>
      <c r="AD15" s="100"/>
      <c r="AE15" s="100"/>
      <c r="AF15" s="100"/>
      <c r="AG15" s="100"/>
      <c r="AH15" s="101"/>
      <c r="AI15" s="96" t="s">
        <v>31</v>
      </c>
      <c r="AL15" s="97" t="s">
        <v>32</v>
      </c>
      <c r="AM15" s="98" t="s">
        <v>33</v>
      </c>
      <c r="AN15" s="98" t="s">
        <v>34</v>
      </c>
      <c r="AO15" s="98" t="s">
        <v>35</v>
      </c>
      <c r="AP15" s="98" t="s">
        <v>36</v>
      </c>
      <c r="AQ15" s="98" t="s">
        <v>37</v>
      </c>
      <c r="AR15" s="99" t="s">
        <v>38</v>
      </c>
      <c r="AS15" s="100"/>
      <c r="AT15" s="100"/>
      <c r="AU15" s="100"/>
      <c r="AV15" s="100"/>
      <c r="AW15" s="100"/>
      <c r="AX15" s="100"/>
      <c r="AY15" s="101"/>
      <c r="AZ15" s="96" t="s">
        <v>31</v>
      </c>
      <c r="BC15" s="97" t="s">
        <v>32</v>
      </c>
      <c r="BD15" s="98" t="s">
        <v>33</v>
      </c>
      <c r="BE15" s="98" t="s">
        <v>34</v>
      </c>
      <c r="BF15" s="98" t="s">
        <v>35</v>
      </c>
      <c r="BG15" s="98" t="s">
        <v>36</v>
      </c>
      <c r="BH15" s="98" t="s">
        <v>37</v>
      </c>
      <c r="BI15" s="99" t="s">
        <v>38</v>
      </c>
      <c r="BJ15" s="100"/>
      <c r="BK15" s="100"/>
      <c r="BL15" s="100"/>
      <c r="BM15" s="100"/>
      <c r="BN15" s="100"/>
      <c r="BO15" s="100"/>
      <c r="BP15" s="101"/>
      <c r="BQ15" s="96" t="s">
        <v>31</v>
      </c>
      <c r="BT15" s="97" t="s">
        <v>32</v>
      </c>
      <c r="BU15" s="98" t="s">
        <v>33</v>
      </c>
      <c r="BV15" s="98" t="s">
        <v>34</v>
      </c>
      <c r="BW15" s="98" t="s">
        <v>35</v>
      </c>
      <c r="BX15" s="98" t="s">
        <v>36</v>
      </c>
      <c r="BY15" s="98" t="s">
        <v>37</v>
      </c>
      <c r="BZ15" s="99" t="s">
        <v>38</v>
      </c>
      <c r="CA15" s="100"/>
      <c r="CB15" s="100"/>
      <c r="CC15" s="100"/>
      <c r="CD15" s="100"/>
      <c r="CE15" s="100"/>
      <c r="CF15" s="100"/>
      <c r="CG15" s="101"/>
      <c r="CH15" s="96" t="s">
        <v>31</v>
      </c>
      <c r="CK15" s="97" t="s">
        <v>32</v>
      </c>
      <c r="CL15" s="98" t="s">
        <v>33</v>
      </c>
      <c r="CM15" s="98" t="s">
        <v>34</v>
      </c>
      <c r="CN15" s="98" t="s">
        <v>35</v>
      </c>
      <c r="CO15" s="98" t="s">
        <v>36</v>
      </c>
      <c r="CP15" s="98" t="s">
        <v>37</v>
      </c>
      <c r="CQ15" s="99" t="s">
        <v>38</v>
      </c>
      <c r="CR15" s="100"/>
      <c r="CS15" s="100"/>
      <c r="CT15" s="100"/>
      <c r="CU15" s="100"/>
      <c r="CV15" s="100"/>
      <c r="CW15" s="100"/>
      <c r="CX15" s="101"/>
      <c r="CY15" s="96" t="s">
        <v>31</v>
      </c>
      <c r="DB15" s="97" t="s">
        <v>32</v>
      </c>
      <c r="DC15" s="98" t="s">
        <v>33</v>
      </c>
      <c r="DD15" s="98" t="s">
        <v>34</v>
      </c>
      <c r="DE15" s="98" t="s">
        <v>35</v>
      </c>
      <c r="DF15" s="98" t="s">
        <v>36</v>
      </c>
      <c r="DG15" s="98" t="s">
        <v>37</v>
      </c>
      <c r="DH15" s="99" t="s">
        <v>38</v>
      </c>
      <c r="DI15" s="100"/>
      <c r="DJ15" s="100"/>
      <c r="DK15" s="100"/>
      <c r="DL15" s="100"/>
      <c r="DM15" s="100"/>
      <c r="DN15" s="100"/>
      <c r="DO15" s="101"/>
      <c r="DP15" s="73" t="s">
        <v>39</v>
      </c>
      <c r="DQ15" s="56">
        <f>IF(ISERR(AVERAGE(K4,AB4,AS4,BJ4,CA4,CR4,DI4)),0,AVERAGE(K4,AB4,AS4,BJ4,CA4,CR4,DI4))</f>
        <v>10</v>
      </c>
      <c r="DR15" s="56"/>
      <c r="DS15" s="56"/>
      <c r="DT15" s="56"/>
      <c r="DU15" s="56"/>
      <c r="DV15" s="56"/>
      <c r="DW15" s="56"/>
      <c r="DX15" s="56"/>
      <c r="DY15" s="56"/>
    </row>
    <row r="16">
      <c r="A16" s="102" t="str">
        <f>IF(M16="","",HYPERLINK(OFFSET(Biblioteca!$B$2,MATCH(M16,Biblioteca!$A$3:$A$200,0),0),M16))</f>
        <v>Mobilidade de Quadril - Iliopsoas</v>
      </c>
      <c r="D16" s="103" t="str">
        <f>Montagem!Q16</f>
        <v>Seriado</v>
      </c>
      <c r="E16" s="104">
        <f>Montagem!R16</f>
        <v>2</v>
      </c>
      <c r="F16" s="104">
        <f>Montagem!S16</f>
        <v>10</v>
      </c>
      <c r="G16" s="104">
        <f>Montagem!T16</f>
        <v>10</v>
      </c>
      <c r="H16" s="104">
        <f>Montagem!U16</f>
        <v>1</v>
      </c>
      <c r="I16" s="104">
        <f>Montagem!V16</f>
        <v>1</v>
      </c>
      <c r="J16" s="105">
        <v>10.0</v>
      </c>
      <c r="K16" s="106">
        <f>Montagem!K16</f>
        <v>1</v>
      </c>
      <c r="L16" s="107">
        <f>Montagem!W16</f>
        <v>0</v>
      </c>
      <c r="M16" s="106" t="str">
        <f>Montagem!L16</f>
        <v>Mobilidade de Quadril - Iliopsoas</v>
      </c>
      <c r="N16" s="106" t="str">
        <f>Montagem!X16</f>
        <v/>
      </c>
      <c r="O16" s="106">
        <f>IF(N16="",L16,N16)</f>
        <v>0</v>
      </c>
      <c r="P16" s="106">
        <f>IF(L17="C",'Dados de Base'!$D$5*0.1,IF(L17="E",5,IF(J16="",O16,J16)))</f>
        <v>6.3</v>
      </c>
      <c r="Q16" s="108"/>
      <c r="R16" s="102" t="str">
        <f>IF(AD16="","",HYPERLINK(OFFSET(Biblioteca!$B$2,MATCH(AD16,Biblioteca!$A$3:$A$200,0),0),AD16))</f>
        <v>Mobilidade de Quadril em S</v>
      </c>
      <c r="U16" s="109" t="str">
        <f>Montagem!AF16</f>
        <v>Seriado</v>
      </c>
      <c r="V16" s="110">
        <f>Montagem!AG16</f>
        <v>2</v>
      </c>
      <c r="W16" s="110">
        <f>Montagem!AH16</f>
        <v>10</v>
      </c>
      <c r="X16" s="110">
        <f>Montagem!AI16</f>
        <v>10</v>
      </c>
      <c r="Y16" s="110">
        <f>Montagem!AJ16</f>
        <v>1</v>
      </c>
      <c r="Z16" s="110">
        <f>Montagem!AK16</f>
        <v>1</v>
      </c>
      <c r="AA16" s="105"/>
      <c r="AB16" s="111">
        <f>Montagem!Z16</f>
        <v>1</v>
      </c>
      <c r="AC16" s="106">
        <f>Montagem!AL16</f>
        <v>0</v>
      </c>
      <c r="AD16" s="111" t="str">
        <f>Montagem!AA16</f>
        <v>Mobilidade de Quadril em S</v>
      </c>
      <c r="AE16" s="111" t="str">
        <f>Montagem!AM16</f>
        <v/>
      </c>
      <c r="AF16" s="106">
        <f>IF(AE16="",AC16,AE16)</f>
        <v>0</v>
      </c>
      <c r="AG16" s="106">
        <f>IF(AC17="C",'Dados de Base'!$D$5*0.1,IF(AC17="E",5,IF(AA16="",AF16,AA16)))</f>
        <v>6.3</v>
      </c>
      <c r="AH16" s="108"/>
      <c r="AI16" s="102" t="str">
        <f>IF(AU16="","",HYPERLINK(OFFSET(Biblioteca!$B$2,MATCH(AU16,Biblioteca!$A$3:$A$200,0),0),AU16))</f>
        <v>Mobilidade de Quadril - Cócoras</v>
      </c>
      <c r="AL16" s="109" t="str">
        <f>Montagem!AU16</f>
        <v>Seriado</v>
      </c>
      <c r="AM16" s="110">
        <f>Montagem!AV16</f>
        <v>2</v>
      </c>
      <c r="AN16" s="110">
        <f>Montagem!AW16</f>
        <v>10</v>
      </c>
      <c r="AO16" s="110">
        <f>Montagem!AX16</f>
        <v>10</v>
      </c>
      <c r="AP16" s="110">
        <f>Montagem!AY16</f>
        <v>1</v>
      </c>
      <c r="AQ16" s="110">
        <f>Montagem!AZ16</f>
        <v>1</v>
      </c>
      <c r="AR16" s="105"/>
      <c r="AS16" s="111">
        <f>Montagem!AO16</f>
        <v>1</v>
      </c>
      <c r="AT16" s="106">
        <f>Montagem!BA16</f>
        <v>0</v>
      </c>
      <c r="AU16" s="111" t="str">
        <f>Montagem!AP16</f>
        <v>Mobilidade de Quadril - Cócoras</v>
      </c>
      <c r="AV16" s="111" t="str">
        <f>Montagem!BB16</f>
        <v/>
      </c>
      <c r="AW16" s="106">
        <f>IF(AV16="",AT16,AV16)</f>
        <v>0</v>
      </c>
      <c r="AX16" s="106">
        <f>IF(AT17="C",'Dados de Base'!$D$5*0.1,IF(AT17="E",5,IF(AR16="",AW16,AR16)))</f>
        <v>6.3</v>
      </c>
      <c r="AY16" s="108"/>
      <c r="AZ16" s="102" t="str">
        <f>IF(BL16="","",HYPERLINK(OFFSET(Biblioteca!$B$2,MATCH(BL16,Biblioteca!$A$3:$A$200,0),0),BL16))</f>
        <v>Mobilidade Torácica na Parede</v>
      </c>
      <c r="BC16" s="109" t="str">
        <f>Montagem!BJ16</f>
        <v>Seriado</v>
      </c>
      <c r="BD16" s="110">
        <f>Montagem!BK16</f>
        <v>2</v>
      </c>
      <c r="BE16" s="110">
        <f>Montagem!BL16</f>
        <v>10</v>
      </c>
      <c r="BF16" s="110">
        <f>Montagem!BM16</f>
        <v>10</v>
      </c>
      <c r="BG16" s="110">
        <f>Montagem!BN16</f>
        <v>1</v>
      </c>
      <c r="BH16" s="110">
        <f>Montagem!BO16</f>
        <v>1</v>
      </c>
      <c r="BI16" s="112"/>
      <c r="BJ16" s="111">
        <f>Montagem!BD16</f>
        <v>1</v>
      </c>
      <c r="BK16" s="106">
        <f>Montagem!BP16</f>
        <v>0</v>
      </c>
      <c r="BL16" s="111" t="str">
        <f>Montagem!BE16</f>
        <v>Mobilidade Torácica na Parede</v>
      </c>
      <c r="BM16" s="111" t="str">
        <f>Montagem!BQ16</f>
        <v/>
      </c>
      <c r="BN16" s="106">
        <f>IF(BM16="",BK16,BM16)</f>
        <v>0</v>
      </c>
      <c r="BO16" s="106">
        <f>IF(BK17="C",'Dados de Base'!$D$5*0.1,IF(BK17="E",5,IF(BI16="",BN16,BI16)))</f>
        <v>6.3</v>
      </c>
      <c r="BP16" s="108"/>
      <c r="BQ16" s="102" t="str">
        <f>IF(CC16="","",HYPERLINK(OFFSET(Biblioteca!$B$2,MATCH(CC16,Biblioteca!$A$3:$A$200,0),0),CC16))</f>
        <v>Mobilidade de Pelve no solo</v>
      </c>
      <c r="BT16" s="109" t="str">
        <f>Montagem!BY16</f>
        <v>Seriado</v>
      </c>
      <c r="BU16" s="110">
        <f>Montagem!BZ16</f>
        <v>2</v>
      </c>
      <c r="BV16" s="110">
        <f>Montagem!CA16</f>
        <v>10</v>
      </c>
      <c r="BW16" s="110">
        <f>Montagem!CB16</f>
        <v>10</v>
      </c>
      <c r="BX16" s="110">
        <f>Montagem!CC16</f>
        <v>1</v>
      </c>
      <c r="BY16" s="110">
        <f>Montagem!CD16</f>
        <v>1</v>
      </c>
      <c r="BZ16" s="113"/>
      <c r="CA16" s="111">
        <f>Montagem!BS16</f>
        <v>1</v>
      </c>
      <c r="CB16" s="106">
        <f>Montagem!CE16</f>
        <v>0</v>
      </c>
      <c r="CC16" s="111" t="str">
        <f>Montagem!BT16</f>
        <v>Mobilidade de Pelve no solo</v>
      </c>
      <c r="CD16" s="111" t="str">
        <f>Montagem!CF16</f>
        <v/>
      </c>
      <c r="CE16" s="106">
        <f>IF(CD16="",CB16,CD16)</f>
        <v>0</v>
      </c>
      <c r="CF16" s="106">
        <f>IF(CB17="C",'Dados de Base'!$D$5*0.1,IF(CB17="E",5,IF(BZ16="",CE16,BZ16)))</f>
        <v>6.3</v>
      </c>
      <c r="CG16" s="108"/>
      <c r="CH16" s="102" t="str">
        <f>IF(CT16="","",HYPERLINK(OFFSET(Biblioteca!$B$2,MATCH(CT16,Biblioteca!$A$3:$A$200,0),0),CT16))</f>
        <v>Mobilidade de tornozelo</v>
      </c>
      <c r="CK16" s="109" t="str">
        <f>Montagem!CN16</f>
        <v>Seriado</v>
      </c>
      <c r="CL16" s="110">
        <f>Montagem!CO16</f>
        <v>2</v>
      </c>
      <c r="CM16" s="110">
        <f>Montagem!CP16</f>
        <v>10</v>
      </c>
      <c r="CN16" s="110">
        <f>Montagem!CQ16</f>
        <v>10</v>
      </c>
      <c r="CO16" s="110">
        <f>Montagem!CR16</f>
        <v>0</v>
      </c>
      <c r="CP16" s="110">
        <f>Montagem!CS16</f>
        <v>1</v>
      </c>
      <c r="CQ16" s="114"/>
      <c r="CR16" s="111">
        <f>Montagem!CH16</f>
        <v>1</v>
      </c>
      <c r="CS16" s="106">
        <f>Montagem!CT16</f>
        <v>0</v>
      </c>
      <c r="CT16" s="111" t="str">
        <f>Montagem!CI16</f>
        <v>Mobilidade de tornozelo</v>
      </c>
      <c r="CU16" s="111" t="str">
        <f>Montagem!CU16</f>
        <v/>
      </c>
      <c r="CV16" s="106">
        <f>IF(CU16="",CS16,CU16)</f>
        <v>0</v>
      </c>
      <c r="CW16" s="106">
        <f>IF(CS17="C",'Dados de Base'!$D$5*0.1,IF(CS17="E",5,IF(CQ16="",CV16,CQ16)))</f>
        <v>6.3</v>
      </c>
      <c r="CX16" s="108"/>
      <c r="CY16" s="115" t="str">
        <f>IF(DK16="","",HYPERLINK(OFFSET(Biblioteca!$B$2,MATCH(DK16,Biblioteca!$A$3:$A$200,0),0),DK16))</f>
        <v/>
      </c>
      <c r="DB16" s="109" t="str">
        <f>Montagem!DC16</f>
        <v/>
      </c>
      <c r="DC16" s="110" t="str">
        <f>Montagem!DD16</f>
        <v/>
      </c>
      <c r="DD16" s="110" t="str">
        <f>Montagem!DE16</f>
        <v/>
      </c>
      <c r="DE16" s="110" t="str">
        <f>Montagem!DF16</f>
        <v/>
      </c>
      <c r="DF16" s="110" t="str">
        <f>Montagem!DG16</f>
        <v/>
      </c>
      <c r="DG16" s="110" t="str">
        <f>Montagem!DH16</f>
        <v/>
      </c>
      <c r="DH16" s="114"/>
      <c r="DI16" s="111">
        <f>Montagem!CW16</f>
        <v>1</v>
      </c>
      <c r="DJ16" s="106" t="str">
        <f>Montagem!DI16</f>
        <v/>
      </c>
      <c r="DK16" s="111" t="str">
        <f>Montagem!CX16</f>
        <v/>
      </c>
      <c r="DL16" s="111" t="str">
        <f>Montagem!DJ16</f>
        <v/>
      </c>
      <c r="DM16" s="106" t="str">
        <f>IF(DL16="",DJ16,DL16)</f>
        <v/>
      </c>
      <c r="DN16" s="106" t="str">
        <f>IF(DJ17="C",'Dados de Base'!$D$5*0.1,IF(DJ17="E",5,IF(DH16="",DM16,DH16)))</f>
        <v/>
      </c>
      <c r="DO16" s="108"/>
      <c r="DP16" s="116" t="s">
        <v>40</v>
      </c>
      <c r="DQ16" s="106">
        <f>IF(DQ18=0,0,(L80+AC80+AT80+BK80+CB80+CS80+DJ80)/DQ18)</f>
        <v>0</v>
      </c>
      <c r="DR16" s="106"/>
      <c r="DS16" s="106"/>
      <c r="DT16" s="106"/>
      <c r="DU16" s="106"/>
      <c r="DV16" s="106"/>
      <c r="DW16" s="106"/>
      <c r="DX16" s="106"/>
      <c r="DY16" s="106"/>
    </row>
    <row r="17">
      <c r="A17" s="117" t="str">
        <f>IF(A16="","",IFS(L17="A",Montagem!$C$30,N17="T","Realizar a maior quantidade de repetições por "&amp;F16&amp;" segundos | ",N17="I",IF(M17="U","Manter a posição por "&amp;F16&amp;" segundos de um lado e trocar para o outro na sequência | ","Manter a posição por "&amp;F16&amp;" segundos | "),M17="A","Realizar alternadamente "&amp;F16&amp;" repetições cada lado | ",M17="U","Realizar "&amp;F16&amp;" repetições de um lado e trocar para o outro na sequência | ",L17="P",OFFSET(Biblioteca!$H$2,MATCH(M16,Biblioteca!$A$3:$A$200,0),0),TRUE,""))</f>
        <v/>
      </c>
      <c r="E17" s="118" t="str">
        <f>IF(A16="","",IFS(L17="H","Carga Sugerida: "&amp;ROUNDUP(O16/2,0)&amp;" kg de cada lado (Total: "&amp;ROUNDUP(O16/2,0)*2&amp;" kg)",L17="C","Este exercício usa o Peso Corporal como carga",L17="E","Este exercício usa a resistência da banda elástica como carga",L17="O","Carga Sugerida: "&amp;INT(O16)&amp;" kg",TRUE,""))</f>
        <v>Este exercício usa o Peso Corporal como carga</v>
      </c>
      <c r="J17" s="66"/>
      <c r="K17" s="119">
        <f>K16</f>
        <v>1</v>
      </c>
      <c r="L17" s="120" t="str">
        <f>LEFT(O17)</f>
        <v>C</v>
      </c>
      <c r="M17" s="121" t="str">
        <f>MID(O17,2,1)</f>
        <v>O</v>
      </c>
      <c r="N17" s="122" t="str">
        <f>RIGHT(O17)</f>
        <v>R</v>
      </c>
      <c r="O17" s="123" t="str">
        <f>IF(M16="","",OFFSET(Biblioteca!$I$2,MATCH(M16,Biblioteca!$A$3:$A$200,0),0))</f>
        <v>COR</v>
      </c>
      <c r="P17" s="124"/>
      <c r="Q17" s="125"/>
      <c r="R17" s="117" t="str">
        <f>IF(R16="","",IFS(AC17="A",Montagem!$D$30,AE17="T","Realizar a maior quantidade de repetições por "&amp;W16&amp;" segundos | ",AE17="I",IF(AD17="U","Manter a posição por "&amp;W16&amp;" segundos de um lado e trocar para o outro na sequência | ","Manter a posição por "&amp;W16&amp;" segundos | "),AD17="A","Realizar alternadamente "&amp;W16&amp;" repetições cada lado | ",AD17="U","Realizar "&amp;W16&amp;" repetições de um lado e trocar para o outro na sequência | ",AC17="P",OFFSET(Biblioteca!$H$2,MATCH(AD16,Biblioteca!$A$3:$A$200,0),0),TRUE,""))</f>
        <v>Realizar 10 repetições de um lado e trocar para o outro na sequência | </v>
      </c>
      <c r="V17" s="118" t="str">
        <f>IF(R16="","",IFS(AC17="H","Carga Sugerida: "&amp;ROUNDUP(AF16/2,0)&amp;" kg de cada lado (Total: "&amp;ROUNDUP(AF16/2,0)*2&amp;" kg)",AC17="C","Este exercício usa o Peso Corporal como carga",AC17="E","Este exercício usa a resistência da banda elástica como carga",AC17="O","Carga Sugerida: "&amp;INT(AF16)&amp;" kg",TRUE,""))</f>
        <v>Este exercício usa o Peso Corporal como carga</v>
      </c>
      <c r="AA17" s="66"/>
      <c r="AB17" s="126">
        <f>AB16</f>
        <v>1</v>
      </c>
      <c r="AC17" s="120" t="str">
        <f>LEFT(AF17)</f>
        <v>C</v>
      </c>
      <c r="AD17" s="121" t="str">
        <f>MID(AF17,2,1)</f>
        <v>U</v>
      </c>
      <c r="AE17" s="122" t="str">
        <f>RIGHT(AF17)</f>
        <v>R</v>
      </c>
      <c r="AF17" s="123" t="str">
        <f>IF(AD16="","",OFFSET(Biblioteca!$I$2,MATCH(AD16,Biblioteca!$A$3:$A$200,0),0))</f>
        <v>CUR</v>
      </c>
      <c r="AG17" s="124"/>
      <c r="AH17" s="125"/>
      <c r="AI17" s="117" t="str">
        <f>IF(AI16="","",IFS(AT17="A",Montagem!$E$30,AV17="T","Realizar a maior quantidade de repetições por "&amp;AN16&amp;" segundos | ",AV17="I",IF(AU17="U","Manter a posição por "&amp;AN16&amp;" segundos de um lado e trocar para o outro na sequência | ","Manter a posição por "&amp;AN16&amp;" segundos | "),AU17="A","Realizar alternadamente "&amp;AN16&amp;" repetições cada lado | ",AU17="U","Realizar "&amp;AN16&amp;" repetições de um lado e trocar para o outro na sequência | ",AT17="P",OFFSET(Biblioteca!$H$2,MATCH(AU16,Biblioteca!$A$3:$A$200,0),0),TRUE,""))</f>
        <v>Manter a posição por 10 segundos | </v>
      </c>
      <c r="AM17" s="118" t="str">
        <f>IF(AI16="","",IFS(AT17="H","Carga Sugerida: "&amp;ROUNDUP(AW16/2,0)&amp;" kg de cada lado (Total: "&amp;ROUNDUP(AW16/2,0)*2&amp;" kg)",AT17="C","Este exercício usa o Peso Corporal como carga",AT17="E","Este exercício usa a resistência da banda elástica como carga",AT17="O","Carga Sugerida: "&amp;INT(AW16)&amp;" kg",TRUE,""))</f>
        <v>Este exercício usa o Peso Corporal como carga</v>
      </c>
      <c r="AR17" s="66"/>
      <c r="AS17" s="126">
        <f>AS16</f>
        <v>1</v>
      </c>
      <c r="AT17" s="120" t="str">
        <f>LEFT(AW17)</f>
        <v>C</v>
      </c>
      <c r="AU17" s="121" t="str">
        <f>MID(AW17,2,1)</f>
        <v>O</v>
      </c>
      <c r="AV17" s="122" t="str">
        <f>RIGHT(AW17)</f>
        <v>I</v>
      </c>
      <c r="AW17" s="123" t="str">
        <f>IF(AU16="","",OFFSET(Biblioteca!$I$2,MATCH(AU16,Biblioteca!$A$3:$A$200,0),0))</f>
        <v>COI</v>
      </c>
      <c r="AX17" s="124"/>
      <c r="AY17" s="125"/>
      <c r="AZ17" s="117" t="str">
        <f>IF(AZ16="","",IFS(BK17="A",Montagem!$F$30,BM17="T","Realizar a maior quantidade de repetições por "&amp;BE16&amp;" segundos | ",BM17="I",IF(BL17="U","Manter a posição por "&amp;BE16&amp;" segundos de um lado e trocar para o outro na sequência | ","Manter a posição por "&amp;BE16&amp;" segundos | "),BL17="A","Realizar alternadamente "&amp;BE16&amp;" repetições cada lado | ",BL17="U","Realizar "&amp;BE16&amp;" repetições de um lado e trocar para o outro na sequência | ",BK17="P",OFFSET(Biblioteca!$H$2,MATCH(BL16,Biblioteca!$A$3:$A$200,0),0),TRUE,""))</f>
        <v>Realizar 10 repetições de um lado e trocar para o outro na sequência | </v>
      </c>
      <c r="BD17" s="118" t="str">
        <f>IF(AZ16="","",IFS(BK17="H","Carga Sugerida: "&amp;ROUNDUP(BN16/2,0)&amp;" kg de cada lado (Total: "&amp;ROUNDUP(BN16/2,0)*2&amp;" kg)",BK17="C","Este exercício usa o Peso Corporal como carga",BK17="E","Este exercício usa a resistência da banda elástica como carga",BK17="O","Carga Sugerida: "&amp;INT(BN16)&amp;" kg",TRUE,""))</f>
        <v>Este exercício usa o Peso Corporal como carga</v>
      </c>
      <c r="BI17" s="66"/>
      <c r="BJ17" s="126">
        <f>BJ16</f>
        <v>1</v>
      </c>
      <c r="BK17" s="120" t="str">
        <f>LEFT(BN17)</f>
        <v>C</v>
      </c>
      <c r="BL17" s="121" t="str">
        <f>MID(BN17,2,1)</f>
        <v>U</v>
      </c>
      <c r="BM17" s="122" t="str">
        <f>RIGHT(BN17)</f>
        <v>R</v>
      </c>
      <c r="BN17" s="123" t="str">
        <f>IF(BL16="","",OFFSET(Biblioteca!$I$2,MATCH(BL16,Biblioteca!$A$3:$A$200,0),0))</f>
        <v>CUR</v>
      </c>
      <c r="BO17" s="124"/>
      <c r="BP17" s="125"/>
      <c r="BQ17" s="117" t="str">
        <f>IF(BQ16="","",IFS(CB17="A",Montagem!$G$30,CD17="T","Realizar a maior quantidade de repetições por "&amp;BV16&amp;" segundos | ",CD17="I",IF(CC17="U","Manter a posição por "&amp;BV16&amp;" segundos de um lado e trocar para o outro na sequência | ","Manter a posição por "&amp;BV16&amp;" segundos | "),CC17="A","Realizar alternadamente "&amp;BV16&amp;" repetições cada lado | ",CC17="U","Realizar "&amp;BV16&amp;" repetições de um lado e trocar para o outro na sequência | ",CB17="P",OFFSET(Biblioteca!$H$2,MATCH(CC16,Biblioteca!$A$3:$A$200,0),0),TRUE,""))</f>
        <v/>
      </c>
      <c r="BU17" s="118" t="str">
        <f>IF(BQ16="","",IFS(CB17="H","Carga Sugerida: "&amp;ROUNDUP(CE16/2,0)&amp;" kg de cada lado (Total: "&amp;ROUNDUP(CE16/2,0)*2&amp;" kg)",CB17="C","Este exercício usa o Peso Corporal como carga",CB17="E","Este exercício usa a resistência da banda elástica como carga",CB17="O","Carga Sugerida: "&amp;INT(CE16)&amp;" kg",TRUE,""))</f>
        <v>Este exercício usa o Peso Corporal como carga</v>
      </c>
      <c r="BZ17" s="66"/>
      <c r="CA17" s="126">
        <f>CA16</f>
        <v>1</v>
      </c>
      <c r="CB17" s="120" t="str">
        <f>LEFT(CE17)</f>
        <v>C</v>
      </c>
      <c r="CC17" s="121" t="str">
        <f>MID(CE17,2,1)</f>
        <v>O</v>
      </c>
      <c r="CD17" s="122" t="str">
        <f>RIGHT(CE17)</f>
        <v>R</v>
      </c>
      <c r="CE17" s="123" t="str">
        <f>IF(CC16="","",OFFSET(Biblioteca!$I$2,MATCH(CC16,Biblioteca!$A$3:$A$200,0),0))</f>
        <v>COR</v>
      </c>
      <c r="CF17" s="124"/>
      <c r="CG17" s="125"/>
      <c r="CH17" s="117" t="str">
        <f>IF(CH16="","",IFS(CS17="A",Montagem!$H$30,CU17="T","Realizar a maior quantidade de repetições por "&amp;CM16&amp;" segundos | ",CU17="I",IF(CT17="U","Manter a posição por "&amp;CM16&amp;" segundos de um lado e trocar para o outro na sequência | ","Manter a posição por "&amp;CM16&amp;" segundos | "),CT17="A","Realizar alternadamente "&amp;CM16&amp;" repetições cada lado | ",CT17="U","Realizar "&amp;CM16&amp;" repetições de um lado e trocar para o outro na sequência | ",CS17="P",OFFSET(Biblioteca!$H$2,MATCH(CT16,Biblioteca!$A$3:$A$200,0),0),TRUE,""))</f>
        <v>Realizar 10 repetições de um lado e trocar para o outro na sequência | </v>
      </c>
      <c r="CL17" s="118" t="str">
        <f>IF(CH16="","",IFS(CS17="H","Carga Sugerida: "&amp;ROUNDUP(CV16/2,0)&amp;" kg de cada lado (Total: "&amp;ROUNDUP(CV16/2,0)*2&amp;" kg)",CS17="C","Este exercício usa o Peso Corporal como carga",CS17="E","Este exercício usa a resistência da banda elástica como carga",CS17="O","Carga Sugerida: "&amp;INT(CV16)&amp;" kg",TRUE,""))</f>
        <v>Este exercício usa o Peso Corporal como carga</v>
      </c>
      <c r="CQ17" s="66"/>
      <c r="CR17" s="126">
        <f>CR16</f>
        <v>1</v>
      </c>
      <c r="CS17" s="120" t="str">
        <f>LEFT(CV17)</f>
        <v>C</v>
      </c>
      <c r="CT17" s="121" t="str">
        <f>MID(CV17,2,1)</f>
        <v>U</v>
      </c>
      <c r="CU17" s="122" t="str">
        <f>RIGHT(CV17)</f>
        <v>R</v>
      </c>
      <c r="CV17" s="123" t="str">
        <f>IF(CT16="","",OFFSET(Biblioteca!$I$2,MATCH(CT16,Biblioteca!$A$3:$A$200,0),0))</f>
        <v>CUR</v>
      </c>
      <c r="CW17" s="124"/>
      <c r="CX17" s="125"/>
      <c r="CY17" s="117" t="str">
        <f>IF(CY16="","",IFS(DJ17="A",Montagem!$I$30,DL17="T","Realizar a maior quantidade de repetições por "&amp;DD16&amp;" segundos | ",DL17="I",IF(DK17="U","Manter a posição por "&amp;DD16&amp;" segundos de um lado e trocar para o outro na sequência | ","Manter a posição por "&amp;DD16&amp;" segundos | "),DK17="A","Realizar alternadamente "&amp;DD16&amp;" repetições cada lado | ",DK17="U","Realizar "&amp;DD16&amp;" repetições de um lado e trocar para o outro na sequência | ",DJ17="P",OFFSET(Biblioteca!$H$2,MATCH(DK16,Biblioteca!$A$3:$A$200,0),0),TRUE,""))</f>
        <v/>
      </c>
      <c r="DC17" s="118" t="str">
        <f>IF(CY16="","",IFS(DJ17="H","Carga Sugerida: "&amp;ROUNDUP(DM16/2,0)&amp;" kg de cada lado (Total: "&amp;ROUNDUP(DM16/2,0)*2&amp;" kg)",DJ17="C","Este exercício usa o Peso Corporal como carga",DJ17="E","Este exercício usa a resistência da banda elástica como carga",DJ17="O","Carga Sugerida: "&amp;INT(DM16)&amp;" kg",TRUE,""))</f>
        <v/>
      </c>
      <c r="DH17" s="66"/>
      <c r="DI17" s="126">
        <f>DI16</f>
        <v>1</v>
      </c>
      <c r="DJ17" s="120" t="str">
        <f>LEFT(DM17)</f>
        <v/>
      </c>
      <c r="DK17" s="121" t="str">
        <f>MID(DM17,2,1)</f>
        <v/>
      </c>
      <c r="DL17" s="122" t="str">
        <f>RIGHT(DM17)</f>
        <v/>
      </c>
      <c r="DM17" s="123" t="str">
        <f>IF(DK16="","",OFFSET(Biblioteca!$I$2,MATCH(DK16,Biblioteca!$A$3:$A$200,0),0))</f>
        <v/>
      </c>
      <c r="DN17" s="124"/>
      <c r="DO17" s="125"/>
      <c r="DP17" s="73" t="s">
        <v>41</v>
      </c>
      <c r="DQ17" s="56">
        <f>J2</f>
        <v>6</v>
      </c>
      <c r="DR17" s="56"/>
      <c r="DS17" s="56"/>
      <c r="DT17" s="56"/>
      <c r="DU17" s="56"/>
      <c r="DV17" s="56"/>
      <c r="DW17" s="56"/>
      <c r="DX17" s="56"/>
      <c r="DY17" s="56"/>
    </row>
    <row r="18">
      <c r="A18" s="102" t="str">
        <f>IF(M18="","",HYPERLINK(OFFSET(Biblioteca!$B$2,MATCH(M18,Biblioteca!$A$3:$A$200,0),0),M18))</f>
        <v>Mobilidade de Pelve no solo</v>
      </c>
      <c r="D18" s="103" t="str">
        <f>Montagem!Q17</f>
        <v>Seriado</v>
      </c>
      <c r="E18" s="127">
        <f>Montagem!R17</f>
        <v>2</v>
      </c>
      <c r="F18" s="104">
        <f>Montagem!S17</f>
        <v>10</v>
      </c>
      <c r="G18" s="104">
        <f>Montagem!T17</f>
        <v>10</v>
      </c>
      <c r="H18" s="127">
        <f>Montagem!U17</f>
        <v>1</v>
      </c>
      <c r="I18" s="104">
        <f>Montagem!V17</f>
        <v>1</v>
      </c>
      <c r="J18" s="105"/>
      <c r="K18" s="106">
        <f>Montagem!K17</f>
        <v>2</v>
      </c>
      <c r="L18" s="128">
        <f>Montagem!W17</f>
        <v>0</v>
      </c>
      <c r="M18" s="106" t="str">
        <f>Montagem!L17</f>
        <v>Mobilidade de Pelve no solo</v>
      </c>
      <c r="N18" s="111" t="str">
        <f>Montagem!X17</f>
        <v/>
      </c>
      <c r="O18" s="106">
        <f>IF(N18="",L18,N18)</f>
        <v>0</v>
      </c>
      <c r="P18" s="106">
        <f>IF(L19="C",'Dados de Base'!$D$5*0.1,IF(L19="E",5,IF(J18="",O18,J18)))</f>
        <v>6.3</v>
      </c>
      <c r="Q18" s="108"/>
      <c r="R18" s="102" t="str">
        <f>IF(AD18="","",HYPERLINK(OFFSET(Biblioteca!$B$2,MATCH(AD18,Biblioteca!$A$3:$A$200,0),0),AD18))</f>
        <v>Mobilidade Posterior de Coxa</v>
      </c>
      <c r="U18" s="109" t="str">
        <f>Montagem!AF17</f>
        <v>Seriado</v>
      </c>
      <c r="V18" s="110">
        <f>Montagem!AG17</f>
        <v>2</v>
      </c>
      <c r="W18" s="110">
        <f>Montagem!AH17</f>
        <v>10</v>
      </c>
      <c r="X18" s="110">
        <f>Montagem!AI17</f>
        <v>10</v>
      </c>
      <c r="Y18" s="110">
        <f>Montagem!AJ17</f>
        <v>1</v>
      </c>
      <c r="Z18" s="110">
        <f>Montagem!AK17</f>
        <v>1</v>
      </c>
      <c r="AA18" s="105"/>
      <c r="AB18" s="111">
        <f>Montagem!Z17</f>
        <v>2</v>
      </c>
      <c r="AC18" s="111">
        <f>Montagem!AL17</f>
        <v>0</v>
      </c>
      <c r="AD18" s="129" t="str">
        <f>Montagem!AA17</f>
        <v>Mobilidade Posterior de Coxa</v>
      </c>
      <c r="AE18" s="111" t="str">
        <f>Montagem!AM17</f>
        <v/>
      </c>
      <c r="AF18" s="106">
        <f>IF(AE18="",AC18,AE18)</f>
        <v>0</v>
      </c>
      <c r="AG18" s="106">
        <f>IF(AC19="C",'Dados de Base'!$D$5*0.1,IF(AC19="E",5,IF(AA18="",AF18,AA18)))</f>
        <v>6.3</v>
      </c>
      <c r="AH18" s="108"/>
      <c r="AI18" s="102" t="str">
        <f>IF(AU18="","",HYPERLINK(OFFSET(Biblioteca!$B$2,MATCH(AU18,Biblioteca!$A$3:$A$200,0),0),AU18))</f>
        <v>Mobilidade de tornozelo</v>
      </c>
      <c r="AL18" s="109" t="str">
        <f>Montagem!AU17</f>
        <v>Seriado</v>
      </c>
      <c r="AM18" s="110">
        <f>Montagem!AV17</f>
        <v>2</v>
      </c>
      <c r="AN18" s="110">
        <f>Montagem!AW17</f>
        <v>10</v>
      </c>
      <c r="AO18" s="110">
        <f>Montagem!AX17</f>
        <v>10</v>
      </c>
      <c r="AP18" s="110">
        <f>Montagem!AY17</f>
        <v>1</v>
      </c>
      <c r="AQ18" s="110">
        <f>Montagem!AZ17</f>
        <v>1</v>
      </c>
      <c r="AR18" s="105"/>
      <c r="AS18" s="111">
        <f>Montagem!AO17</f>
        <v>2</v>
      </c>
      <c r="AT18" s="111">
        <f>Montagem!BA17</f>
        <v>0</v>
      </c>
      <c r="AU18" s="111" t="str">
        <f>Montagem!AP17</f>
        <v>Mobilidade de tornozelo</v>
      </c>
      <c r="AV18" s="111" t="str">
        <f>Montagem!BB17</f>
        <v/>
      </c>
      <c r="AW18" s="106">
        <f>IF(AV18="",AT18,AV18)</f>
        <v>0</v>
      </c>
      <c r="AX18" s="106">
        <f>IF(AT19="C",'Dados de Base'!$D$5*0.1,IF(AT19="E",5,IF(AR18="",AW18,AR18)))</f>
        <v>6.3</v>
      </c>
      <c r="AY18" s="108"/>
      <c r="AZ18" s="102" t="str">
        <f>IF(BL18="","",HYPERLINK(OFFSET(Biblioteca!$B$2,MATCH(BL18,Biblioteca!$A$3:$A$200,0),0),BL18))</f>
        <v>Alongamento Iliotibial III</v>
      </c>
      <c r="BC18" s="109" t="str">
        <f>Montagem!BJ17</f>
        <v>Seriado</v>
      </c>
      <c r="BD18" s="110">
        <f>Montagem!BK17</f>
        <v>2</v>
      </c>
      <c r="BE18" s="110">
        <f>Montagem!BL17</f>
        <v>10</v>
      </c>
      <c r="BF18" s="110">
        <f>Montagem!BM17</f>
        <v>10</v>
      </c>
      <c r="BG18" s="110">
        <f>Montagem!BN17</f>
        <v>1</v>
      </c>
      <c r="BH18" s="110">
        <f>Montagem!BO17</f>
        <v>1</v>
      </c>
      <c r="BI18" s="112"/>
      <c r="BJ18" s="111">
        <f>Montagem!BD17</f>
        <v>2</v>
      </c>
      <c r="BK18" s="111">
        <f>Montagem!BP17</f>
        <v>0</v>
      </c>
      <c r="BL18" s="111" t="str">
        <f>Montagem!BE17</f>
        <v>Alongamento Iliotibial III</v>
      </c>
      <c r="BM18" s="111" t="str">
        <f>Montagem!BQ17</f>
        <v/>
      </c>
      <c r="BN18" s="106">
        <f>IF(BM18="",BK18,BM18)</f>
        <v>0</v>
      </c>
      <c r="BO18" s="106">
        <f>IF(BK19="C",'Dados de Base'!$D$5*0.1,IF(BK19="E",5,IF(BI18="",BN18,BI18)))</f>
        <v>6.3</v>
      </c>
      <c r="BP18" s="108"/>
      <c r="BQ18" s="102" t="str">
        <f>IF(CC18="","",HYPERLINK(OFFSET(Biblioteca!$B$2,MATCH(CC18,Biblioteca!$A$3:$A$200,0),0),CC18))</f>
        <v>Mobilidade de Pelve na bola</v>
      </c>
      <c r="BT18" s="109" t="str">
        <f>Montagem!BY17</f>
        <v>Seriado</v>
      </c>
      <c r="BU18" s="110">
        <f>Montagem!BZ17</f>
        <v>2</v>
      </c>
      <c r="BV18" s="110">
        <f>Montagem!CA17</f>
        <v>10</v>
      </c>
      <c r="BW18" s="110">
        <f>Montagem!CB17</f>
        <v>10</v>
      </c>
      <c r="BX18" s="110">
        <f>Montagem!CC17</f>
        <v>1</v>
      </c>
      <c r="BY18" s="110">
        <f>Montagem!CD17</f>
        <v>1</v>
      </c>
      <c r="BZ18" s="113"/>
      <c r="CA18" s="111">
        <f>Montagem!BS17</f>
        <v>2</v>
      </c>
      <c r="CB18" s="111">
        <f>Montagem!CE17</f>
        <v>0</v>
      </c>
      <c r="CC18" s="111" t="str">
        <f>Montagem!BT17</f>
        <v>Mobilidade de Pelve na bola</v>
      </c>
      <c r="CD18" s="111" t="str">
        <f>Montagem!CF17</f>
        <v/>
      </c>
      <c r="CE18" s="106">
        <f>IF(CD18="",CB18,CD18)</f>
        <v>0</v>
      </c>
      <c r="CF18" s="106">
        <f>IF(CB19="C",'Dados de Base'!$D$5*0.1,IF(CB19="E",5,IF(BZ18="",CE18,BZ18)))</f>
        <v>6.3</v>
      </c>
      <c r="CG18" s="108"/>
      <c r="CH18" s="102" t="str">
        <f>IF(CT18="","",HYPERLINK(OFFSET(Biblioteca!$B$2,MATCH(CT18,Biblioteca!$A$3:$A$200,0),0),CT18))</f>
        <v>Mobilidade de Quadril - Iliopsoas</v>
      </c>
      <c r="CK18" s="109" t="str">
        <f>Montagem!CN17</f>
        <v>Seriado</v>
      </c>
      <c r="CL18" s="110">
        <f>Montagem!CO17</f>
        <v>2</v>
      </c>
      <c r="CM18" s="110">
        <f>Montagem!CP17</f>
        <v>10</v>
      </c>
      <c r="CN18" s="110">
        <f>Montagem!CQ17</f>
        <v>10</v>
      </c>
      <c r="CO18" s="110">
        <f>Montagem!CR17</f>
        <v>0</v>
      </c>
      <c r="CP18" s="110">
        <f>Montagem!CS17</f>
        <v>1</v>
      </c>
      <c r="CQ18" s="114"/>
      <c r="CR18" s="111">
        <f>Montagem!CH17</f>
        <v>2</v>
      </c>
      <c r="CS18" s="111">
        <f>Montagem!CT17</f>
        <v>0</v>
      </c>
      <c r="CT18" s="111" t="str">
        <f>Montagem!CI17</f>
        <v>Mobilidade de Quadril - Iliopsoas</v>
      </c>
      <c r="CU18" s="111" t="str">
        <f>Montagem!CU17</f>
        <v/>
      </c>
      <c r="CV18" s="106">
        <f>IF(CU18="",CS18,CU18)</f>
        <v>0</v>
      </c>
      <c r="CW18" s="106">
        <f>IF(CS19="C",'Dados de Base'!$D$5*0.1,IF(CS19="E",5,IF(CQ18="",CV18,CQ18)))</f>
        <v>6.3</v>
      </c>
      <c r="CX18" s="108"/>
      <c r="CY18" s="115" t="str">
        <f>IF(DK18="","",HYPERLINK(OFFSET(Biblioteca!$B$2,MATCH(DK18,Biblioteca!$A$3:$A$200,0),0),DK18))</f>
        <v/>
      </c>
      <c r="DB18" s="130" t="str">
        <f>Montagem!DC17</f>
        <v/>
      </c>
      <c r="DC18" s="131" t="str">
        <f>Montagem!DD17</f>
        <v/>
      </c>
      <c r="DD18" s="131" t="str">
        <f>Montagem!DE17</f>
        <v/>
      </c>
      <c r="DE18" s="131" t="str">
        <f>Montagem!DF17</f>
        <v/>
      </c>
      <c r="DF18" s="131" t="str">
        <f>Montagem!DG17</f>
        <v/>
      </c>
      <c r="DG18" s="131" t="str">
        <f>Montagem!DH17</f>
        <v/>
      </c>
      <c r="DH18" s="114"/>
      <c r="DI18" s="111">
        <f>Montagem!CW17</f>
        <v>1</v>
      </c>
      <c r="DJ18" s="111" t="str">
        <f>Montagem!DI17</f>
        <v/>
      </c>
      <c r="DK18" s="111" t="str">
        <f>Montagem!CX17</f>
        <v/>
      </c>
      <c r="DL18" s="111" t="str">
        <f>Montagem!DJ17</f>
        <v/>
      </c>
      <c r="DM18" s="106" t="str">
        <f>IF(DL18="",DJ18,DL18)</f>
        <v/>
      </c>
      <c r="DN18" s="106" t="str">
        <f>IF(DJ19="C",'Dados de Base'!$D$5*0.1,IF(DJ19="E",5,IF(DH18="",DM18,DH18)))</f>
        <v/>
      </c>
      <c r="DO18" s="108"/>
      <c r="DP18" s="116" t="s">
        <v>42</v>
      </c>
      <c r="DQ18" s="106">
        <f>IF(L80=0,0,1)+IF(AC80=0,0,1)+IF(AT80=0,0,1)+IF(BK80=0,0,1)+IF(CB80=0,0,1)+IF(CS80=0,0,1)+IF(DJ80=0,0,1)</f>
        <v>0</v>
      </c>
      <c r="DR18" s="106"/>
      <c r="DS18" s="106"/>
      <c r="DT18" s="106"/>
      <c r="DU18" s="106"/>
      <c r="DV18" s="106"/>
      <c r="DW18" s="106"/>
      <c r="DX18" s="106"/>
      <c r="DY18" s="106"/>
    </row>
    <row r="19">
      <c r="A19" s="117" t="str">
        <f>IF(A18="","",IFS(L19="A",Montagem!$C$30,N19="T","Realizar a maior quantidade de repetições por "&amp;F18&amp;" segundos | ",N19="I",IF(M19="U","Manter a posição por "&amp;F18&amp;" segundos de um lado e trocar para o outro na sequência | ","Manter a posição por "&amp;F18&amp;" segundos | "),M19="A","Realizar alternadamente "&amp;F18&amp;" repetições cada lado | ",M19="U","Realizar "&amp;F18&amp;" repetições de um lado e trocar para o outro na sequência | ",L19="P",OFFSET(Biblioteca!$H$2,MATCH(M18,Biblioteca!$A$3:$A$200,0),0),TRUE,""))</f>
        <v/>
      </c>
      <c r="E19" s="118" t="str">
        <f>IF(A18="","",IFS(L19="H","Carga Sugerida: "&amp;ROUNDUP(O18/2,0)&amp;" kg de cada lado (Total: "&amp;ROUNDUP(O18/2,0)*2&amp;" kg)",L19="C","Este exercício usa o Peso Corporal como carga",L19="E","Este exercício usa a resistência da banda elástica como carga",L19="O","Carga Sugerida: "&amp;INT(O18)&amp;" kg",TRUE,""))</f>
        <v>Este exercício usa o Peso Corporal como carga</v>
      </c>
      <c r="J19" s="66"/>
      <c r="K19" s="119">
        <f>K18</f>
        <v>2</v>
      </c>
      <c r="L19" s="120" t="str">
        <f>LEFT(O19)</f>
        <v>C</v>
      </c>
      <c r="M19" s="121" t="str">
        <f>MID(O19,2,1)</f>
        <v>O</v>
      </c>
      <c r="N19" s="122" t="str">
        <f>RIGHT(O19)</f>
        <v>R</v>
      </c>
      <c r="O19" s="123" t="str">
        <f>IF(M18="","",OFFSET(Biblioteca!$I$2,MATCH(M18,Biblioteca!$A$3:$A$200,0),0))</f>
        <v>COR</v>
      </c>
      <c r="P19" s="124"/>
      <c r="Q19" s="125"/>
      <c r="R19" s="117" t="str">
        <f>IF(R18="","",IFS(AC19="A",Montagem!$D$30,AE19="T","Realizar a maior quantidade de repetições por "&amp;W18&amp;" segundos | ",AE19="I",IF(AD19="U","Manter a posição por "&amp;W18&amp;" segundos de um lado e trocar para o outro na sequência | ","Manter a posição por "&amp;W18&amp;" segundos | "),AD19="A","Realizar alternadamente "&amp;W18&amp;" repetições cada lado | ",AD19="U","Realizar "&amp;W18&amp;" repetições de um lado e trocar para o outro na sequência | ",AC19="P",OFFSET(Biblioteca!$H$2,MATCH(AD18,Biblioteca!$A$3:$A$200,0),0),TRUE,""))</f>
        <v/>
      </c>
      <c r="V19" s="118" t="str">
        <f>IF(R18="","",IFS(AC19="H","Carga Sugerida: "&amp;ROUNDUP(AF18/2,0)&amp;" kg de cada lado (Total: "&amp;ROUNDUP(AF18/2,0)*2&amp;" kg)",AC19="C","Este exercício usa o Peso Corporal como carga",AC19="E","Este exercício usa a resistência da banda elástica como carga",AC19="O","Carga Sugerida: "&amp;INT(AF18)&amp;" kg",TRUE,""))</f>
        <v>Este exercício usa o Peso Corporal como carga</v>
      </c>
      <c r="AA19" s="66"/>
      <c r="AB19" s="126">
        <f>AB18</f>
        <v>2</v>
      </c>
      <c r="AC19" s="120" t="str">
        <f>LEFT(AF19)</f>
        <v>C</v>
      </c>
      <c r="AD19" s="121" t="str">
        <f>MID(AF19,2,1)</f>
        <v>O</v>
      </c>
      <c r="AE19" s="122" t="str">
        <f>RIGHT(AF19)</f>
        <v>R</v>
      </c>
      <c r="AF19" s="123" t="str">
        <f>IF(AD18="","",OFFSET(Biblioteca!$I$2,MATCH(AD18,Biblioteca!$A$3:$A$200,0),0))</f>
        <v>COR</v>
      </c>
      <c r="AG19" s="124"/>
      <c r="AH19" s="125"/>
      <c r="AI19" s="117" t="str">
        <f>IF(AI18="","",IFS(AT19="A",Montagem!$E$30,AV19="T","Realizar a maior quantidade de repetições por "&amp;AN18&amp;" segundos | ",AV19="I",IF(AU19="U","Manter a posição por "&amp;AN18&amp;" segundos de um lado e trocar para o outro na sequência | ","Manter a posição por "&amp;AN18&amp;" segundos | "),AU19="A","Realizar alternadamente "&amp;AN18&amp;" repetições cada lado | ",AU19="U","Realizar "&amp;AN18&amp;" repetições de um lado e trocar para o outro na sequência | ",AT19="P",OFFSET(Biblioteca!$H$2,MATCH(AU18,Biblioteca!$A$3:$A$200,0),0),TRUE,""))</f>
        <v>Realizar 10 repetições de um lado e trocar para o outro na sequência | </v>
      </c>
      <c r="AM19" s="118" t="str">
        <f>IF(AI18="","",IFS(AT19="H","Carga Sugerida: "&amp;ROUNDUP(AW18/2,0)&amp;" kg de cada lado (Total: "&amp;ROUNDUP(AW18/2,0)*2&amp;" kg)",AT19="C","Este exercício usa o Peso Corporal como carga",AT19="E","Este exercício usa a resistência da banda elástica como carga",AT19="O","Carga Sugerida: "&amp;INT(AW18)&amp;" kg",TRUE,""))</f>
        <v>Este exercício usa o Peso Corporal como carga</v>
      </c>
      <c r="AR19" s="66"/>
      <c r="AS19" s="126">
        <f>AS18</f>
        <v>2</v>
      </c>
      <c r="AT19" s="120" t="str">
        <f>LEFT(AW19)</f>
        <v>C</v>
      </c>
      <c r="AU19" s="121" t="str">
        <f>MID(AW19,2,1)</f>
        <v>U</v>
      </c>
      <c r="AV19" s="122" t="str">
        <f>RIGHT(AW19)</f>
        <v>R</v>
      </c>
      <c r="AW19" s="123" t="str">
        <f>IF(AU18="","",OFFSET(Biblioteca!$I$2,MATCH(AU18,Biblioteca!$A$3:$A$200,0),0))</f>
        <v>CUR</v>
      </c>
      <c r="AX19" s="124"/>
      <c r="AY19" s="125"/>
      <c r="AZ19" s="117" t="str">
        <f>IF(AZ18="","",IFS(BK19="A",Montagem!$F$30,BM19="T","Realizar a maior quantidade de repetições por "&amp;BE18&amp;" segundos | ",BM19="I",IF(BL19="U","Manter a posição por "&amp;BE18&amp;" segundos de um lado e trocar para o outro na sequência | ","Manter a posição por "&amp;BE18&amp;" segundos | "),BL19="A","Realizar alternadamente "&amp;BE18&amp;" repetições cada lado | ",BL19="U","Realizar "&amp;BE18&amp;" repetições de um lado e trocar para o outro na sequência | ",BK19="P",OFFSET(Biblioteca!$H$2,MATCH(BL18,Biblioteca!$A$3:$A$200,0),0),TRUE,""))</f>
        <v>Realizar 10 repetições de um lado e trocar para o outro na sequência | </v>
      </c>
      <c r="BD19" s="118" t="str">
        <f>IF(AZ18="","",IFS(BK19="H","Carga Sugerida: "&amp;ROUNDUP(BN18/2,0)&amp;" kg de cada lado (Total: "&amp;ROUNDUP(BN18/2,0)*2&amp;" kg)",BK19="C","Este exercício usa o Peso Corporal como carga",BK19="E","Este exercício usa a resistência da banda elástica como carga",BK19="O","Carga Sugerida: "&amp;INT(BN18)&amp;" kg",TRUE,""))</f>
        <v>Este exercício usa o Peso Corporal como carga</v>
      </c>
      <c r="BI19" s="66"/>
      <c r="BJ19" s="126">
        <f>BJ18</f>
        <v>2</v>
      </c>
      <c r="BK19" s="120" t="str">
        <f>LEFT(BN19)</f>
        <v>C</v>
      </c>
      <c r="BL19" s="121" t="str">
        <f>MID(BN19,2,1)</f>
        <v>U</v>
      </c>
      <c r="BM19" s="122" t="str">
        <f>RIGHT(BN19)</f>
        <v>R</v>
      </c>
      <c r="BN19" s="123" t="str">
        <f>IF(BL18="","",OFFSET(Biblioteca!$I$2,MATCH(BL18,Biblioteca!$A$3:$A$200,0),0))</f>
        <v>CUR</v>
      </c>
      <c r="BO19" s="124"/>
      <c r="BP19" s="125"/>
      <c r="BQ19" s="117" t="str">
        <f>IF(BQ18="","",IFS(CB19="A",Montagem!$G$30,CD19="T","Realizar a maior quantidade de repetições por "&amp;BV18&amp;" segundos | ",CD19="I",IF(CC19="U","Manter a posição por "&amp;BV18&amp;" segundos de um lado e trocar para o outro na sequência | ","Manter a posição por "&amp;BV18&amp;" segundos | "),CC19="A","Realizar alternadamente "&amp;BV18&amp;" repetições cada lado | ",CC19="U","Realizar "&amp;BV18&amp;" repetições de um lado e trocar para o outro na sequência | ",CB19="P",OFFSET(Biblioteca!$H$2,MATCH(CC18,Biblioteca!$A$3:$A$200,0),0),TRUE,""))</f>
        <v/>
      </c>
      <c r="BU19" s="118" t="str">
        <f>IF(BQ18="","",IFS(CB19="H","Carga Sugerida: "&amp;ROUNDUP(CE18/2,0)&amp;" kg de cada lado (Total: "&amp;ROUNDUP(CE18/2,0)*2&amp;" kg)",CB19="C","Este exercício usa o Peso Corporal como carga",CB19="E","Este exercício usa a resistência da banda elástica como carga",CB19="O","Carga Sugerida: "&amp;INT(CE18)&amp;" kg",TRUE,""))</f>
        <v>Este exercício usa o Peso Corporal como carga</v>
      </c>
      <c r="BZ19" s="66"/>
      <c r="CA19" s="126">
        <f>CA18</f>
        <v>2</v>
      </c>
      <c r="CB19" s="120" t="str">
        <f>LEFT(CE19)</f>
        <v>C</v>
      </c>
      <c r="CC19" s="121" t="str">
        <f>MID(CE19,2,1)</f>
        <v>O</v>
      </c>
      <c r="CD19" s="122" t="str">
        <f>RIGHT(CE19)</f>
        <v>R</v>
      </c>
      <c r="CE19" s="123" t="str">
        <f>IF(CC18="","",OFFSET(Biblioteca!$I$2,MATCH(CC18,Biblioteca!$A$3:$A$200,0),0))</f>
        <v>COR</v>
      </c>
      <c r="CF19" s="124"/>
      <c r="CG19" s="125"/>
      <c r="CH19" s="117" t="str">
        <f>IF(CH18="","",IFS(CS19="A",Montagem!$H$30,CU19="T","Realizar a maior quantidade de repetições por "&amp;CM18&amp;" segundos | ",CU19="I",IF(CT19="U","Manter a posição por "&amp;CM18&amp;" segundos de um lado e trocar para o outro na sequência | ","Manter a posição por "&amp;CM18&amp;" segundos | "),CT19="A","Realizar alternadamente "&amp;CM18&amp;" repetições cada lado | ",CT19="U","Realizar "&amp;CM18&amp;" repetições de um lado e trocar para o outro na sequência | ",CS19="P",OFFSET(Biblioteca!$H$2,MATCH(CT18,Biblioteca!$A$3:$A$200,0),0),TRUE,""))</f>
        <v/>
      </c>
      <c r="CL19" s="118" t="str">
        <f>IF(CH18="","",IFS(CS19="H","Carga Sugerida: "&amp;ROUNDUP(CV18/2,0)&amp;" kg de cada lado (Total: "&amp;ROUNDUP(CV18/2,0)*2&amp;" kg)",CS19="C","Este exercício usa o Peso Corporal como carga",CS19="E","Este exercício usa a resistência da banda elástica como carga",CS19="O","Carga Sugerida: "&amp;INT(CV18)&amp;" kg",TRUE,""))</f>
        <v>Este exercício usa o Peso Corporal como carga</v>
      </c>
      <c r="CQ19" s="66"/>
      <c r="CR19" s="126">
        <f>CR18</f>
        <v>2</v>
      </c>
      <c r="CS19" s="120" t="str">
        <f>LEFT(CV19)</f>
        <v>C</v>
      </c>
      <c r="CT19" s="121" t="str">
        <f>MID(CV19,2,1)</f>
        <v>O</v>
      </c>
      <c r="CU19" s="122" t="str">
        <f>RIGHT(CV19)</f>
        <v>R</v>
      </c>
      <c r="CV19" s="123" t="str">
        <f>IF(CT18="","",OFFSET(Biblioteca!$I$2,MATCH(CT18,Biblioteca!$A$3:$A$200,0),0))</f>
        <v>COR</v>
      </c>
      <c r="CW19" s="124"/>
      <c r="CX19" s="125"/>
      <c r="CY19" s="117" t="str">
        <f>IF(CY18="","",IFS(DJ19="A",Montagem!$I$30,DL19="T","Realizar a maior quantidade de repetições por "&amp;DD18&amp;" segundos | ",DL19="I",IF(DK19="U","Manter a posição por "&amp;DD18&amp;" segundos de um lado e trocar para o outro na sequência | ","Manter a posição por "&amp;DD18&amp;" segundos | "),DK19="A","Realizar alternadamente "&amp;DD18&amp;" repetições cada lado | ",DK19="U","Realizar "&amp;DD18&amp;" repetições de um lado e trocar para o outro na sequência | ",DJ19="P",OFFSET(Biblioteca!$H$2,MATCH(DK18,Biblioteca!$A$3:$A$200,0),0),TRUE,""))</f>
        <v/>
      </c>
      <c r="DC19" s="118" t="str">
        <f>IF(CY18="","",IFS(DJ19="H","Carga Sugerida: "&amp;ROUNDUP(DM18/2,0)&amp;" kg de cada lado (Total: "&amp;ROUNDUP(DM18/2,0)*2&amp;" kg)",DJ19="C","Este exercício usa o Peso Corporal como carga",DJ19="E","Este exercício usa a resistência da banda elástica como carga",DJ19="O","Carga Sugerida: "&amp;INT(DM18)&amp;" kg",TRUE,""))</f>
        <v/>
      </c>
      <c r="DH19" s="66"/>
      <c r="DI19" s="126">
        <f>DI18</f>
        <v>1</v>
      </c>
      <c r="DJ19" s="120" t="str">
        <f>LEFT(DM19)</f>
        <v/>
      </c>
      <c r="DK19" s="121" t="str">
        <f>MID(DM19,2,1)</f>
        <v/>
      </c>
      <c r="DL19" s="122" t="str">
        <f>RIGHT(DM19)</f>
        <v/>
      </c>
      <c r="DM19" s="123" t="str">
        <f>IF(DK18="","",OFFSET(Biblioteca!$I$2,MATCH(DK18,Biblioteca!$A$3:$A$200,0),0))</f>
        <v/>
      </c>
      <c r="DN19" s="124"/>
      <c r="DO19" s="125"/>
      <c r="DP19" s="73" t="s">
        <v>43</v>
      </c>
      <c r="DQ19" s="56">
        <f>IF(DQ17=0,0,DQ18/DQ17)</f>
        <v>0</v>
      </c>
      <c r="DR19" s="56"/>
      <c r="DS19" s="56"/>
      <c r="DT19" s="56"/>
      <c r="DU19" s="56"/>
      <c r="DV19" s="56"/>
      <c r="DW19" s="56"/>
      <c r="DX19" s="56"/>
      <c r="DY19" s="56"/>
    </row>
    <row r="20">
      <c r="A20" s="102" t="str">
        <f>IF(M20="","",HYPERLINK(OFFSET(Biblioteca!$B$2,MATCH(M20,Biblioteca!$A$3:$A$200,0),0),M20))</f>
        <v>Mobilidade de Pelve na bola</v>
      </c>
      <c r="D20" s="132" t="str">
        <f>Montagem!Q18</f>
        <v>Seriado</v>
      </c>
      <c r="E20" s="104">
        <f>Montagem!R18</f>
        <v>2</v>
      </c>
      <c r="F20" s="104">
        <f>Montagem!S18</f>
        <v>10</v>
      </c>
      <c r="G20" s="127">
        <f>Montagem!T18</f>
        <v>10</v>
      </c>
      <c r="H20" s="127">
        <f>Montagem!U18</f>
        <v>1</v>
      </c>
      <c r="I20" s="104">
        <f>Montagem!V18</f>
        <v>1</v>
      </c>
      <c r="J20" s="105"/>
      <c r="K20" s="106">
        <f>Montagem!K18</f>
        <v>3</v>
      </c>
      <c r="L20" s="128">
        <f>Montagem!W18</f>
        <v>0</v>
      </c>
      <c r="M20" s="111" t="str">
        <f>Montagem!L18</f>
        <v>Mobilidade de Pelve na bola</v>
      </c>
      <c r="N20" s="111" t="str">
        <f>Montagem!X18</f>
        <v/>
      </c>
      <c r="O20" s="106">
        <f>IF(N20="",L20,N20)</f>
        <v>0</v>
      </c>
      <c r="P20" s="106">
        <f>IF(L21="C",'Dados de Base'!$D$5*0.1,IF(L21="E",5,IF(J20="",O20,J20)))</f>
        <v>6.3</v>
      </c>
      <c r="Q20" s="108"/>
      <c r="R20" s="102" t="str">
        <f>IF(AD20="","",HYPERLINK(OFFSET(Biblioteca!$B$2,MATCH(AD20,Biblioteca!$A$3:$A$200,0),0),AD20))</f>
        <v>Mobilidade Quadril - Sumô</v>
      </c>
      <c r="U20" s="109" t="str">
        <f>Montagem!AF18</f>
        <v>Seriado</v>
      </c>
      <c r="V20" s="110">
        <f>Montagem!AG18</f>
        <v>2</v>
      </c>
      <c r="W20" s="110">
        <f>Montagem!AH18</f>
        <v>10</v>
      </c>
      <c r="X20" s="110">
        <f>Montagem!AI18</f>
        <v>10</v>
      </c>
      <c r="Y20" s="110">
        <f>Montagem!AJ18</f>
        <v>1</v>
      </c>
      <c r="Z20" s="110">
        <f>Montagem!AK18</f>
        <v>1</v>
      </c>
      <c r="AA20" s="105"/>
      <c r="AB20" s="111">
        <f>Montagem!Z18</f>
        <v>3</v>
      </c>
      <c r="AC20" s="111">
        <f>Montagem!AL18</f>
        <v>0</v>
      </c>
      <c r="AD20" s="129" t="str">
        <f>Montagem!AA18</f>
        <v>Mobilidade Quadril - Sumô</v>
      </c>
      <c r="AE20" s="111" t="str">
        <f>Montagem!AM18</f>
        <v/>
      </c>
      <c r="AF20" s="106">
        <f>IF(AE20="",AC20,AE20)</f>
        <v>0</v>
      </c>
      <c r="AG20" s="106">
        <f>IF(AC21="C",'Dados de Base'!$D$5*0.1,IF(AC21="E",5,IF(AA20="",AF20,AA20)))</f>
        <v>6.3</v>
      </c>
      <c r="AH20" s="108"/>
      <c r="AI20" s="102" t="str">
        <f>IF(AU20="","",HYPERLINK(OFFSET(Biblioteca!$B$2,MATCH(AU20,Biblioteca!$A$3:$A$200,0),0),AU20))</f>
        <v>Prancha</v>
      </c>
      <c r="AL20" s="109" t="str">
        <f>Montagem!AU18</f>
        <v>Seriado</v>
      </c>
      <c r="AM20" s="110">
        <f>Montagem!AV18</f>
        <v>1</v>
      </c>
      <c r="AN20" s="110">
        <f>Montagem!AW18</f>
        <v>50</v>
      </c>
      <c r="AO20" s="110">
        <f>Montagem!AX18</f>
        <v>60</v>
      </c>
      <c r="AP20" s="110">
        <f>Montagem!AY18</f>
        <v>0</v>
      </c>
      <c r="AQ20" s="110">
        <f>Montagem!AZ18</f>
        <v>1</v>
      </c>
      <c r="AR20" s="105"/>
      <c r="AS20" s="111">
        <f>Montagem!AO18</f>
        <v>3</v>
      </c>
      <c r="AT20" s="111">
        <f>Montagem!BA18</f>
        <v>0</v>
      </c>
      <c r="AU20" s="111" t="str">
        <f>Montagem!AP18</f>
        <v>Prancha</v>
      </c>
      <c r="AV20" s="111" t="str">
        <f>Montagem!BB18</f>
        <v/>
      </c>
      <c r="AW20" s="106">
        <f>IF(AV20="",AT20,AV20)</f>
        <v>0</v>
      </c>
      <c r="AX20" s="106">
        <f>IF(AT21="C",'Dados de Base'!$D$5*0.1,IF(AT21="E",5,IF(AR20="",AW20,AR20)))</f>
        <v>6.3</v>
      </c>
      <c r="AY20" s="108"/>
      <c r="AZ20" s="102" t="str">
        <f>IF(BL20="","",HYPERLINK(OFFSET(Biblioteca!$B$2,MATCH(BL20,Biblioteca!$A$3:$A$200,0),0),BL20))</f>
        <v>Alongamento piriforme com bola</v>
      </c>
      <c r="BC20" s="109" t="str">
        <f>Montagem!BJ18</f>
        <v>Seriado</v>
      </c>
      <c r="BD20" s="110">
        <f>Montagem!BK18</f>
        <v>2</v>
      </c>
      <c r="BE20" s="110">
        <f>Montagem!BL18</f>
        <v>10</v>
      </c>
      <c r="BF20" s="110">
        <f>Montagem!BM18</f>
        <v>10</v>
      </c>
      <c r="BG20" s="110">
        <f>Montagem!BN18</f>
        <v>1</v>
      </c>
      <c r="BH20" s="110">
        <f>Montagem!BO18</f>
        <v>1</v>
      </c>
      <c r="BI20" s="112"/>
      <c r="BJ20" s="111">
        <f>Montagem!BD18</f>
        <v>3</v>
      </c>
      <c r="BK20" s="111">
        <f>Montagem!BP18</f>
        <v>0</v>
      </c>
      <c r="BL20" s="111" t="str">
        <f>Montagem!BE18</f>
        <v>Alongamento piriforme com bola</v>
      </c>
      <c r="BM20" s="111" t="str">
        <f>Montagem!BQ18</f>
        <v/>
      </c>
      <c r="BN20" s="106">
        <f>IF(BM20="",BK20,BM20)</f>
        <v>0</v>
      </c>
      <c r="BO20" s="106">
        <f>IF(BK21="C",'Dados de Base'!$D$5*0.1,IF(BK21="E",5,IF(BI20="",BN20,BI20)))</f>
        <v>6.3</v>
      </c>
      <c r="BP20" s="108"/>
      <c r="BQ20" s="102" t="str">
        <f>IF(CC20="","",HYPERLINK(OFFSET(Biblioteca!$B$2,MATCH(CC20,Biblioteca!$A$3:$A$200,0),0),CC20))</f>
        <v>Mobilidade Quadril - Abdução/Adução</v>
      </c>
      <c r="BT20" s="109" t="str">
        <f>Montagem!BY18</f>
        <v>Seriado</v>
      </c>
      <c r="BU20" s="110">
        <f>Montagem!BZ18</f>
        <v>2</v>
      </c>
      <c r="BV20" s="110">
        <f>Montagem!CA18</f>
        <v>10</v>
      </c>
      <c r="BW20" s="110">
        <f>Montagem!CB18</f>
        <v>10</v>
      </c>
      <c r="BX20" s="110">
        <f>Montagem!CC18</f>
        <v>1</v>
      </c>
      <c r="BY20" s="110">
        <f>Montagem!CD18</f>
        <v>1</v>
      </c>
      <c r="BZ20" s="113"/>
      <c r="CA20" s="111">
        <f>Montagem!BS18</f>
        <v>3</v>
      </c>
      <c r="CB20" s="111">
        <f>Montagem!CE18</f>
        <v>0</v>
      </c>
      <c r="CC20" s="111" t="str">
        <f>Montagem!BT18</f>
        <v>Mobilidade Quadril - Abdução/Adução</v>
      </c>
      <c r="CD20" s="111" t="str">
        <f>Montagem!CF18</f>
        <v/>
      </c>
      <c r="CE20" s="106">
        <f>IF(CD20="",CB20,CD20)</f>
        <v>0</v>
      </c>
      <c r="CF20" s="106">
        <f>IF(CB21="C",'Dados de Base'!$D$5*0.1,IF(CB21="E",5,IF(BZ20="",CE20,BZ20)))</f>
        <v>6.3</v>
      </c>
      <c r="CG20" s="108"/>
      <c r="CH20" s="102" t="str">
        <f>IF(CT20="","",HYPERLINK(OFFSET(Biblioteca!$B$2,MATCH(CT20,Biblioteca!$A$3:$A$200,0),0),CT20))</f>
        <v>Skipping Baixo</v>
      </c>
      <c r="CK20" s="109" t="str">
        <f>Montagem!CN18</f>
        <v>Seriado</v>
      </c>
      <c r="CL20" s="110">
        <f>Montagem!CO18</f>
        <v>1</v>
      </c>
      <c r="CM20" s="110">
        <f>Montagem!CP18</f>
        <v>30</v>
      </c>
      <c r="CN20" s="110">
        <f>Montagem!CQ18</f>
        <v>30</v>
      </c>
      <c r="CO20" s="110">
        <f>Montagem!CR18</f>
        <v>0</v>
      </c>
      <c r="CP20" s="110">
        <f>Montagem!CS18</f>
        <v>1</v>
      </c>
      <c r="CQ20" s="114"/>
      <c r="CR20" s="111">
        <f>Montagem!CH18</f>
        <v>3</v>
      </c>
      <c r="CS20" s="111">
        <f>Montagem!CT18</f>
        <v>0</v>
      </c>
      <c r="CT20" s="111" t="str">
        <f>Montagem!CI18</f>
        <v>Skipping Baixo</v>
      </c>
      <c r="CU20" s="111" t="str">
        <f>Montagem!CU18</f>
        <v/>
      </c>
      <c r="CV20" s="106">
        <f>IF(CU20="",CS20,CU20)</f>
        <v>0</v>
      </c>
      <c r="CW20" s="106">
        <f>IF(CS21="C",'Dados de Base'!$D$5*0.1,IF(CS21="E",5,IF(CQ20="",CV20,CQ20)))</f>
        <v>6.3</v>
      </c>
      <c r="CX20" s="108"/>
      <c r="CY20" s="115" t="str">
        <f>IF(DK20="","",HYPERLINK(OFFSET(Biblioteca!$B$2,MATCH(DK20,Biblioteca!$A$3:$A$200,0),0),DK20))</f>
        <v/>
      </c>
      <c r="DB20" s="130" t="str">
        <f>Montagem!DC18</f>
        <v/>
      </c>
      <c r="DC20" s="131" t="str">
        <f>Montagem!DD18</f>
        <v/>
      </c>
      <c r="DD20" s="131" t="str">
        <f>Montagem!DE18</f>
        <v/>
      </c>
      <c r="DE20" s="131" t="str">
        <f>Montagem!DF18</f>
        <v/>
      </c>
      <c r="DF20" s="131" t="str">
        <f>Montagem!DG18</f>
        <v/>
      </c>
      <c r="DG20" s="131" t="str">
        <f>Montagem!DH18</f>
        <v/>
      </c>
      <c r="DH20" s="114"/>
      <c r="DI20" s="111">
        <f>Montagem!CW18</f>
        <v>1</v>
      </c>
      <c r="DJ20" s="111" t="str">
        <f>Montagem!DI18</f>
        <v/>
      </c>
      <c r="DK20" s="111" t="str">
        <f>Montagem!CX18</f>
        <v/>
      </c>
      <c r="DL20" s="111" t="str">
        <f>Montagem!DJ18</f>
        <v/>
      </c>
      <c r="DM20" s="106" t="str">
        <f>IF(DL20="",DJ20,DL20)</f>
        <v/>
      </c>
      <c r="DN20" s="106" t="str">
        <f>IF(DJ21="C",'Dados de Base'!$D$5*0.1,IF(DJ21="E",5,IF(DH20="",DM20,DH20)))</f>
        <v/>
      </c>
      <c r="DO20" s="108"/>
      <c r="DP20" s="116" t="s">
        <v>44</v>
      </c>
      <c r="DQ20" s="106">
        <f>IF(DQ14=0,0,DQ13/DQ14)</f>
        <v>0</v>
      </c>
      <c r="DR20" s="106"/>
      <c r="DS20" s="106"/>
      <c r="DT20" s="106"/>
      <c r="DU20" s="106"/>
      <c r="DV20" s="106"/>
      <c r="DW20" s="106"/>
      <c r="DX20" s="106"/>
      <c r="DY20" s="106"/>
    </row>
    <row r="21">
      <c r="A21" s="117" t="str">
        <f>IF(A20="","",IFS(L21="A",Montagem!$C$30,N21="T","Realizar a maior quantidade de repetições por "&amp;F20&amp;" segundos | ",N21="I",IF(M21="U","Manter a posição por "&amp;F20&amp;" segundos de um lado e trocar para o outro na sequência | ","Manter a posição por "&amp;F20&amp;" segundos | "),M21="A","Realizar alternadamente "&amp;F20&amp;" repetições cada lado | ",M21="U","Realizar "&amp;F20&amp;" repetições de um lado e trocar para o outro na sequência | ",L21="P",OFFSET(Biblioteca!$H$2,MATCH(M20,Biblioteca!$A$3:$A$200,0),0),TRUE,""))</f>
        <v/>
      </c>
      <c r="E21" s="118" t="str">
        <f>IF(A20="","",IFS(L21="H","Carga Sugerida: "&amp;ROUNDUP(O20/2,0)&amp;" kg de cada lado (Total: "&amp;ROUNDUP(O20/2,0)*2&amp;" kg)",L21="C","Este exercício usa o Peso Corporal como carga",L21="E","Este exercício usa a resistência da banda elástica como carga",L21="O","Carga Sugerida: "&amp;INT(O20)&amp;" kg",TRUE,""))</f>
        <v>Este exercício usa o Peso Corporal como carga</v>
      </c>
      <c r="J21" s="66"/>
      <c r="K21" s="126">
        <f>K20</f>
        <v>3</v>
      </c>
      <c r="L21" s="120" t="str">
        <f>LEFT(O21)</f>
        <v>C</v>
      </c>
      <c r="M21" s="121" t="str">
        <f>MID(O21,2,1)</f>
        <v>O</v>
      </c>
      <c r="N21" s="122" t="str">
        <f>RIGHT(O21)</f>
        <v>R</v>
      </c>
      <c r="O21" s="123" t="str">
        <f>IF(M20="","",OFFSET(Biblioteca!$I$2,MATCH(M20,Biblioteca!$A$3:$A$200,0),0))</f>
        <v>COR</v>
      </c>
      <c r="P21" s="124"/>
      <c r="Q21" s="125"/>
      <c r="R21" s="117" t="str">
        <f>IF(R20="","",IFS(AC21="A",Montagem!$D$30,AE21="T","Realizar a maior quantidade de repetições por "&amp;W20&amp;" segundos | ",AE21="I",IF(AD21="U","Manter a posição por "&amp;W20&amp;" segundos de um lado e trocar para o outro na sequência | ","Manter a posição por "&amp;W20&amp;" segundos | "),AD21="A","Realizar alternadamente "&amp;W20&amp;" repetições cada lado | ",AD21="U","Realizar "&amp;W20&amp;" repetições de um lado e trocar para o outro na sequência | ",AC21="P",OFFSET(Biblioteca!$H$2,MATCH(AD20,Biblioteca!$A$3:$A$200,0),0),TRUE,""))</f>
        <v/>
      </c>
      <c r="V21" s="118" t="str">
        <f>IF(R20="","",IFS(AC21="H","Carga Sugerida: "&amp;ROUNDUP(AF20/2,0)&amp;" kg de cada lado (Total: "&amp;ROUNDUP(AF20/2,0)*2&amp;" kg)",AC21="C","Este exercício usa o Peso Corporal como carga",AC21="E","Este exercício usa a resistência da banda elástica como carga",AC21="O","Carga Sugerida: "&amp;INT(AF20)&amp;" kg",TRUE,""))</f>
        <v>Este exercício usa o Peso Corporal como carga</v>
      </c>
      <c r="AA21" s="66"/>
      <c r="AB21" s="126">
        <f>AB20</f>
        <v>3</v>
      </c>
      <c r="AC21" s="120" t="str">
        <f>LEFT(AF21)</f>
        <v>C</v>
      </c>
      <c r="AD21" s="121" t="str">
        <f>MID(AF21,2,1)</f>
        <v>O</v>
      </c>
      <c r="AE21" s="122" t="str">
        <f>RIGHT(AF21)</f>
        <v>R</v>
      </c>
      <c r="AF21" s="123" t="str">
        <f>IF(AD20="","",OFFSET(Biblioteca!$I$2,MATCH(AD20,Biblioteca!$A$3:$A$200,0),0))</f>
        <v>COR</v>
      </c>
      <c r="AG21" s="124"/>
      <c r="AH21" s="125"/>
      <c r="AI21" s="117" t="str">
        <f>IF(AI20="","",IFS(AT21="A",Montagem!$E$30,AV21="T","Realizar a maior quantidade de repetições por "&amp;AN20&amp;" segundos | ",AV21="I",IF(AU21="U","Manter a posição por "&amp;AN20&amp;" segundos de um lado e trocar para o outro na sequência | ","Manter a posição por "&amp;AN20&amp;" segundos | "),AU21="A","Realizar alternadamente "&amp;AN20&amp;" repetições cada lado | ",AU21="U","Realizar "&amp;AN20&amp;" repetições de um lado e trocar para o outro na sequência | ",AT21="P",OFFSET(Biblioteca!$H$2,MATCH(AU20,Biblioteca!$A$3:$A$200,0),0),TRUE,""))</f>
        <v>Manter a posição por 50 segundos | </v>
      </c>
      <c r="AM21" s="118" t="str">
        <f>IF(AI20="","",IFS(AT21="H","Carga Sugerida: "&amp;ROUNDUP(AW20/2,0)&amp;" kg de cada lado (Total: "&amp;ROUNDUP(AW20/2,0)*2&amp;" kg)",AT21="C","Este exercício usa o Peso Corporal como carga",AT21="E","Este exercício usa a resistência da banda elástica como carga",AT21="O","Carga Sugerida: "&amp;INT(AW20)&amp;" kg",TRUE,""))</f>
        <v>Este exercício usa o Peso Corporal como carga</v>
      </c>
      <c r="AR21" s="66"/>
      <c r="AS21" s="126">
        <f>AS20</f>
        <v>3</v>
      </c>
      <c r="AT21" s="120" t="str">
        <f>LEFT(AW21)</f>
        <v>C</v>
      </c>
      <c r="AU21" s="121" t="str">
        <f>MID(AW21,2,1)</f>
        <v>O</v>
      </c>
      <c r="AV21" s="122" t="str">
        <f>RIGHT(AW21)</f>
        <v>I</v>
      </c>
      <c r="AW21" s="123" t="str">
        <f>IF(AU20="","",OFFSET(Biblioteca!$I$2,MATCH(AU20,Biblioteca!$A$3:$A$200,0),0))</f>
        <v>COI</v>
      </c>
      <c r="AX21" s="124"/>
      <c r="AY21" s="125"/>
      <c r="AZ21" s="117" t="str">
        <f>IF(AZ20="","",IFS(BK21="A",Montagem!$F$30,BM21="T","Realizar a maior quantidade de repetições por "&amp;BE20&amp;" segundos | ",BM21="I",IF(BL21="U","Manter a posição por "&amp;BE20&amp;" segundos de um lado e trocar para o outro na sequência | ","Manter a posição por "&amp;BE20&amp;" segundos | "),BL21="A","Realizar alternadamente "&amp;BE20&amp;" repetições cada lado | ",BL21="U","Realizar "&amp;BE20&amp;" repetições de um lado e trocar para o outro na sequência | ",BK21="P",OFFSET(Biblioteca!$H$2,MATCH(BL20,Biblioteca!$A$3:$A$200,0),0),TRUE,""))</f>
        <v>Realizar 10 repetições de um lado e trocar para o outro na sequência | </v>
      </c>
      <c r="BD21" s="118" t="str">
        <f>IF(AZ20="","",IFS(BK21="H","Carga Sugerida: "&amp;ROUNDUP(BN20/2,0)&amp;" kg de cada lado (Total: "&amp;ROUNDUP(BN20/2,0)*2&amp;" kg)",BK21="C","Este exercício usa o Peso Corporal como carga",BK21="E","Este exercício usa a resistência da banda elástica como carga",BK21="O","Carga Sugerida: "&amp;INT(BN20)&amp;" kg",TRUE,""))</f>
        <v>Este exercício usa o Peso Corporal como carga</v>
      </c>
      <c r="BI21" s="66"/>
      <c r="BJ21" s="126">
        <f>BJ20</f>
        <v>3</v>
      </c>
      <c r="BK21" s="120" t="str">
        <f>LEFT(BN21)</f>
        <v>C</v>
      </c>
      <c r="BL21" s="121" t="str">
        <f>MID(BN21,2,1)</f>
        <v>U</v>
      </c>
      <c r="BM21" s="122" t="str">
        <f>RIGHT(BN21)</f>
        <v>R</v>
      </c>
      <c r="BN21" s="123" t="str">
        <f>IF(BL20="","",OFFSET(Biblioteca!$I$2,MATCH(BL20,Biblioteca!$A$3:$A$200,0),0))</f>
        <v>CUR</v>
      </c>
      <c r="BO21" s="124"/>
      <c r="BP21" s="125"/>
      <c r="BQ21" s="117" t="str">
        <f>IF(BQ20="","",IFS(CB21="A",Montagem!$G$30,CD21="T","Realizar a maior quantidade de repetições por "&amp;BV20&amp;" segundos | ",CD21="I",IF(CC21="U","Manter a posição por "&amp;BV20&amp;" segundos de um lado e trocar para o outro na sequência | ","Manter a posição por "&amp;BV20&amp;" segundos | "),CC21="A","Realizar alternadamente "&amp;BV20&amp;" repetições cada lado | ",CC21="U","Realizar "&amp;BV20&amp;" repetições de um lado e trocar para o outro na sequência | ",CB21="P",OFFSET(Biblioteca!$H$2,MATCH(CC20,Biblioteca!$A$3:$A$200,0),0),TRUE,""))</f>
        <v>Realizar 10 repetições de um lado e trocar para o outro na sequência | </v>
      </c>
      <c r="BU21" s="118" t="str">
        <f>IF(BQ20="","",IFS(CB21="H","Carga Sugerida: "&amp;ROUNDUP(CE20/2,0)&amp;" kg de cada lado (Total: "&amp;ROUNDUP(CE20/2,0)*2&amp;" kg)",CB21="C","Este exercício usa o Peso Corporal como carga",CB21="E","Este exercício usa a resistência da banda elástica como carga",CB21="O","Carga Sugerida: "&amp;INT(CE20)&amp;" kg",TRUE,""))</f>
        <v>Este exercício usa o Peso Corporal como carga</v>
      </c>
      <c r="BZ21" s="66"/>
      <c r="CA21" s="126">
        <f>CA20</f>
        <v>3</v>
      </c>
      <c r="CB21" s="120" t="str">
        <f>LEFT(CE21)</f>
        <v>C</v>
      </c>
      <c r="CC21" s="121" t="str">
        <f>MID(CE21,2,1)</f>
        <v>U</v>
      </c>
      <c r="CD21" s="122" t="str">
        <f>RIGHT(CE21)</f>
        <v>R</v>
      </c>
      <c r="CE21" s="123" t="str">
        <f>IF(CC20="","",OFFSET(Biblioteca!$I$2,MATCH(CC20,Biblioteca!$A$3:$A$200,0),0))</f>
        <v>CUR</v>
      </c>
      <c r="CF21" s="124"/>
      <c r="CG21" s="125"/>
      <c r="CH21" s="117" t="str">
        <f>IF(CH20="","",IFS(CS21="A",Montagem!$H$30,CU21="T","Realizar a maior quantidade de repetições por "&amp;CM20&amp;" segundos | ",CU21="I",IF(CT21="U","Manter a posição por "&amp;CM20&amp;" segundos de um lado e trocar para o outro na sequência | ","Manter a posição por "&amp;CM20&amp;" segundos | "),CT21="A","Realizar alternadamente "&amp;CM20&amp;" repetições cada lado | ",CT21="U","Realizar "&amp;CM20&amp;" repetições de um lado e trocar para o outro na sequência | ",CS21="P",OFFSET(Biblioteca!$H$2,MATCH(CT20,Biblioteca!$A$3:$A$200,0),0),TRUE,""))</f>
        <v>Realizar a maior quantidade de repetições por 30 segundos | </v>
      </c>
      <c r="CL21" s="118" t="str">
        <f>IF(CH20="","",IFS(CS21="H","Carga Sugerida: "&amp;ROUNDUP(CV20/2,0)&amp;" kg de cada lado (Total: "&amp;ROUNDUP(CV20/2,0)*2&amp;" kg)",CS21="C","Este exercício usa o Peso Corporal como carga",CS21="E","Este exercício usa a resistência da banda elástica como carga",CS21="O","Carga Sugerida: "&amp;INT(CV20)&amp;" kg",TRUE,""))</f>
        <v>Este exercício usa o Peso Corporal como carga</v>
      </c>
      <c r="CQ21" s="66"/>
      <c r="CR21" s="126">
        <f>CR20</f>
        <v>3</v>
      </c>
      <c r="CS21" s="120" t="str">
        <f>LEFT(CV21)</f>
        <v>C</v>
      </c>
      <c r="CT21" s="121" t="str">
        <f>MID(CV21,2,1)</f>
        <v>O</v>
      </c>
      <c r="CU21" s="122" t="str">
        <f>RIGHT(CV21)</f>
        <v>T</v>
      </c>
      <c r="CV21" s="123" t="str">
        <f>IF(CT20="","",OFFSET(Biblioteca!$I$2,MATCH(CT20,Biblioteca!$A$3:$A$200,0),0))</f>
        <v>COT</v>
      </c>
      <c r="CW21" s="124"/>
      <c r="CX21" s="125"/>
      <c r="CY21" s="117" t="str">
        <f>IF(CY20="","",IFS(DJ21="A",Montagem!$I$30,DL21="T","Realizar a maior quantidade de repetições por "&amp;DD20&amp;" segundos | ",DL21="I",IF(DK21="U","Manter a posição por "&amp;DD20&amp;" segundos de um lado e trocar para o outro na sequência | ","Manter a posição por "&amp;DD20&amp;" segundos | "),DK21="A","Realizar alternadamente "&amp;DD20&amp;" repetições cada lado | ",DK21="U","Realizar "&amp;DD20&amp;" repetições de um lado e trocar para o outro na sequência | ",DJ21="P",OFFSET(Biblioteca!$H$2,MATCH(DK20,Biblioteca!$A$3:$A$200,0),0),TRUE,""))</f>
        <v/>
      </c>
      <c r="DC21" s="118" t="str">
        <f>IF(CY20="","",IFS(DJ21="H","Carga Sugerida: "&amp;ROUNDUP(DM20/2,0)&amp;" kg de cada lado (Total: "&amp;ROUNDUP(DM20/2,0)*2&amp;" kg)",DJ21="C","Este exercício usa o Peso Corporal como carga",DJ21="E","Este exercício usa a resistência da banda elástica como carga",DJ21="O","Carga Sugerida: "&amp;INT(DM20)&amp;" kg",TRUE,""))</f>
        <v/>
      </c>
      <c r="DH21" s="66"/>
      <c r="DI21" s="126">
        <f>DI20</f>
        <v>1</v>
      </c>
      <c r="DJ21" s="120" t="str">
        <f>LEFT(DM21)</f>
        <v/>
      </c>
      <c r="DK21" s="121" t="str">
        <f>MID(DM21,2,1)</f>
        <v/>
      </c>
      <c r="DL21" s="122" t="str">
        <f>RIGHT(DM21)</f>
        <v/>
      </c>
      <c r="DM21" s="123" t="str">
        <f>IF(DK20="","",OFFSET(Biblioteca!$I$2,MATCH(DK20,Biblioteca!$A$3:$A$200,0),0))</f>
        <v/>
      </c>
      <c r="DN21" s="124"/>
      <c r="DO21" s="125"/>
      <c r="DP21" s="133" t="s">
        <v>45</v>
      </c>
      <c r="DQ21" s="56">
        <f>DQ20*DQ11</f>
        <v>0</v>
      </c>
      <c r="DR21" s="56"/>
      <c r="DS21" s="56"/>
      <c r="DT21" s="56"/>
      <c r="DU21" s="56"/>
      <c r="DV21" s="56"/>
      <c r="DW21" s="56"/>
      <c r="DX21" s="56"/>
      <c r="DY21" s="56"/>
    </row>
    <row r="22">
      <c r="A22" s="102" t="str">
        <f>IF(M22="","",HYPERLINK(OFFSET(Biblioteca!$B$2,MATCH(M22,Biblioteca!$A$3:$A$200,0),0),M22))</f>
        <v>Mobilidade Quadril - Abdução/Adução</v>
      </c>
      <c r="D22" s="109" t="str">
        <f>Montagem!Q19</f>
        <v>Seriado</v>
      </c>
      <c r="E22" s="104">
        <f>Montagem!R19</f>
        <v>2</v>
      </c>
      <c r="F22" s="110">
        <f>Montagem!S19</f>
        <v>10</v>
      </c>
      <c r="G22" s="110">
        <f>Montagem!T19</f>
        <v>10</v>
      </c>
      <c r="H22" s="110">
        <f>Montagem!U19</f>
        <v>1</v>
      </c>
      <c r="I22" s="134">
        <f>Montagem!V19</f>
        <v>1</v>
      </c>
      <c r="J22" s="105"/>
      <c r="K22" s="106">
        <f>Montagem!K19</f>
        <v>4</v>
      </c>
      <c r="L22" s="128">
        <f>Montagem!W19</f>
        <v>0</v>
      </c>
      <c r="M22" s="111" t="str">
        <f>Montagem!L19</f>
        <v>Mobilidade Quadril - Abdução/Adução</v>
      </c>
      <c r="N22" s="111" t="str">
        <f>Montagem!X19</f>
        <v/>
      </c>
      <c r="O22" s="106">
        <f>IF(N22="",L22,N22)</f>
        <v>0</v>
      </c>
      <c r="P22" s="106">
        <f>IF(L23="C",'Dados de Base'!$D$5*0.1,IF(L23="E",5,IF(J22="",O22,J22)))</f>
        <v>6.3</v>
      </c>
      <c r="Q22" s="108"/>
      <c r="R22" s="115" t="str">
        <f>IF(AD22="","",HYPERLINK(OFFSET(Biblioteca!$B$2,MATCH(AD22,Biblioteca!$A$3:$A$200,0),0),AD22))</f>
        <v/>
      </c>
      <c r="U22" s="109" t="str">
        <f>Montagem!AF19</f>
        <v/>
      </c>
      <c r="V22" s="110" t="str">
        <f>Montagem!AG19</f>
        <v/>
      </c>
      <c r="W22" s="110" t="str">
        <f>Montagem!AH19</f>
        <v/>
      </c>
      <c r="X22" s="110" t="str">
        <f>Montagem!AI19</f>
        <v/>
      </c>
      <c r="Y22" s="135" t="str">
        <f>Montagem!AJ19</f>
        <v/>
      </c>
      <c r="Z22" s="109" t="str">
        <f>Montagem!AK19</f>
        <v/>
      </c>
      <c r="AA22" s="105"/>
      <c r="AB22" s="111">
        <f>Montagem!Z19</f>
        <v>4</v>
      </c>
      <c r="AC22" s="111" t="str">
        <f>Montagem!AL19</f>
        <v/>
      </c>
      <c r="AD22" s="129" t="str">
        <f>Montagem!AA19</f>
        <v/>
      </c>
      <c r="AE22" s="111" t="str">
        <f>Montagem!AM19</f>
        <v/>
      </c>
      <c r="AF22" s="106" t="str">
        <f>IF(AE22="",AC22,AE22)</f>
        <v/>
      </c>
      <c r="AG22" s="106" t="str">
        <f>IF(AC23="C",'Dados de Base'!$D$5*0.1,IF(AC23="E",5,IF(AA22="",AF22,AA22)))</f>
        <v/>
      </c>
      <c r="AH22" s="108"/>
      <c r="AI22" s="115" t="str">
        <f>IF(AU22="","",HYPERLINK(OFFSET(Biblioteca!$B$2,MATCH(AU22,Biblioteca!$A$3:$A$200,0),0),AU22))</f>
        <v/>
      </c>
      <c r="AL22" s="109" t="str">
        <f>Montagem!AU19</f>
        <v/>
      </c>
      <c r="AM22" s="110" t="str">
        <f>Montagem!AV19</f>
        <v/>
      </c>
      <c r="AN22" s="110" t="str">
        <f>Montagem!AW19</f>
        <v/>
      </c>
      <c r="AO22" s="110" t="str">
        <f>Montagem!AX19</f>
        <v/>
      </c>
      <c r="AP22" s="135" t="str">
        <f>Montagem!AY19</f>
        <v/>
      </c>
      <c r="AQ22" s="109" t="str">
        <f>Montagem!AZ19</f>
        <v/>
      </c>
      <c r="AR22" s="105"/>
      <c r="AS22" s="111">
        <f>Montagem!AO19</f>
        <v>4</v>
      </c>
      <c r="AT22" s="111" t="str">
        <f>Montagem!BA19</f>
        <v/>
      </c>
      <c r="AU22" s="111" t="str">
        <f>Montagem!AP19</f>
        <v/>
      </c>
      <c r="AV22" s="111" t="str">
        <f>Montagem!BB19</f>
        <v/>
      </c>
      <c r="AW22" s="106" t="str">
        <f>IF(AV22="",AT22,AV22)</f>
        <v/>
      </c>
      <c r="AX22" s="106" t="str">
        <f>IF(AT23="C",'Dados de Base'!$D$5*0.1,IF(AT23="E",5,IF(AR22="",AW22,AR22)))</f>
        <v/>
      </c>
      <c r="AY22" s="108"/>
      <c r="AZ22" s="115" t="str">
        <f>IF(BL22="","",HYPERLINK(OFFSET(Biblioteca!$B$2,MATCH(BL22,Biblioteca!$A$3:$A$200,0),0),BL22))</f>
        <v/>
      </c>
      <c r="BC22" s="109" t="str">
        <f>Montagem!BJ19</f>
        <v/>
      </c>
      <c r="BD22" s="110" t="str">
        <f>Montagem!BK19</f>
        <v/>
      </c>
      <c r="BE22" s="110" t="str">
        <f>Montagem!BL19</f>
        <v/>
      </c>
      <c r="BF22" s="110" t="str">
        <f>Montagem!BM19</f>
        <v/>
      </c>
      <c r="BG22" s="110" t="str">
        <f>Montagem!BN19</f>
        <v/>
      </c>
      <c r="BH22" s="110" t="str">
        <f>Montagem!BO19</f>
        <v/>
      </c>
      <c r="BI22" s="112"/>
      <c r="BJ22" s="111">
        <f>Montagem!BD19</f>
        <v>4</v>
      </c>
      <c r="BK22" s="111" t="str">
        <f>Montagem!BP19</f>
        <v/>
      </c>
      <c r="BL22" s="111" t="str">
        <f>Montagem!BE19</f>
        <v/>
      </c>
      <c r="BM22" s="111" t="str">
        <f>Montagem!BQ19</f>
        <v/>
      </c>
      <c r="BN22" s="106" t="str">
        <f>IF(BM22="",BK22,BM22)</f>
        <v/>
      </c>
      <c r="BO22" s="106" t="str">
        <f>IF(BK23="C",'Dados de Base'!$D$5*0.1,IF(BK23="E",5,IF(BI22="",BN22,BI22)))</f>
        <v/>
      </c>
      <c r="BP22" s="108"/>
      <c r="BQ22" s="102" t="str">
        <f>IF(CC22="","",HYPERLINK(OFFSET(Biblioteca!$B$2,MATCH(CC22,Biblioteca!$A$3:$A$200,0),0),CC22))</f>
        <v>Alongamento Iliotibial III</v>
      </c>
      <c r="BT22" s="109" t="str">
        <f>Montagem!BY19</f>
        <v>Seriado</v>
      </c>
      <c r="BU22" s="110">
        <f>Montagem!BZ19</f>
        <v>2</v>
      </c>
      <c r="BV22" s="110">
        <f>Montagem!CA19</f>
        <v>10</v>
      </c>
      <c r="BW22" s="110">
        <f>Montagem!CB19</f>
        <v>10</v>
      </c>
      <c r="BX22" s="135">
        <f>Montagem!CC19</f>
        <v>1</v>
      </c>
      <c r="BY22" s="109">
        <f>Montagem!CD19</f>
        <v>1</v>
      </c>
      <c r="BZ22" s="113"/>
      <c r="CA22" s="111">
        <f>Montagem!BS19</f>
        <v>4</v>
      </c>
      <c r="CB22" s="111">
        <f>Montagem!CE19</f>
        <v>0</v>
      </c>
      <c r="CC22" s="111" t="str">
        <f>Montagem!BT19</f>
        <v>Alongamento Iliotibial III</v>
      </c>
      <c r="CD22" s="111" t="str">
        <f>Montagem!CF19</f>
        <v/>
      </c>
      <c r="CE22" s="106">
        <f>IF(CD22="",CB22,CD22)</f>
        <v>0</v>
      </c>
      <c r="CF22" s="106">
        <f>IF(CB23="C",'Dados de Base'!$D$5*0.1,IF(CB23="E",5,IF(BZ22="",CE22,BZ22)))</f>
        <v>6.3</v>
      </c>
      <c r="CG22" s="108"/>
      <c r="CH22" s="102" t="str">
        <f>IF(CT22="","",HYPERLINK(OFFSET(Biblioteca!$B$2,MATCH(CT22,Biblioteca!$A$3:$A$200,0),0),CT22))</f>
        <v>Skipping Alto</v>
      </c>
      <c r="CK22" s="109" t="str">
        <f>Montagem!CN19</f>
        <v>Seriado</v>
      </c>
      <c r="CL22" s="110">
        <f>Montagem!CO19</f>
        <v>1</v>
      </c>
      <c r="CM22" s="110">
        <f>Montagem!CP19</f>
        <v>30</v>
      </c>
      <c r="CN22" s="110">
        <f>Montagem!CQ19</f>
        <v>30</v>
      </c>
      <c r="CO22" s="135">
        <f>Montagem!CR19</f>
        <v>0</v>
      </c>
      <c r="CP22" s="109">
        <f>Montagem!CS19</f>
        <v>1</v>
      </c>
      <c r="CQ22" s="114"/>
      <c r="CR22" s="111">
        <f>Montagem!CH19</f>
        <v>4</v>
      </c>
      <c r="CS22" s="111">
        <f>Montagem!CT19</f>
        <v>0</v>
      </c>
      <c r="CT22" s="111" t="str">
        <f>Montagem!CI19</f>
        <v>Skipping Alto</v>
      </c>
      <c r="CU22" s="111" t="str">
        <f>Montagem!CU19</f>
        <v/>
      </c>
      <c r="CV22" s="106">
        <f>IF(CU22="",CS22,CU22)</f>
        <v>0</v>
      </c>
      <c r="CW22" s="106">
        <f>IF(CS23="C",'Dados de Base'!$D$5*0.1,IF(CS23="E",5,IF(CQ22="",CV22,CQ22)))</f>
        <v>6.3</v>
      </c>
      <c r="CX22" s="108"/>
      <c r="CY22" s="115" t="str">
        <f>IF(DK22="","",HYPERLINK(OFFSET(Biblioteca!$B$2,MATCH(DK22,Biblioteca!$A$3:$A$200,0),0),DK22))</f>
        <v/>
      </c>
      <c r="DB22" s="130" t="str">
        <f>Montagem!DC19</f>
        <v/>
      </c>
      <c r="DC22" s="131" t="str">
        <f>Montagem!DD19</f>
        <v/>
      </c>
      <c r="DD22" s="131" t="str">
        <f>Montagem!DE19</f>
        <v/>
      </c>
      <c r="DE22" s="131" t="str">
        <f>Montagem!DF19</f>
        <v/>
      </c>
      <c r="DF22" s="136" t="str">
        <f>Montagem!DG19</f>
        <v/>
      </c>
      <c r="DG22" s="130" t="str">
        <f>Montagem!DH19</f>
        <v/>
      </c>
      <c r="DH22" s="114"/>
      <c r="DI22" s="111">
        <f>Montagem!CW19</f>
        <v>1</v>
      </c>
      <c r="DJ22" s="111" t="str">
        <f>Montagem!DI19</f>
        <v/>
      </c>
      <c r="DK22" s="111" t="str">
        <f>Montagem!CX19</f>
        <v/>
      </c>
      <c r="DL22" s="111" t="str">
        <f>Montagem!DJ19</f>
        <v/>
      </c>
      <c r="DM22" s="106" t="str">
        <f>IF(DL22="",DJ22,DL22)</f>
        <v/>
      </c>
      <c r="DN22" s="106" t="str">
        <f>IF(DJ23="C",'Dados de Base'!$D$5*0.1,IF(DJ23="E",5,IF(DH22="",DM22,DH22)))</f>
        <v/>
      </c>
      <c r="DO22" s="108"/>
      <c r="DP22" s="116" t="s">
        <v>46</v>
      </c>
      <c r="DQ22" s="106">
        <f>COUNTA(A75,R75,AI75,AZ75,BQ75,CH75,CY75)</f>
        <v>0</v>
      </c>
      <c r="DR22" s="106"/>
      <c r="DS22" s="106"/>
      <c r="DT22" s="106"/>
      <c r="DU22" s="106"/>
      <c r="DV22" s="106"/>
      <c r="DW22" s="106"/>
      <c r="DX22" s="106"/>
      <c r="DY22" s="106"/>
    </row>
    <row r="23">
      <c r="A23" s="117" t="str">
        <f>IF(A22="","",IFS(L23="A",Montagem!$C$30,N23="T","Realizar a maior quantidade de repetições por "&amp;F22&amp;" segundos | ",N23="I",IF(M23="U","Manter a posição por "&amp;F22&amp;" segundos de um lado e trocar para o outro na sequência | ","Manter a posição por "&amp;F22&amp;" segundos | "),M23="A","Realizar alternadamente "&amp;F22&amp;" repetições cada lado | ",M23="U","Realizar "&amp;F22&amp;" repetições de um lado e trocar para o outro na sequência | ",L23="P",OFFSET(Biblioteca!$H$2,MATCH(M22,Biblioteca!$A$3:$A$200,0),0),TRUE,""))</f>
        <v>Realizar 10 repetições de um lado e trocar para o outro na sequência | </v>
      </c>
      <c r="E23" s="118" t="str">
        <f>IF(A22="","",IFS(L23="H","Carga Sugerida: "&amp;ROUNDUP(O22/2,0)&amp;" kg de cada lado (Total: "&amp;ROUNDUP(O22/2,0)*2&amp;" kg)",L23="C","Este exercício usa o Peso Corporal como carga",L23="E","Este exercício usa a resistência da banda elástica como carga",L23="O","Carga Sugerida: "&amp;INT(O22)&amp;" kg",TRUE,""))</f>
        <v>Este exercício usa o Peso Corporal como carga</v>
      </c>
      <c r="J23" s="66"/>
      <c r="K23" s="126">
        <f>K22</f>
        <v>4</v>
      </c>
      <c r="L23" s="120" t="str">
        <f>LEFT(O23)</f>
        <v>C</v>
      </c>
      <c r="M23" s="121" t="str">
        <f>MID(O23,2,1)</f>
        <v>U</v>
      </c>
      <c r="N23" s="122" t="str">
        <f>RIGHT(O23)</f>
        <v>R</v>
      </c>
      <c r="O23" s="123" t="str">
        <f>IF(M22="","",OFFSET(Biblioteca!$I$2,MATCH(M22,Biblioteca!$A$3:$A$200,0),0))</f>
        <v>CUR</v>
      </c>
      <c r="P23" s="124"/>
      <c r="Q23" s="125"/>
      <c r="R23" s="117" t="str">
        <f>IF(R22="","",IFS(AC23="A",Montagem!$D$30,AE23="T","Realizar a maior quantidade de repetições por "&amp;W22&amp;" segundos | ",AE23="I",IF(AD23="U","Manter a posição por "&amp;W22&amp;" segundos de um lado e trocar para o outro na sequência | ","Manter a posição por "&amp;W22&amp;" segundos | "),AD23="A","Realizar alternadamente "&amp;W22&amp;" repetições cada lado | ",AD23="U","Realizar "&amp;W22&amp;" repetições de um lado e trocar para o outro na sequência | ",AC23="P",OFFSET(Biblioteca!$H$2,MATCH(AD22,Biblioteca!$A$3:$A$200,0),0),TRUE,""))</f>
        <v/>
      </c>
      <c r="V23" s="118" t="str">
        <f>IF(R22="","",IFS(AC23="H","Carga Sugerida: "&amp;ROUNDUP(AF22/2,0)&amp;" kg de cada lado (Total: "&amp;ROUNDUP(AF22/2,0)*2&amp;" kg)",AC23="C","Este exercício usa o Peso Corporal como carga",AC23="E","Este exercício usa a resistência da banda elástica como carga",AC23="O","Carga Sugerida: "&amp;INT(AF22)&amp;" kg",TRUE,""))</f>
        <v/>
      </c>
      <c r="AA23" s="66"/>
      <c r="AB23" s="126">
        <f>AB22</f>
        <v>4</v>
      </c>
      <c r="AC23" s="120" t="str">
        <f>LEFT(AF23)</f>
        <v/>
      </c>
      <c r="AD23" s="121" t="str">
        <f>MID(AF23,2,1)</f>
        <v/>
      </c>
      <c r="AE23" s="122" t="str">
        <f>RIGHT(AF23)</f>
        <v/>
      </c>
      <c r="AF23" s="123" t="str">
        <f>IF(AD22="","",OFFSET(Biblioteca!$I$2,MATCH(AD22,Biblioteca!$A$3:$A$200,0),0))</f>
        <v/>
      </c>
      <c r="AG23" s="124"/>
      <c r="AH23" s="125"/>
      <c r="AI23" s="117" t="str">
        <f>IF(AI22="","",IFS(AT23="A",Montagem!$E$30,AV23="T","Realizar a maior quantidade de repetições por "&amp;AN22&amp;" segundos | ",AV23="I",IF(AU23="U","Manter a posição por "&amp;AN22&amp;" segundos de um lado e trocar para o outro na sequência | ","Manter a posição por "&amp;AN22&amp;" segundos | "),AU23="A","Realizar alternadamente "&amp;AN22&amp;" repetições cada lado | ",AU23="U","Realizar "&amp;AN22&amp;" repetições de um lado e trocar para o outro na sequência | ",AT23="P",OFFSET(Biblioteca!$H$2,MATCH(AU22,Biblioteca!$A$3:$A$200,0),0),TRUE,""))</f>
        <v/>
      </c>
      <c r="AM23" s="118" t="str">
        <f>IF(AI22="","",IFS(AT23="H","Carga Sugerida: "&amp;ROUNDUP(AW22/2,0)&amp;" kg de cada lado (Total: "&amp;ROUNDUP(AW22/2,0)*2&amp;" kg)",AT23="C","Este exercício usa o Peso Corporal como carga",AT23="E","Este exercício usa a resistência da banda elástica como carga",AT23="O","Carga Sugerida: "&amp;INT(AW22)&amp;" kg",TRUE,""))</f>
        <v/>
      </c>
      <c r="AR23" s="66"/>
      <c r="AS23" s="126">
        <f>AS22</f>
        <v>4</v>
      </c>
      <c r="AT23" s="120" t="str">
        <f>LEFT(AW23)</f>
        <v/>
      </c>
      <c r="AU23" s="121" t="str">
        <f>MID(AW23,2,1)</f>
        <v/>
      </c>
      <c r="AV23" s="122" t="str">
        <f>RIGHT(AW23)</f>
        <v/>
      </c>
      <c r="AW23" s="123" t="str">
        <f>IF(AU22="","",OFFSET(Biblioteca!$I$2,MATCH(AU22,Biblioteca!$A$3:$A$200,0),0))</f>
        <v/>
      </c>
      <c r="AX23" s="124"/>
      <c r="AY23" s="125"/>
      <c r="AZ23" s="117" t="str">
        <f>IF(AZ22="","",IFS(BK23="A",Montagem!$F$30,BM23="T","Realizar a maior quantidade de repetições por "&amp;BE22&amp;" segundos | ",BM23="I",IF(BL23="U","Manter a posição por "&amp;BE22&amp;" segundos de um lado e trocar para o outro na sequência | ","Manter a posição por "&amp;BE22&amp;" segundos | "),BL23="A","Realizar alternadamente "&amp;BE22&amp;" repetições cada lado | ",BL23="U","Realizar "&amp;BE22&amp;" repetições de um lado e trocar para o outro na sequência | ",BK23="P",OFFSET(Biblioteca!$H$2,MATCH(BL22,Biblioteca!$A$3:$A$200,0),0),TRUE,""))</f>
        <v/>
      </c>
      <c r="BD23" s="118" t="str">
        <f>IF(AZ22="","",IFS(BK23="H","Carga Sugerida: "&amp;ROUNDUP(BN22/2,0)&amp;" kg de cada lado (Total: "&amp;ROUNDUP(BN22/2,0)*2&amp;" kg)",BK23="C","Este exercício usa o Peso Corporal como carga",BK23="E","Este exercício usa a resistência da banda elástica como carga",BK23="O","Carga Sugerida: "&amp;INT(BN22)&amp;" kg",TRUE,""))</f>
        <v/>
      </c>
      <c r="BI23" s="66"/>
      <c r="BJ23" s="126">
        <f>BJ22</f>
        <v>4</v>
      </c>
      <c r="BK23" s="120" t="str">
        <f>LEFT(BN23)</f>
        <v/>
      </c>
      <c r="BL23" s="121" t="str">
        <f>MID(BN23,2,1)</f>
        <v/>
      </c>
      <c r="BM23" s="122" t="str">
        <f>RIGHT(BN23)</f>
        <v/>
      </c>
      <c r="BN23" s="123" t="str">
        <f>IF(BL22="","",OFFSET(Biblioteca!$I$2,MATCH(BL22,Biblioteca!$A$3:$A$200,0),0))</f>
        <v/>
      </c>
      <c r="BO23" s="124"/>
      <c r="BP23" s="125"/>
      <c r="BQ23" s="117" t="str">
        <f>IF(BQ22="","",IFS(CB23="A",Montagem!$G$30,CD23="T","Realizar a maior quantidade de repetições por "&amp;BV22&amp;" segundos | ",CD23="I",IF(CC23="U","Manter a posição por "&amp;BV22&amp;" segundos de um lado e trocar para o outro na sequência | ","Manter a posição por "&amp;BV22&amp;" segundos | "),CC23="A","Realizar alternadamente "&amp;BV22&amp;" repetições cada lado | ",CC23="U","Realizar "&amp;BV22&amp;" repetições de um lado e trocar para o outro na sequência | ",CB23="P",OFFSET(Biblioteca!$H$2,MATCH(CC22,Biblioteca!$A$3:$A$200,0),0),TRUE,""))</f>
        <v>Realizar 10 repetições de um lado e trocar para o outro na sequência | </v>
      </c>
      <c r="BU23" s="118" t="str">
        <f>IF(BQ22="","",IFS(CB23="H","Carga Sugerida: "&amp;ROUNDUP(CE22/2,0)&amp;" kg de cada lado (Total: "&amp;ROUNDUP(CE22/2,0)*2&amp;" kg)",CB23="C","Este exercício usa o Peso Corporal como carga",CB23="E","Este exercício usa a resistência da banda elástica como carga",CB23="O","Carga Sugerida: "&amp;INT(CE22)&amp;" kg",TRUE,""))</f>
        <v>Este exercício usa o Peso Corporal como carga</v>
      </c>
      <c r="BZ23" s="66"/>
      <c r="CA23" s="126">
        <f>CA22</f>
        <v>4</v>
      </c>
      <c r="CB23" s="120" t="str">
        <f>LEFT(CE23)</f>
        <v>C</v>
      </c>
      <c r="CC23" s="121" t="str">
        <f>MID(CE23,2,1)</f>
        <v>U</v>
      </c>
      <c r="CD23" s="122" t="str">
        <f>RIGHT(CE23)</f>
        <v>R</v>
      </c>
      <c r="CE23" s="123" t="str">
        <f>IF(CC22="","",OFFSET(Biblioteca!$I$2,MATCH(CC22,Biblioteca!$A$3:$A$200,0),0))</f>
        <v>CUR</v>
      </c>
      <c r="CF23" s="124"/>
      <c r="CG23" s="125"/>
      <c r="CH23" s="117" t="str">
        <f>IF(CH22="","",IFS(CS23="A",Montagem!$H$30,CU23="T","Realizar a maior quantidade de repetições por "&amp;CM22&amp;" segundos | ",CU23="I",IF(CT23="U","Manter a posição por "&amp;CM22&amp;" segundos de um lado e trocar para o outro na sequência | ","Manter a posição por "&amp;CM22&amp;" segundos | "),CT23="A","Realizar alternadamente "&amp;CM22&amp;" repetições cada lado | ",CT23="U","Realizar "&amp;CM22&amp;" repetições de um lado e trocar para o outro na sequência | ",CS23="P",OFFSET(Biblioteca!$H$2,MATCH(CT22,Biblioteca!$A$3:$A$200,0),0),TRUE,""))</f>
        <v>Realizar a maior quantidade de repetições por 30 segundos | </v>
      </c>
      <c r="CL23" s="118" t="str">
        <f>IF(CH22="","",IFS(CS23="H","Carga Sugerida: "&amp;ROUNDUP(CV22/2,0)&amp;" kg de cada lado (Total: "&amp;ROUNDUP(CV22/2,0)*2&amp;" kg)",CS23="C","Este exercício usa o Peso Corporal como carga",CS23="E","Este exercício usa a resistência da banda elástica como carga",CS23="O","Carga Sugerida: "&amp;INT(CV22)&amp;" kg",TRUE,""))</f>
        <v>Este exercício usa o Peso Corporal como carga</v>
      </c>
      <c r="CQ23" s="66"/>
      <c r="CR23" s="126">
        <f>CR22</f>
        <v>4</v>
      </c>
      <c r="CS23" s="120" t="str">
        <f>LEFT(CV23)</f>
        <v>C</v>
      </c>
      <c r="CT23" s="121" t="str">
        <f>MID(CV23,2,1)</f>
        <v>O</v>
      </c>
      <c r="CU23" s="122" t="str">
        <f>RIGHT(CV23)</f>
        <v>T</v>
      </c>
      <c r="CV23" s="123" t="str">
        <f>IF(CT22="","",OFFSET(Biblioteca!$I$2,MATCH(CT22,Biblioteca!$A$3:$A$200,0),0))</f>
        <v>COT</v>
      </c>
      <c r="CW23" s="124"/>
      <c r="CX23" s="125"/>
      <c r="CY23" s="117" t="str">
        <f>IF(CY22="","",IFS(DJ23="A",Montagem!$I$30,DL23="T","Realizar a maior quantidade de repetições por "&amp;DD22&amp;" segundos | ",DL23="I",IF(DK23="U","Manter a posição por "&amp;DD22&amp;" segundos de um lado e trocar para o outro na sequência | ","Manter a posição por "&amp;DD22&amp;" segundos | "),DK23="A","Realizar alternadamente "&amp;DD22&amp;" repetições cada lado | ",DK23="U","Realizar "&amp;DD22&amp;" repetições de um lado e trocar para o outro na sequência | ",DJ23="P",OFFSET(Biblioteca!$H$2,MATCH(DK22,Biblioteca!$A$3:$A$200,0),0),TRUE,""))</f>
        <v/>
      </c>
      <c r="DC23" s="118" t="str">
        <f>IF(CY22="","",IFS(DJ23="H","Carga Sugerida: "&amp;ROUNDUP(DM22/2,0)&amp;" kg de cada lado (Total: "&amp;ROUNDUP(DM22/2,0)*2&amp;" kg)",DJ23="C","Este exercício usa o Peso Corporal como carga",DJ23="E","Este exercício usa a resistência da banda elástica como carga",DJ23="O","Carga Sugerida: "&amp;INT(DM22)&amp;" kg",TRUE,""))</f>
        <v/>
      </c>
      <c r="DH23" s="66"/>
      <c r="DI23" s="126">
        <f>DI22</f>
        <v>1</v>
      </c>
      <c r="DJ23" s="120" t="str">
        <f>LEFT(DM23)</f>
        <v/>
      </c>
      <c r="DK23" s="121" t="str">
        <f>MID(DM23,2,1)</f>
        <v/>
      </c>
      <c r="DL23" s="122" t="str">
        <f>RIGHT(DM23)</f>
        <v/>
      </c>
      <c r="DM23" s="123" t="str">
        <f>IF(DK22="","",OFFSET(Biblioteca!$I$2,MATCH(DK22,Biblioteca!$A$3:$A$200,0),0))</f>
        <v/>
      </c>
      <c r="DN23" s="124"/>
      <c r="DO23" s="125"/>
      <c r="DP23" s="57"/>
      <c r="DQ23" s="56"/>
      <c r="DR23" s="56"/>
      <c r="DS23" s="56"/>
      <c r="DT23" s="56"/>
      <c r="DU23" s="56"/>
      <c r="DV23" s="56"/>
      <c r="DW23" s="56"/>
      <c r="DX23" s="56"/>
      <c r="DY23" s="56"/>
    </row>
    <row r="24">
      <c r="A24" s="90" t="s">
        <v>47</v>
      </c>
      <c r="J24" s="66"/>
      <c r="K24" s="57"/>
      <c r="L24" s="137"/>
      <c r="M24" s="57"/>
      <c r="N24" s="57"/>
      <c r="O24" s="57"/>
      <c r="P24" s="57"/>
      <c r="Q24" s="58"/>
      <c r="R24" s="90" t="s">
        <v>47</v>
      </c>
      <c r="AA24" s="66"/>
      <c r="AB24" s="138"/>
      <c r="AC24" s="57"/>
      <c r="AD24" s="138"/>
      <c r="AE24" s="138"/>
      <c r="AF24" s="57"/>
      <c r="AG24" s="57"/>
      <c r="AH24" s="58"/>
      <c r="AI24" s="90" t="s">
        <v>47</v>
      </c>
      <c r="AR24" s="66"/>
      <c r="AS24" s="138"/>
      <c r="AT24" s="57"/>
      <c r="AU24" s="138"/>
      <c r="AV24" s="138"/>
      <c r="AW24" s="57"/>
      <c r="AX24" s="57"/>
      <c r="AY24" s="58"/>
      <c r="AZ24" s="90" t="s">
        <v>47</v>
      </c>
      <c r="BI24" s="66"/>
      <c r="BJ24" s="138"/>
      <c r="BK24" s="57"/>
      <c r="BL24" s="138"/>
      <c r="BM24" s="138"/>
      <c r="BN24" s="57"/>
      <c r="BO24" s="57"/>
      <c r="BP24" s="58"/>
      <c r="BQ24" s="90" t="s">
        <v>47</v>
      </c>
      <c r="BZ24" s="66"/>
      <c r="CA24" s="138"/>
      <c r="CB24" s="57"/>
      <c r="CC24" s="138"/>
      <c r="CD24" s="138"/>
      <c r="CE24" s="57"/>
      <c r="CF24" s="57"/>
      <c r="CG24" s="58"/>
      <c r="CH24" s="90" t="s">
        <v>47</v>
      </c>
      <c r="CQ24" s="66"/>
      <c r="CR24" s="138"/>
      <c r="CS24" s="57"/>
      <c r="CT24" s="138"/>
      <c r="CU24" s="138"/>
      <c r="CV24" s="57"/>
      <c r="CW24" s="57"/>
      <c r="CX24" s="58"/>
      <c r="CY24" s="90" t="s">
        <v>47</v>
      </c>
      <c r="DH24" s="66"/>
      <c r="DI24" s="138"/>
      <c r="DJ24" s="57"/>
      <c r="DK24" s="138"/>
      <c r="DL24" s="138"/>
      <c r="DM24" s="57"/>
      <c r="DN24" s="57"/>
      <c r="DO24" s="58"/>
      <c r="DP24" s="57"/>
      <c r="DQ24" s="56"/>
      <c r="DR24" s="56"/>
      <c r="DS24" s="56"/>
      <c r="DT24" s="56"/>
      <c r="DU24" s="56"/>
      <c r="DV24" s="56"/>
      <c r="DW24" s="56"/>
      <c r="DX24" s="56"/>
      <c r="DY24" s="56"/>
    </row>
    <row r="25">
      <c r="A25" s="96" t="s">
        <v>31</v>
      </c>
      <c r="D25" s="97" t="s">
        <v>32</v>
      </c>
      <c r="E25" s="98" t="s">
        <v>33</v>
      </c>
      <c r="F25" s="98" t="s">
        <v>34</v>
      </c>
      <c r="G25" s="98" t="s">
        <v>35</v>
      </c>
      <c r="H25" s="98" t="s">
        <v>36</v>
      </c>
      <c r="I25" s="98" t="s">
        <v>37</v>
      </c>
      <c r="J25" s="99" t="s">
        <v>38</v>
      </c>
      <c r="K25" s="57"/>
      <c r="L25" s="137"/>
      <c r="M25" s="57"/>
      <c r="N25" s="57"/>
      <c r="O25" s="57"/>
      <c r="P25" s="57"/>
      <c r="Q25" s="58"/>
      <c r="R25" s="96" t="s">
        <v>31</v>
      </c>
      <c r="U25" s="139" t="s">
        <v>32</v>
      </c>
      <c r="V25" s="140" t="s">
        <v>33</v>
      </c>
      <c r="W25" s="140" t="s">
        <v>34</v>
      </c>
      <c r="X25" s="140" t="s">
        <v>35</v>
      </c>
      <c r="Y25" s="140" t="s">
        <v>36</v>
      </c>
      <c r="Z25" s="140" t="s">
        <v>37</v>
      </c>
      <c r="AA25" s="141" t="s">
        <v>38</v>
      </c>
      <c r="AB25" s="138"/>
      <c r="AC25" s="57"/>
      <c r="AD25" s="138"/>
      <c r="AE25" s="138"/>
      <c r="AF25" s="57"/>
      <c r="AG25" s="57"/>
      <c r="AH25" s="58"/>
      <c r="AI25" s="96" t="s">
        <v>31</v>
      </c>
      <c r="AL25" s="139" t="s">
        <v>32</v>
      </c>
      <c r="AM25" s="140" t="s">
        <v>33</v>
      </c>
      <c r="AN25" s="140" t="s">
        <v>34</v>
      </c>
      <c r="AO25" s="140" t="s">
        <v>35</v>
      </c>
      <c r="AP25" s="140" t="s">
        <v>36</v>
      </c>
      <c r="AQ25" s="140" t="s">
        <v>37</v>
      </c>
      <c r="AR25" s="141" t="s">
        <v>38</v>
      </c>
      <c r="AS25" s="138"/>
      <c r="AT25" s="57"/>
      <c r="AU25" s="138"/>
      <c r="AV25" s="138"/>
      <c r="AW25" s="57"/>
      <c r="AX25" s="57"/>
      <c r="AY25" s="58"/>
      <c r="AZ25" s="96" t="s">
        <v>31</v>
      </c>
      <c r="BC25" s="139" t="s">
        <v>32</v>
      </c>
      <c r="BD25" s="140" t="s">
        <v>33</v>
      </c>
      <c r="BE25" s="140" t="s">
        <v>34</v>
      </c>
      <c r="BF25" s="140" t="s">
        <v>35</v>
      </c>
      <c r="BG25" s="140" t="s">
        <v>36</v>
      </c>
      <c r="BH25" s="140" t="s">
        <v>37</v>
      </c>
      <c r="BI25" s="141" t="s">
        <v>38</v>
      </c>
      <c r="BJ25" s="138"/>
      <c r="BK25" s="57"/>
      <c r="BL25" s="138"/>
      <c r="BM25" s="138"/>
      <c r="BN25" s="57"/>
      <c r="BO25" s="57"/>
      <c r="BP25" s="58"/>
      <c r="BQ25" s="96" t="s">
        <v>31</v>
      </c>
      <c r="BT25" s="139" t="s">
        <v>32</v>
      </c>
      <c r="BU25" s="140" t="s">
        <v>33</v>
      </c>
      <c r="BV25" s="140" t="s">
        <v>34</v>
      </c>
      <c r="BW25" s="140" t="s">
        <v>35</v>
      </c>
      <c r="BX25" s="140" t="s">
        <v>36</v>
      </c>
      <c r="BY25" s="140" t="s">
        <v>37</v>
      </c>
      <c r="BZ25" s="141" t="s">
        <v>38</v>
      </c>
      <c r="CA25" s="138"/>
      <c r="CB25" s="57"/>
      <c r="CC25" s="138"/>
      <c r="CD25" s="138"/>
      <c r="CE25" s="57"/>
      <c r="CF25" s="57"/>
      <c r="CG25" s="58"/>
      <c r="CH25" s="96" t="s">
        <v>31</v>
      </c>
      <c r="CK25" s="139" t="s">
        <v>32</v>
      </c>
      <c r="CL25" s="140" t="s">
        <v>33</v>
      </c>
      <c r="CM25" s="140" t="s">
        <v>34</v>
      </c>
      <c r="CN25" s="140" t="s">
        <v>35</v>
      </c>
      <c r="CO25" s="140" t="s">
        <v>36</v>
      </c>
      <c r="CP25" s="140" t="s">
        <v>37</v>
      </c>
      <c r="CQ25" s="141" t="s">
        <v>38</v>
      </c>
      <c r="CR25" s="138"/>
      <c r="CS25" s="57"/>
      <c r="CT25" s="138"/>
      <c r="CU25" s="138"/>
      <c r="CV25" s="57"/>
      <c r="CW25" s="57"/>
      <c r="CX25" s="58"/>
      <c r="CY25" s="96" t="s">
        <v>31</v>
      </c>
      <c r="DB25" s="139" t="s">
        <v>32</v>
      </c>
      <c r="DC25" s="140" t="s">
        <v>33</v>
      </c>
      <c r="DD25" s="140" t="s">
        <v>34</v>
      </c>
      <c r="DE25" s="140" t="s">
        <v>35</v>
      </c>
      <c r="DF25" s="140" t="s">
        <v>36</v>
      </c>
      <c r="DG25" s="140" t="s">
        <v>37</v>
      </c>
      <c r="DH25" s="141" t="s">
        <v>38</v>
      </c>
      <c r="DI25" s="138"/>
      <c r="DJ25" s="57"/>
      <c r="DK25" s="138"/>
      <c r="DL25" s="138"/>
      <c r="DM25" s="57"/>
      <c r="DN25" s="57"/>
      <c r="DO25" s="58"/>
      <c r="DP25" s="142"/>
      <c r="DQ25" s="56"/>
      <c r="DR25" s="56"/>
      <c r="DS25" s="56"/>
      <c r="DT25" s="56"/>
      <c r="DU25" s="56"/>
      <c r="DV25" s="56"/>
      <c r="DW25" s="56"/>
      <c r="DX25" s="56"/>
      <c r="DY25" s="56"/>
    </row>
    <row r="26">
      <c r="A26" s="143" t="str">
        <f>IF(M26="","",HYPERLINK(OFFSET(Biblioteca!$B$2,MATCH(M26,Biblioteca!$A$3:$A$200,0),0),M26))</f>
        <v>Agachamento</v>
      </c>
      <c r="D26" s="103" t="str">
        <f>Montagem!Q21</f>
        <v>Bi-SET</v>
      </c>
      <c r="E26" s="104">
        <f>Montagem!R21</f>
        <v>3</v>
      </c>
      <c r="F26" s="104">
        <f>Montagem!S21</f>
        <v>10</v>
      </c>
      <c r="G26" s="104" t="str">
        <f>Montagem!T21</f>
        <v/>
      </c>
      <c r="H26" s="104">
        <f>Montagem!U21</f>
        <v>1</v>
      </c>
      <c r="I26" s="132">
        <f>Montagem!V21</f>
        <v>2</v>
      </c>
      <c r="J26" s="105"/>
      <c r="K26" s="106">
        <f>Montagem!K21</f>
        <v>1</v>
      </c>
      <c r="L26" s="128">
        <f>Montagem!W21</f>
        <v>90</v>
      </c>
      <c r="M26" s="111" t="str">
        <f>Montagem!L21</f>
        <v>Agachamento</v>
      </c>
      <c r="N26" s="111" t="str">
        <f>Montagem!X21</f>
        <v/>
      </c>
      <c r="O26" s="106">
        <f>IF(N26="",L26,N26)</f>
        <v>90</v>
      </c>
      <c r="P26" s="106">
        <f>IF(L27="C",'Dados de Base'!$D$5*0.1,IF(L27="E",5,IF(J26="",O26,J26)))</f>
        <v>90</v>
      </c>
      <c r="Q26" s="108"/>
      <c r="R26" s="102" t="str">
        <f>IF(AD26="","",HYPERLINK(OFFSET(Biblioteca!$B$2,MATCH(AD26,Biblioteca!$A$3:$A$200,0),0),AD26))</f>
        <v>Stiff</v>
      </c>
      <c r="U26" s="109" t="str">
        <f>Montagem!AF21</f>
        <v>Bi-SET</v>
      </c>
      <c r="V26" s="110">
        <f>Montagem!AG21</f>
        <v>3</v>
      </c>
      <c r="W26" s="110">
        <f>Montagem!AH21</f>
        <v>10</v>
      </c>
      <c r="X26" s="110" t="str">
        <f>Montagem!AI21</f>
        <v/>
      </c>
      <c r="Y26" s="135">
        <f>Montagem!AJ21</f>
        <v>1</v>
      </c>
      <c r="Z26" s="109">
        <f>Montagem!AK21</f>
        <v>2</v>
      </c>
      <c r="AA26" s="113"/>
      <c r="AB26" s="111">
        <f>Montagem!Z21</f>
        <v>1</v>
      </c>
      <c r="AC26" s="111">
        <f>Montagem!AL21</f>
        <v>100</v>
      </c>
      <c r="AD26" s="129" t="str">
        <f>Montagem!AA21</f>
        <v>Stiff</v>
      </c>
      <c r="AE26" s="111" t="str">
        <f>Montagem!AM21</f>
        <v/>
      </c>
      <c r="AF26" s="106">
        <f>IF(AE26="",AC26,AE26)</f>
        <v>100</v>
      </c>
      <c r="AG26" s="106">
        <f>IF(AC27="C",'Dados de Base'!$D$5*0.1,IF(AC27="E",5,IF(AA26="",AF26,AA26)))</f>
        <v>100</v>
      </c>
      <c r="AH26" s="108"/>
      <c r="AI26" s="115" t="str">
        <f>IF(AU26="","",HYPERLINK(OFFSET(Biblioteca!$B$2,MATCH(AU26,Biblioteca!$A$3:$A$200,0),0),AU26))</f>
        <v>Pista</v>
      </c>
      <c r="AL26" s="109" t="str">
        <f>Montagem!AU21</f>
        <v/>
      </c>
      <c r="AM26" s="110" t="str">
        <f>Montagem!AV21</f>
        <v/>
      </c>
      <c r="AN26" s="110" t="str">
        <f>Montagem!AW21</f>
        <v/>
      </c>
      <c r="AO26" s="110" t="str">
        <f>Montagem!AX21</f>
        <v/>
      </c>
      <c r="AP26" s="135" t="str">
        <f>Montagem!AY21</f>
        <v/>
      </c>
      <c r="AQ26" s="109" t="str">
        <f>Montagem!AZ21</f>
        <v/>
      </c>
      <c r="AR26" s="114"/>
      <c r="AS26" s="111">
        <f>Montagem!AO21</f>
        <v>1</v>
      </c>
      <c r="AT26" s="111">
        <f>Montagem!BA21</f>
        <v>0</v>
      </c>
      <c r="AU26" s="111" t="str">
        <f>Montagem!AP21</f>
        <v>Pista</v>
      </c>
      <c r="AV26" s="111" t="str">
        <f>Montagem!BB21</f>
        <v/>
      </c>
      <c r="AW26" s="106">
        <f>IF(AV26="",AT26,AV26)</f>
        <v>0</v>
      </c>
      <c r="AX26" s="106">
        <f>IF(AT27="C",'Dados de Base'!$D$5*0.1,IF(AT27="E",5,IF(AR26="",AW26,AR26)))</f>
        <v>0</v>
      </c>
      <c r="AY26" s="108"/>
      <c r="AZ26" s="102" t="str">
        <f>IF(BL26="","",HYPERLINK(OFFSET(Biblioteca!$B$2,MATCH(BL26,Biblioteca!$A$3:$A$200,0),0),BL26))</f>
        <v>Corda</v>
      </c>
      <c r="BC26" s="109" t="str">
        <f>Montagem!BJ21</f>
        <v/>
      </c>
      <c r="BD26" s="110" t="str">
        <f>Montagem!BK21</f>
        <v/>
      </c>
      <c r="BE26" s="110" t="str">
        <f>Montagem!BL21</f>
        <v/>
      </c>
      <c r="BF26" s="110">
        <f>Montagem!BM21</f>
        <v>60</v>
      </c>
      <c r="BG26" s="110" t="str">
        <f>Montagem!BN21</f>
        <v/>
      </c>
      <c r="BH26" s="110" t="str">
        <f>Montagem!BO21</f>
        <v/>
      </c>
      <c r="BI26" s="113"/>
      <c r="BJ26" s="111">
        <f>Montagem!BD21</f>
        <v>1</v>
      </c>
      <c r="BK26" s="111">
        <f>Montagem!BP21</f>
        <v>0</v>
      </c>
      <c r="BL26" s="111" t="str">
        <f>Montagem!BE21</f>
        <v>Corda</v>
      </c>
      <c r="BM26" s="111" t="str">
        <f>Montagem!BQ21</f>
        <v/>
      </c>
      <c r="BN26" s="106">
        <f>IF(BM26="",BK26,BM26)</f>
        <v>0</v>
      </c>
      <c r="BO26" s="106">
        <f>IF(BK27="C",'Dados de Base'!$D$5*0.1,IF(BK27="E",5,IF(BI26="",BN26,BI26)))</f>
        <v>0</v>
      </c>
      <c r="BP26" s="108"/>
      <c r="BQ26" s="102" t="str">
        <f>IF(CC26="","",HYPERLINK(OFFSET(Biblioteca!$B$2,MATCH(CC26,Biblioteca!$A$3:$A$200,0),0),CC26))</f>
        <v>Agachamento Búlgaro</v>
      </c>
      <c r="BT26" s="109" t="str">
        <f>Montagem!BY21</f>
        <v>Bi-SET</v>
      </c>
      <c r="BU26" s="110">
        <f>Montagem!BZ21</f>
        <v>3</v>
      </c>
      <c r="BV26" s="110">
        <f>Montagem!CA21</f>
        <v>10</v>
      </c>
      <c r="BW26" s="110" t="str">
        <f>Montagem!CB21</f>
        <v/>
      </c>
      <c r="BX26" s="135">
        <f>Montagem!CC21</f>
        <v>1</v>
      </c>
      <c r="BY26" s="109">
        <f>Montagem!CD21</f>
        <v>2</v>
      </c>
      <c r="BZ26" s="113"/>
      <c r="CA26" s="111">
        <f>Montagem!BS21</f>
        <v>1</v>
      </c>
      <c r="CB26" s="111">
        <f>Montagem!CE21</f>
        <v>38</v>
      </c>
      <c r="CC26" s="111" t="str">
        <f>Montagem!BT21</f>
        <v>Agachamento Búlgaro</v>
      </c>
      <c r="CD26" s="111" t="str">
        <f>Montagem!CF21</f>
        <v/>
      </c>
      <c r="CE26" s="106">
        <f>IF(CD26="",CB26,CD26)</f>
        <v>38</v>
      </c>
      <c r="CF26" s="106">
        <f>IF(CB27="C",'Dados de Base'!$D$5*0.1,IF(CB27="E",5,IF(BZ26="",CE26,BZ26)))</f>
        <v>38</v>
      </c>
      <c r="CG26" s="108"/>
      <c r="CH26" s="115" t="str">
        <f>IF(CT26="","",HYPERLINK(OFFSET(Biblioteca!$B$2,MATCH(CT26,Biblioteca!$A$3:$A$200,0),0),CT26))</f>
        <v>Pista</v>
      </c>
      <c r="CK26" s="109" t="str">
        <f>Montagem!CN21</f>
        <v/>
      </c>
      <c r="CL26" s="110" t="str">
        <f>Montagem!CO21</f>
        <v/>
      </c>
      <c r="CM26" s="110" t="str">
        <f>Montagem!CP21</f>
        <v/>
      </c>
      <c r="CN26" s="110" t="str">
        <f>Montagem!CQ21</f>
        <v/>
      </c>
      <c r="CO26" s="135" t="str">
        <f>Montagem!CR21</f>
        <v/>
      </c>
      <c r="CP26" s="109" t="str">
        <f>Montagem!CS21</f>
        <v/>
      </c>
      <c r="CQ26" s="114"/>
      <c r="CR26" s="111">
        <f>Montagem!CH21</f>
        <v>1</v>
      </c>
      <c r="CS26" s="111">
        <f>Montagem!CT21</f>
        <v>0</v>
      </c>
      <c r="CT26" s="111" t="str">
        <f>Montagem!CI21</f>
        <v>Pista</v>
      </c>
      <c r="CU26" s="111" t="str">
        <f>Montagem!CU21</f>
        <v/>
      </c>
      <c r="CV26" s="106">
        <f>IF(CU26="",CS26,CU26)</f>
        <v>0</v>
      </c>
      <c r="CW26" s="106">
        <f>IF(CS27="C",'Dados de Base'!$D$5*0.1,IF(CS27="E",5,IF(CQ26="",CV26,CQ26)))</f>
        <v>0</v>
      </c>
      <c r="CX26" s="108"/>
      <c r="CY26" s="115" t="str">
        <f>IF(DK26="","",HYPERLINK(OFFSET(Biblioteca!$B$2,MATCH(DK26,Biblioteca!$A$3:$A$200,0),0),DK26))</f>
        <v/>
      </c>
      <c r="DB26" s="130" t="str">
        <f>Montagem!DC21</f>
        <v/>
      </c>
      <c r="DC26" s="131" t="str">
        <f>Montagem!DD21</f>
        <v/>
      </c>
      <c r="DD26" s="131" t="str">
        <f>Montagem!DE21</f>
        <v/>
      </c>
      <c r="DE26" s="131" t="str">
        <f>Montagem!DF21</f>
        <v/>
      </c>
      <c r="DF26" s="136" t="str">
        <f>Montagem!DG21</f>
        <v/>
      </c>
      <c r="DG26" s="130" t="str">
        <f>Montagem!DH21</f>
        <v/>
      </c>
      <c r="DH26" s="113"/>
      <c r="DI26" s="111">
        <f>Montagem!CW21</f>
        <v>1</v>
      </c>
      <c r="DJ26" s="111" t="str">
        <f>Montagem!DI21</f>
        <v/>
      </c>
      <c r="DK26" s="111" t="str">
        <f>Montagem!CX21</f>
        <v/>
      </c>
      <c r="DL26" s="111" t="str">
        <f>Montagem!DJ21</f>
        <v/>
      </c>
      <c r="DM26" s="106" t="str">
        <f>IF(DL26="",DJ26,DL26)</f>
        <v/>
      </c>
      <c r="DN26" s="106" t="str">
        <f>IF(DJ27="C",'Dados de Base'!$D$5*0.1,IF(DJ27="E",5,IF(DH26="",DM26,DH26)))</f>
        <v/>
      </c>
      <c r="DO26" s="108"/>
      <c r="DP26" s="106"/>
      <c r="DQ26" s="106"/>
      <c r="DR26" s="106"/>
      <c r="DS26" s="106"/>
      <c r="DT26" s="106"/>
      <c r="DU26" s="106"/>
      <c r="DV26" s="106"/>
      <c r="DW26" s="106"/>
      <c r="DX26" s="106"/>
      <c r="DY26" s="106"/>
    </row>
    <row r="27">
      <c r="A27" s="117" t="str">
        <f>IF(A26="","",IFS(L27="A",Montagem!$C$30,N27="T","Realizar a maior quantidade de repetições por "&amp;F26&amp;" segundos | ",N27="I",IF(M27="U","Manter a posição por "&amp;F26&amp;" segundos de um lado e trocar para o outro na sequência | ","Manter a posição por "&amp;F26&amp;" segundos | "),M27="A","Realizar alternadamente "&amp;F26&amp;" repetições cada lado | ",M27="U","Realizar "&amp;F26&amp;" repetições de um lado e trocar para o outro na sequência | ",L27="P",OFFSET(Biblioteca!$H$2,MATCH(M26,Biblioteca!$A$3:$A$200,0),0),TRUE,"")&amp;IF(N27="R","Ajuste a carga para que tenha "&amp;$K$2&amp;" repetições de reserva",""))</f>
        <v>Ajuste a carga para que tenha 0 a 2 repetições de reserva</v>
      </c>
      <c r="E27" s="118" t="str">
        <f>IF(A26="","",IFS(L27="H","Carga Sugerida: "&amp;ROUNDUP(O26/2,0)&amp;" kg de cada lado (Total: "&amp;ROUNDUP(O26/2,0)*2&amp;" kg)",L27="C","Este exercício usa o Peso Corporal como carga",L27="E","Este exercício usa a resistência da banda elástica como carga",L27="O","Carga Sugerida: "&amp;INT(O26)&amp;" kg",TRUE,""))</f>
        <v>Carga Sugerida: 90 kg</v>
      </c>
      <c r="J27" s="66"/>
      <c r="K27" s="126">
        <f>K26</f>
        <v>1</v>
      </c>
      <c r="L27" s="120" t="str">
        <f>LEFT(O27)</f>
        <v>O</v>
      </c>
      <c r="M27" s="121" t="str">
        <f>MID(O27,2,1)</f>
        <v>O</v>
      </c>
      <c r="N27" s="122" t="str">
        <f>RIGHT(O27)</f>
        <v>R</v>
      </c>
      <c r="O27" s="123" t="str">
        <f>IF(M26="","",OFFSET(Biblioteca!$I$2,MATCH(M26,Biblioteca!$A$3:$A$200,0),0))</f>
        <v>OOR</v>
      </c>
      <c r="P27" s="124"/>
      <c r="Q27" s="125"/>
      <c r="R27" s="117" t="str">
        <f>IF(R26="","",IFS(AC27="A",Montagem!$D$30,AE27="T","Realizar a maior quantidade de repetições por "&amp;W26&amp;" segundos | ",AE27="I",IF(AD27="U","Manter a posição por "&amp;W26&amp;" segundos de um lado e trocar para o outro na sequência | ","Manter a posição por "&amp;W26&amp;" segundos | "),AD27="A","Realizar alternadamente "&amp;W26&amp;" repetições cada lado | ",AD27="U","Realizar "&amp;W26&amp;" repetições de um lado e trocar para o outro na sequência | ",AC27="P",OFFSET(Biblioteca!$H$2,MATCH(AD26,Biblioteca!$A$3:$A$200,0),0),TRUE,"")&amp;IF(AE27="R","Ajuste a carga para que tenha "&amp;$K$2&amp;" repetições de reserva",""))</f>
        <v>Ajuste a carga para que tenha 0 a 2 repetições de reserva</v>
      </c>
      <c r="V27" s="118" t="str">
        <f>IF(R26="","",IFS(AC27="H","Carga Sugerida: "&amp;ROUNDUP(AF26/2,0)&amp;" kg de cada lado (Total: "&amp;ROUNDUP(AF26/2,0)*2&amp;" kg)",AC27="C","Este exercício usa o Peso Corporal como carga",AC27="E","Este exercício usa a resistência da banda elástica como carga",AC27="O","Carga Sugerida: "&amp;INT(AF26)&amp;" kg",TRUE,""))</f>
        <v>Carga Sugerida: 100 kg</v>
      </c>
      <c r="AA27" s="66"/>
      <c r="AB27" s="126">
        <f>AB26</f>
        <v>1</v>
      </c>
      <c r="AC27" s="120" t="str">
        <f>LEFT(AF27)</f>
        <v>O</v>
      </c>
      <c r="AD27" s="121" t="str">
        <f>MID(AF27,2,1)</f>
        <v>O</v>
      </c>
      <c r="AE27" s="122" t="str">
        <f>RIGHT(AF27)</f>
        <v>R</v>
      </c>
      <c r="AF27" s="123" t="str">
        <f>IF(AD26="","",OFFSET(Biblioteca!$I$2,MATCH(AD26,Biblioteca!$A$3:$A$200,0),0))</f>
        <v>OOR</v>
      </c>
      <c r="AG27" s="124"/>
      <c r="AH27" s="125"/>
      <c r="AI27" s="117" t="str">
        <f>IF(AI26="","",IFS(AT27="A",Montagem!$E$30,AV27="T","Realizar a maior quantidade de repetições por "&amp;AN26&amp;" segundos | ",AV27="I",IF(AU27="U","Manter a posição por "&amp;AN26&amp;" segundos de um lado e trocar para o outro na sequência | ","Manter a posição por "&amp;AN26&amp;" segundos | "),AU27="A","Realizar alternadamente "&amp;AN26&amp;" repetições cada lado | ",AU27="U","Realizar "&amp;AN26&amp;" repetições de um lado e trocar para o outro na sequência | ",AT27="P",OFFSET(Biblioteca!$H$2,MATCH(AU26,Biblioteca!$A$3:$A$200,0),0),TRUE,"")&amp;IF(AV27="R","Ajuste a carga para que tenha "&amp;$K$2&amp;" repetições de reserva",""))</f>
        <v>- Correr 15 km no menor tempo possível.
</v>
      </c>
      <c r="AM27" s="118" t="str">
        <f>IF(AI26="","",IFS(AT27="H","Carga Sugerida: "&amp;ROUNDUP(AW26/2,0)&amp;" kg de cada lado (Total: "&amp;ROUNDUP(AW26/2,0)*2&amp;" kg)",AT27="C","Este exercício usa o Peso Corporal como carga",AT27="E","Este exercício usa a resistência da banda elástica como carga",AT27="O","Carga Sugerida: "&amp;INT(AW26)&amp;" kg",TRUE,""))</f>
        <v/>
      </c>
      <c r="AR27" s="66"/>
      <c r="AS27" s="126">
        <f>AS26</f>
        <v>1</v>
      </c>
      <c r="AT27" s="120" t="str">
        <f>LEFT(AW27)</f>
        <v>A</v>
      </c>
      <c r="AU27" s="121" t="str">
        <f>MID(AW27,2,1)</f>
        <v>-</v>
      </c>
      <c r="AV27" s="122" t="str">
        <f>RIGHT(AW27)</f>
        <v>-</v>
      </c>
      <c r="AW27" s="123" t="str">
        <f>IF(AU26="","",OFFSET(Biblioteca!$I$2,MATCH(AU26,Biblioteca!$A$3:$A$200,0),0))</f>
        <v>A--</v>
      </c>
      <c r="AX27" s="124"/>
      <c r="AY27" s="125"/>
      <c r="AZ27" s="117" t="str">
        <f>IF(AZ26="","",IFS(BK27="A",Montagem!$F$30,BM27="T","Realizar a maior quantidade de repetições por "&amp;BE26&amp;" segundos | ",BM27="I",IF(BL27="U","Manter a posição por "&amp;BE26&amp;" segundos de um lado e trocar para o outro na sequência | ","Manter a posição por "&amp;BE26&amp;" segundos | "),BL27="A","Realizar alternadamente "&amp;BE26&amp;" repetições cada lado | ",BL27="U","Realizar "&amp;BE26&amp;" repetições de um lado e trocar para o outro na sequência | ",BK27="P",OFFSET(Biblioteca!$H$2,MATCH(BL26,Biblioteca!$A$3:$A$200,0),0),TRUE,"")&amp;IF(BM27="R","Ajuste a carga para que tenha "&amp;$K$2&amp;" repetições de reserva",""))</f>
        <v>1x (3m all out)</v>
      </c>
      <c r="BD27" s="118" t="str">
        <f>IF(AZ26="","",IFS(BK27="H","Carga Sugerida: "&amp;ROUNDUP(BN26/2,0)&amp;" kg de cada lado (Total: "&amp;ROUNDUP(BN26/2,0)*2&amp;" kg)",BK27="C","Este exercício usa o Peso Corporal como carga",BK27="E","Este exercício usa a resistência da banda elástica como carga",BK27="O","Carga Sugerida: "&amp;INT(BN26)&amp;" kg",TRUE,""))</f>
        <v/>
      </c>
      <c r="BI27" s="66"/>
      <c r="BJ27" s="126">
        <f>BJ26</f>
        <v>1</v>
      </c>
      <c r="BK27" s="120" t="str">
        <f>LEFT(BN27)</f>
        <v>A</v>
      </c>
      <c r="BL27" s="121" t="str">
        <f>MID(BN27,2,1)</f>
        <v>T</v>
      </c>
      <c r="BM27" s="122" t="str">
        <f>RIGHT(BN27)</f>
        <v>T</v>
      </c>
      <c r="BN27" s="123" t="str">
        <f>IF(BL26="","",OFFSET(Biblioteca!$I$2,MATCH(BL26,Biblioteca!$A$3:$A$200,0),0))</f>
        <v>AT</v>
      </c>
      <c r="BO27" s="124"/>
      <c r="BP27" s="125"/>
      <c r="BQ27" s="117" t="str">
        <f>IF(BQ26="","",IFS(CB27="A",Montagem!$G$30,CD27="T","Realizar a maior quantidade de repetições por "&amp;BV26&amp;" segundos | ",CD27="I",IF(CC27="U","Manter a posição por "&amp;BV26&amp;" segundos de um lado e trocar para o outro na sequência | ","Manter a posição por "&amp;BV26&amp;" segundos | "),CC27="A","Realizar alternadamente "&amp;BV26&amp;" repetições cada lado | ",CC27="U","Realizar "&amp;BV26&amp;" repetições de um lado e trocar para o outro na sequência | ",CB27="P",OFFSET(Biblioteca!$H$2,MATCH(CC26,Biblioteca!$A$3:$A$200,0),0),TRUE,"")&amp;IF(CD27="R","Ajuste a carga para que tenha "&amp;$K$2&amp;" repetições de reserva",""))</f>
        <v>Realizar 10 repetições de um lado e trocar para o outro na sequência | Ajuste a carga para que tenha 0 a 2 repetições de reserva</v>
      </c>
      <c r="BU27" s="118" t="str">
        <f>IF(BQ26="","",IFS(CB27="H","Carga Sugerida: "&amp;ROUNDUP(CE26/2,0)&amp;" kg de cada lado (Total: "&amp;ROUNDUP(CE26/2,0)*2&amp;" kg)",CB27="C","Este exercício usa o Peso Corporal como carga",CB27="E","Este exercício usa a resistência da banda elástica como carga",CB27="O","Carga Sugerida: "&amp;INT(CE26)&amp;" kg",TRUE,""))</f>
        <v>Carga Sugerida: 19 kg de cada lado (Total: 38 kg)</v>
      </c>
      <c r="BZ27" s="66"/>
      <c r="CA27" s="126">
        <f>CA26</f>
        <v>1</v>
      </c>
      <c r="CB27" s="120" t="str">
        <f>LEFT(CE27)</f>
        <v>H</v>
      </c>
      <c r="CC27" s="121" t="str">
        <f>MID(CE27,2,1)</f>
        <v>U</v>
      </c>
      <c r="CD27" s="122" t="str">
        <f>RIGHT(CE27)</f>
        <v>R</v>
      </c>
      <c r="CE27" s="123" t="str">
        <f>IF(CC26="","",OFFSET(Biblioteca!$I$2,MATCH(CC26,Biblioteca!$A$3:$A$200,0),0))</f>
        <v>HUR</v>
      </c>
      <c r="CF27" s="124"/>
      <c r="CG27" s="125"/>
      <c r="CH27" s="117" t="str">
        <f>IF(CH26="","",IFS(CS27="A",Montagem!$H$30,CU27="T","Realizar a maior quantidade de repetições por "&amp;CM26&amp;" segundos | ",CU27="I",IF(CT27="U","Manter a posição por "&amp;CM26&amp;" segundos de um lado e trocar para o outro na sequência | ","Manter a posição por "&amp;CM26&amp;" segundos | "),CT27="A","Realizar alternadamente "&amp;CM26&amp;" repetições cada lado | ",CT27="U","Realizar "&amp;CM26&amp;" repetições de um lado e trocar para o outro na sequência | ",CS27="P",OFFSET(Biblioteca!$H$2,MATCH(CT26,Biblioteca!$A$3:$A$200,0),0),TRUE,"")&amp;IF(CU27="R","Ajuste a carga para que tenha "&amp;$K$2&amp;" repetições de reserva",""))</f>
        <v>***TRAJETO***
- 2 km à 11,0km/h;
- 25km à 12,5 km/h;
- 2 km All out </v>
      </c>
      <c r="CL27" s="118" t="str">
        <f>IF(CH26="","",IFS(CS27="H","Carga Sugerida: "&amp;ROUNDUP(CV26/2,0)&amp;" kg de cada lado (Total: "&amp;ROUNDUP(CV26/2,0)*2&amp;" kg)",CS27="C","Este exercício usa o Peso Corporal como carga",CS27="E","Este exercício usa a resistência da banda elástica como carga",CS27="O","Carga Sugerida: "&amp;INT(CV26)&amp;" kg",TRUE,""))</f>
        <v/>
      </c>
      <c r="CQ27" s="66"/>
      <c r="CR27" s="126">
        <f>CR26</f>
        <v>1</v>
      </c>
      <c r="CS27" s="120" t="str">
        <f>LEFT(CV27)</f>
        <v>A</v>
      </c>
      <c r="CT27" s="121" t="str">
        <f>MID(CV27,2,1)</f>
        <v>-</v>
      </c>
      <c r="CU27" s="122" t="str">
        <f>RIGHT(CV27)</f>
        <v>-</v>
      </c>
      <c r="CV27" s="123" t="str">
        <f>IF(CT26="","",OFFSET(Biblioteca!$I$2,MATCH(CT26,Biblioteca!$A$3:$A$200,0),0))</f>
        <v>A--</v>
      </c>
      <c r="CW27" s="124"/>
      <c r="CX27" s="125"/>
      <c r="CY27" s="117" t="str">
        <f>IF(CY26="","",IFS(DJ27="A",Montagem!$I$30,DL27="T","Realizar a maior quantidade de repetições por "&amp;DD26&amp;" segundos | ",DL27="I",IF(DK27="U","Manter a posição por "&amp;DD26&amp;" segundos de um lado e trocar para o outro na sequência | ","Manter a posição por "&amp;DD26&amp;" segundos | "),DK27="A","Realizar alternadamente "&amp;DD26&amp;" repetições cada lado | ",DK27="U","Realizar "&amp;DD26&amp;" repetições de um lado e trocar para o outro na sequência | ",DJ27="P",OFFSET(Biblioteca!$H$2,MATCH(DK26,Biblioteca!$A$3:$A$200,0),0),TRUE,"")&amp;IF(DL27="R","Ajuste a carga para que tenha "&amp;$K$2&amp;" repetições de reserva",""))</f>
        <v/>
      </c>
      <c r="DC27" s="118" t="str">
        <f>IF(CY26="","",IFS(DJ27="H","Carga Sugerida: "&amp;ROUNDUP(DM26/2,0)&amp;" kg de cada lado (Total: "&amp;ROUNDUP(DM26/2,0)*2&amp;" kg)",DJ27="C","Este exercício usa o Peso Corporal como carga",DJ27="E","Este exercício usa a resistência da banda elástica como carga",DJ27="O","Carga Sugerida: "&amp;INT(DM26)&amp;" kg",TRUE,""))</f>
        <v/>
      </c>
      <c r="DH27" s="66"/>
      <c r="DI27" s="126">
        <f>DI26</f>
        <v>1</v>
      </c>
      <c r="DJ27" s="120" t="str">
        <f>LEFT(DM27)</f>
        <v/>
      </c>
      <c r="DK27" s="121" t="str">
        <f>MID(DM27,2,1)</f>
        <v/>
      </c>
      <c r="DL27" s="122" t="str">
        <f>RIGHT(DM27)</f>
        <v/>
      </c>
      <c r="DM27" s="123" t="str">
        <f>IF(DK26="","",OFFSET(Biblioteca!$I$2,MATCH(DK26,Biblioteca!$A$3:$A$200,0),0))</f>
        <v/>
      </c>
      <c r="DN27" s="124"/>
      <c r="DO27" s="125"/>
      <c r="DP27" s="57"/>
      <c r="DQ27" s="56"/>
      <c r="DR27" s="56"/>
      <c r="DS27" s="56"/>
      <c r="DT27" s="56"/>
      <c r="DU27" s="56"/>
      <c r="DV27" s="56"/>
      <c r="DW27" s="56"/>
      <c r="DX27" s="56"/>
      <c r="DY27" s="56"/>
    </row>
    <row r="28">
      <c r="A28" s="115" t="str">
        <f>IF(M28="","",HYPERLINK(OFFSET(Biblioteca!$B$2,MATCH(M28,Biblioteca!$A$3:$A$200,0),0),M28))</f>
        <v>cão caçador com a bola</v>
      </c>
      <c r="D28" s="103" t="str">
        <f>Montagem!Q22</f>
        <v>Bi-SET</v>
      </c>
      <c r="E28" s="104">
        <f>Montagem!R22</f>
        <v>3</v>
      </c>
      <c r="F28" s="104">
        <f>Montagem!S22</f>
        <v>10</v>
      </c>
      <c r="G28" s="104">
        <f>Montagem!T22</f>
        <v>45</v>
      </c>
      <c r="H28" s="104">
        <f>Montagem!U22</f>
        <v>1</v>
      </c>
      <c r="I28" s="127">
        <f>Montagem!V22</f>
        <v>2</v>
      </c>
      <c r="J28" s="105"/>
      <c r="K28" s="106">
        <f>Montagem!K22</f>
        <v>1</v>
      </c>
      <c r="L28" s="128">
        <f>Montagem!W22</f>
        <v>0</v>
      </c>
      <c r="M28" s="111" t="str">
        <f>Montagem!L22</f>
        <v>cão caçador com a bola</v>
      </c>
      <c r="N28" s="111" t="str">
        <f>Montagem!X22</f>
        <v/>
      </c>
      <c r="O28" s="106">
        <f>IF(N28="",L28,N28)</f>
        <v>0</v>
      </c>
      <c r="P28" s="106">
        <f>IF(L29="C",'Dados de Base'!$D$5*0.1,IF(L29="E",5,IF(J28="",O28,J28)))</f>
        <v>6.3</v>
      </c>
      <c r="Q28" s="108"/>
      <c r="R28" s="102" t="str">
        <f>IF(AD28="","",HYPERLINK(OFFSET(Biblioteca!$B$2,MATCH(AD28,Biblioteca!$A$3:$A$200,0),0),AD28))</f>
        <v>Prancha</v>
      </c>
      <c r="U28" s="109" t="str">
        <f>Montagem!AF22</f>
        <v>Bi-SET</v>
      </c>
      <c r="V28" s="110">
        <f>Montagem!AG22</f>
        <v>3</v>
      </c>
      <c r="W28" s="110">
        <f>Montagem!AH22</f>
        <v>45</v>
      </c>
      <c r="X28" s="110">
        <f>Montagem!AI22</f>
        <v>45</v>
      </c>
      <c r="Y28" s="110">
        <f>Montagem!AJ22</f>
        <v>0</v>
      </c>
      <c r="Z28" s="110">
        <f>Montagem!AK22</f>
        <v>1</v>
      </c>
      <c r="AA28" s="113"/>
      <c r="AB28" s="111">
        <f>Montagem!Z22</f>
        <v>1</v>
      </c>
      <c r="AC28" s="111">
        <f>Montagem!AL22</f>
        <v>0</v>
      </c>
      <c r="AD28" s="129" t="str">
        <f>Montagem!AA22</f>
        <v>Prancha</v>
      </c>
      <c r="AE28" s="111" t="str">
        <f>Montagem!AM22</f>
        <v/>
      </c>
      <c r="AF28" s="106">
        <f>IF(AE28="",AC28,AE28)</f>
        <v>0</v>
      </c>
      <c r="AG28" s="106">
        <f>IF(AC29="C",'Dados de Base'!$D$5*0.1,IF(AC29="E",5,IF(AA28="",AF28,AA28)))</f>
        <v>6.3</v>
      </c>
      <c r="AH28" s="108"/>
      <c r="AI28" s="115" t="str">
        <f>IF(AU28="","",HYPERLINK(OFFSET(Biblioteca!$B$2,MATCH(AU28,Biblioteca!$A$3:$A$200,0),0),AU28))</f>
        <v/>
      </c>
      <c r="AL28" s="109" t="str">
        <f>Montagem!AU22</f>
        <v/>
      </c>
      <c r="AM28" s="110" t="str">
        <f>Montagem!AV22</f>
        <v/>
      </c>
      <c r="AN28" s="110" t="str">
        <f>Montagem!AW22</f>
        <v/>
      </c>
      <c r="AO28" s="110" t="str">
        <f>Montagem!AX22</f>
        <v/>
      </c>
      <c r="AP28" s="110" t="str">
        <f>Montagem!AY22</f>
        <v/>
      </c>
      <c r="AQ28" s="110" t="str">
        <f>Montagem!AZ22</f>
        <v/>
      </c>
      <c r="AR28" s="114"/>
      <c r="AS28" s="111">
        <f>Montagem!AO22</f>
        <v>1</v>
      </c>
      <c r="AT28" s="111" t="str">
        <f>Montagem!BA22</f>
        <v/>
      </c>
      <c r="AU28" s="111" t="str">
        <f>Montagem!AP22</f>
        <v/>
      </c>
      <c r="AV28" s="111" t="str">
        <f>Montagem!BB22</f>
        <v/>
      </c>
      <c r="AW28" s="106" t="str">
        <f>IF(AV28="",AT28,AV28)</f>
        <v/>
      </c>
      <c r="AX28" s="106" t="str">
        <f>IF(AT29="C",'Dados de Base'!$D$5*0.1,IF(AT29="E",5,IF(AR28="",AW28,AR28)))</f>
        <v/>
      </c>
      <c r="AY28" s="108"/>
      <c r="AZ28" s="102" t="str">
        <f>IF(BL28="","",HYPERLINK(OFFSET(Biblioteca!$B$2,MATCH(BL28,Biblioteca!$A$3:$A$200,0),0),BL28))</f>
        <v>Levantamento Terra</v>
      </c>
      <c r="BC28" s="109" t="str">
        <f>Montagem!BJ22</f>
        <v>Bi-SET</v>
      </c>
      <c r="BD28" s="110">
        <f>Montagem!BK22</f>
        <v>3</v>
      </c>
      <c r="BE28" s="110">
        <f>Montagem!BL22</f>
        <v>10</v>
      </c>
      <c r="BF28" s="110" t="str">
        <f>Montagem!BM22</f>
        <v/>
      </c>
      <c r="BG28" s="110">
        <f>Montagem!BN22</f>
        <v>1</v>
      </c>
      <c r="BH28" s="110">
        <f>Montagem!BO22</f>
        <v>2</v>
      </c>
      <c r="BI28" s="113"/>
      <c r="BJ28" s="111">
        <f>Montagem!BD22</f>
        <v>2</v>
      </c>
      <c r="BK28" s="111">
        <f>Montagem!BP22</f>
        <v>78</v>
      </c>
      <c r="BL28" s="111" t="str">
        <f>Montagem!BE22</f>
        <v>Levantamento Terra</v>
      </c>
      <c r="BM28" s="111" t="str">
        <f>Montagem!BQ22</f>
        <v/>
      </c>
      <c r="BN28" s="106">
        <f>IF(BM28="",BK28,BM28)</f>
        <v>78</v>
      </c>
      <c r="BO28" s="106">
        <f>IF(BK29="C",'Dados de Base'!$D$5*0.1,IF(BK29="E",5,IF(BI28="",BN28,BI28)))</f>
        <v>78</v>
      </c>
      <c r="BP28" s="108"/>
      <c r="BQ28" s="102" t="str">
        <f>IF(CC28="","",HYPERLINK(OFFSET(Biblioteca!$B$2,MATCH(CC28,Biblioteca!$A$3:$A$200,0),0),CC28))</f>
        <v>Elevação Pélvica</v>
      </c>
      <c r="BT28" s="109" t="str">
        <f>Montagem!BY22</f>
        <v>Bi-SET</v>
      </c>
      <c r="BU28" s="110">
        <f>Montagem!BZ22</f>
        <v>3</v>
      </c>
      <c r="BV28" s="110">
        <f>Montagem!CA22</f>
        <v>10</v>
      </c>
      <c r="BW28" s="110">
        <f>Montagem!CB22</f>
        <v>45</v>
      </c>
      <c r="BX28" s="110">
        <f>Montagem!CC22</f>
        <v>1</v>
      </c>
      <c r="BY28" s="110">
        <f>Montagem!CD22</f>
        <v>2</v>
      </c>
      <c r="BZ28" s="113"/>
      <c r="CA28" s="111">
        <f>Montagem!BS22</f>
        <v>1</v>
      </c>
      <c r="CB28" s="111">
        <f>Montagem!CE22</f>
        <v>110.25</v>
      </c>
      <c r="CC28" s="111" t="str">
        <f>Montagem!BT22</f>
        <v>Elevação Pélvica</v>
      </c>
      <c r="CD28" s="111" t="str">
        <f>Montagem!CF22</f>
        <v/>
      </c>
      <c r="CE28" s="106">
        <f>IF(CD28="",CB28,CD28)</f>
        <v>110.25</v>
      </c>
      <c r="CF28" s="106">
        <f>IF(CB29="C",'Dados de Base'!$D$5*0.1,IF(CB29="E",5,IF(BZ28="",CE28,BZ28)))</f>
        <v>110.25</v>
      </c>
      <c r="CG28" s="108"/>
      <c r="CH28" s="115" t="str">
        <f>IF(CT28="","",HYPERLINK(OFFSET(Biblioteca!$B$2,MATCH(CT28,Biblioteca!$A$3:$A$200,0),0),CT28))</f>
        <v/>
      </c>
      <c r="CK28" s="109" t="str">
        <f>Montagem!CN22</f>
        <v/>
      </c>
      <c r="CL28" s="110" t="str">
        <f>Montagem!CO22</f>
        <v/>
      </c>
      <c r="CM28" s="110" t="str">
        <f>Montagem!CP22</f>
        <v/>
      </c>
      <c r="CN28" s="110" t="str">
        <f>Montagem!CQ22</f>
        <v/>
      </c>
      <c r="CO28" s="110" t="str">
        <f>Montagem!CR22</f>
        <v/>
      </c>
      <c r="CP28" s="110" t="str">
        <f>Montagem!CS22</f>
        <v/>
      </c>
      <c r="CQ28" s="114"/>
      <c r="CR28" s="111">
        <f>Montagem!CH22</f>
        <v>1</v>
      </c>
      <c r="CS28" s="111" t="str">
        <f>Montagem!CT22</f>
        <v/>
      </c>
      <c r="CT28" s="111" t="str">
        <f>Montagem!CI22</f>
        <v/>
      </c>
      <c r="CU28" s="111" t="str">
        <f>Montagem!CU22</f>
        <v/>
      </c>
      <c r="CV28" s="106" t="str">
        <f>IF(CU28="",CS28,CU28)</f>
        <v/>
      </c>
      <c r="CW28" s="106" t="str">
        <f>IF(CS29="C",'Dados de Base'!$D$5*0.1,IF(CS29="E",5,IF(CQ28="",CV28,CQ28)))</f>
        <v/>
      </c>
      <c r="CX28" s="108"/>
      <c r="CY28" s="115" t="str">
        <f>IF(DK28="","",HYPERLINK(OFFSET(Biblioteca!$B$2,MATCH(DK28,Biblioteca!$A$3:$A$200,0),0),DK28))</f>
        <v/>
      </c>
      <c r="DB28" s="130" t="str">
        <f>Montagem!DC22</f>
        <v/>
      </c>
      <c r="DC28" s="131" t="str">
        <f>Montagem!DD22</f>
        <v/>
      </c>
      <c r="DD28" s="131" t="str">
        <f>Montagem!DE22</f>
        <v/>
      </c>
      <c r="DE28" s="131" t="str">
        <f>Montagem!DF22</f>
        <v/>
      </c>
      <c r="DF28" s="131" t="str">
        <f>Montagem!DG22</f>
        <v/>
      </c>
      <c r="DG28" s="131" t="str">
        <f>Montagem!DH22</f>
        <v/>
      </c>
      <c r="DH28" s="114"/>
      <c r="DI28" s="111">
        <f>Montagem!CW22</f>
        <v>1</v>
      </c>
      <c r="DJ28" s="111" t="str">
        <f>Montagem!DI22</f>
        <v/>
      </c>
      <c r="DK28" s="111" t="str">
        <f>Montagem!CX22</f>
        <v/>
      </c>
      <c r="DL28" s="111" t="str">
        <f>Montagem!DJ22</f>
        <v/>
      </c>
      <c r="DM28" s="106" t="str">
        <f>IF(DL28="",DJ28,DL28)</f>
        <v/>
      </c>
      <c r="DN28" s="106" t="str">
        <f>IF(DJ29="C",'Dados de Base'!$D$5*0.1,IF(DJ29="E",5,IF(DH28="",DM28,DH28)))</f>
        <v/>
      </c>
      <c r="DO28" s="108"/>
      <c r="DP28" s="106"/>
      <c r="DQ28" s="106"/>
      <c r="DR28" s="106"/>
      <c r="DS28" s="106"/>
      <c r="DT28" s="106"/>
      <c r="DU28" s="106"/>
      <c r="DV28" s="106"/>
      <c r="DW28" s="106"/>
      <c r="DX28" s="106"/>
      <c r="DY28" s="106"/>
    </row>
    <row r="29">
      <c r="A29" s="117" t="str">
        <f>IF(A28="","",IFS(L29="A",Montagem!$C$30,N29="T","Realizar a maior quantidade de repetições por "&amp;F28&amp;" segundos | ",N29="I",IF(M29="U","Manter a posição por "&amp;F28&amp;" segundos de um lado e trocar para o outro na sequência | ","Manter a posição por "&amp;F28&amp;" segundos | "),M29="A","Realizar alternadamente "&amp;F28&amp;" repetições cada lado | ",M29="U","Realizar "&amp;F28&amp;" repetições de um lado e trocar para o outro na sequência | ",L29="P",OFFSET(Biblioteca!$H$2,MATCH(M28,Biblioteca!$A$3:$A$200,0),0),TRUE,"")&amp;IF(N29="R","Ajuste a carga para que tenha "&amp;$K$2&amp;" repetições de reserva",""))</f>
        <v>Realizar 10 repetições de um lado e trocar para o outro na sequência | Ajuste a carga para que tenha 0 a 2 repetições de reserva</v>
      </c>
      <c r="E29" s="118" t="str">
        <f>IF(A28="","",IFS(L29="H","Carga Sugerida: "&amp;ROUNDUP(O28/2,0)&amp;" kg de cada lado (Total: "&amp;ROUNDUP(O28/2,0)*2&amp;" kg)",L29="C","Este exercício usa o Peso Corporal como carga",L29="E","Este exercício usa a resistência da banda elástica como carga",L29="O","Carga Sugerida: "&amp;INT(O28)&amp;" kg",TRUE,""))</f>
        <v>Este exercício usa o Peso Corporal como carga</v>
      </c>
      <c r="J29" s="66"/>
      <c r="K29" s="126">
        <f>K28</f>
        <v>1</v>
      </c>
      <c r="L29" s="120" t="str">
        <f>LEFT(O29)</f>
        <v>C</v>
      </c>
      <c r="M29" s="121" t="str">
        <f>MID(O29,2,1)</f>
        <v>U</v>
      </c>
      <c r="N29" s="122" t="str">
        <f>RIGHT(O29)</f>
        <v>R</v>
      </c>
      <c r="O29" s="123" t="str">
        <f>IF(M28="","",OFFSET(Biblioteca!$I$2,MATCH(M28,Biblioteca!$A$3:$A$200,0),0))</f>
        <v>CUR</v>
      </c>
      <c r="P29" s="124"/>
      <c r="Q29" s="125"/>
      <c r="R29" s="117" t="str">
        <f>IF(R28="","",IFS(AC29="A",Montagem!$D$30,AE29="T","Realizar a maior quantidade de repetições por "&amp;W28&amp;" segundos | ",AE29="I",IF(AD29="U","Manter a posição por "&amp;W28&amp;" segundos de um lado e trocar para o outro na sequência | ","Manter a posição por "&amp;W28&amp;" segundos | "),AD29="A","Realizar alternadamente "&amp;W28&amp;" repetições cada lado | ",AD29="U","Realizar "&amp;W28&amp;" repetições de um lado e trocar para o outro na sequência | ",AC29="P",OFFSET(Biblioteca!$H$2,MATCH(AD28,Biblioteca!$A$3:$A$200,0),0),TRUE,"")&amp;IF(AE29="R","Ajuste a carga para que tenha "&amp;$K$2&amp;" repetições de reserva",""))</f>
        <v>Manter a posição por 45 segundos | </v>
      </c>
      <c r="V29" s="118" t="str">
        <f>IF(R28="","",IFS(AC29="H","Carga Sugerida: "&amp;ROUNDUP(AF28/2,0)&amp;" kg de cada lado (Total: "&amp;ROUNDUP(AF28/2,0)*2&amp;" kg)",AC29="C","Este exercício usa o Peso Corporal como carga",AC29="E","Este exercício usa a resistência da banda elástica como carga",AC29="O","Carga Sugerida: "&amp;INT(AF28)&amp;" kg",TRUE,""))</f>
        <v>Este exercício usa o Peso Corporal como carga</v>
      </c>
      <c r="AA29" s="66"/>
      <c r="AB29" s="126">
        <f>AB28</f>
        <v>1</v>
      </c>
      <c r="AC29" s="120" t="str">
        <f>LEFT(AF29)</f>
        <v>C</v>
      </c>
      <c r="AD29" s="121" t="str">
        <f>MID(AF29,2,1)</f>
        <v>O</v>
      </c>
      <c r="AE29" s="122" t="str">
        <f>RIGHT(AF29)</f>
        <v>I</v>
      </c>
      <c r="AF29" s="123" t="str">
        <f>IF(AD28="","",OFFSET(Biblioteca!$I$2,MATCH(AD28,Biblioteca!$A$3:$A$200,0),0))</f>
        <v>COI</v>
      </c>
      <c r="AG29" s="124"/>
      <c r="AH29" s="125"/>
      <c r="AI29" s="117" t="str">
        <f>IF(AI28="","",IFS(AT29="A",Montagem!$E$30,AV29="T","Realizar a maior quantidade de repetições por "&amp;AN28&amp;" segundos | ",AV29="I",IF(AU29="U","Manter a posição por "&amp;AN28&amp;" segundos de um lado e trocar para o outro na sequência | ","Manter a posição por "&amp;AN28&amp;" segundos | "),AU29="A","Realizar alternadamente "&amp;AN28&amp;" repetições cada lado | ",AU29="U","Realizar "&amp;AN28&amp;" repetições de um lado e trocar para o outro na sequência | ",AT29="P",OFFSET(Biblioteca!$H$2,MATCH(AU28,Biblioteca!$A$3:$A$200,0),0),TRUE,"")&amp;IF(AV29="R","Ajuste a carga para que tenha "&amp;$K$2&amp;" repetições de reserva",""))</f>
        <v/>
      </c>
      <c r="AM29" s="118" t="str">
        <f>IF(AI28="","",IFS(AT29="H","Carga Sugerida: "&amp;ROUNDUP(AW28/2,0)&amp;" kg de cada lado (Total: "&amp;ROUNDUP(AW28/2,0)*2&amp;" kg)",AT29="C","Este exercício usa o Peso Corporal como carga",AT29="E","Este exercício usa a resistência da banda elástica como carga",AT29="O","Carga Sugerida: "&amp;INT(AW28)&amp;" kg",TRUE,""))</f>
        <v/>
      </c>
      <c r="AR29" s="66"/>
      <c r="AS29" s="126">
        <f>AS28</f>
        <v>1</v>
      </c>
      <c r="AT29" s="120" t="str">
        <f>LEFT(AW29)</f>
        <v/>
      </c>
      <c r="AU29" s="121" t="str">
        <f>MID(AW29,2,1)</f>
        <v/>
      </c>
      <c r="AV29" s="122" t="str">
        <f>RIGHT(AW29)</f>
        <v/>
      </c>
      <c r="AW29" s="123" t="str">
        <f>IF(AU28="","",OFFSET(Biblioteca!$I$2,MATCH(AU28,Biblioteca!$A$3:$A$200,0),0))</f>
        <v/>
      </c>
      <c r="AX29" s="124"/>
      <c r="AY29" s="125"/>
      <c r="AZ29" s="117" t="str">
        <f>IF(AZ28="","",IFS(BK29="A",Montagem!$F$30,BM29="T","Realizar a maior quantidade de repetições por "&amp;BE28&amp;" segundos | ",BM29="I",IF(BL29="U","Manter a posição por "&amp;BE28&amp;" segundos de um lado e trocar para o outro na sequência | ","Manter a posição por "&amp;BE28&amp;" segundos | "),BL29="A","Realizar alternadamente "&amp;BE28&amp;" repetições cada lado | ",BL29="U","Realizar "&amp;BE28&amp;" repetições de um lado e trocar para o outro na sequência | ",BK29="P",OFFSET(Biblioteca!$H$2,MATCH(BL28,Biblioteca!$A$3:$A$200,0),0),TRUE,"")&amp;IF(BM29="R","Ajuste a carga para que tenha "&amp;$K$2&amp;" repetições de reserva",""))</f>
        <v>Ajuste a carga para que tenha 0 a 2 repetições de reserva</v>
      </c>
      <c r="BD29" s="118" t="str">
        <f>IF(AZ28="","",IFS(BK29="H","Carga Sugerida: "&amp;ROUNDUP(BN28/2,0)&amp;" kg de cada lado (Total: "&amp;ROUNDUP(BN28/2,0)*2&amp;" kg)",BK29="C","Este exercício usa o Peso Corporal como carga",BK29="E","Este exercício usa a resistência da banda elástica como carga",BK29="O","Carga Sugerida: "&amp;INT(BN28)&amp;" kg",TRUE,""))</f>
        <v>Carga Sugerida: 78 kg</v>
      </c>
      <c r="BI29" s="66"/>
      <c r="BJ29" s="126">
        <f>BJ28</f>
        <v>2</v>
      </c>
      <c r="BK29" s="120" t="str">
        <f>LEFT(BN29)</f>
        <v>O</v>
      </c>
      <c r="BL29" s="121" t="str">
        <f>MID(BN29,2,1)</f>
        <v>O</v>
      </c>
      <c r="BM29" s="122" t="str">
        <f>RIGHT(BN29)</f>
        <v>R</v>
      </c>
      <c r="BN29" s="123" t="str">
        <f>IF(BL28="","",OFFSET(Biblioteca!$I$2,MATCH(BL28,Biblioteca!$A$3:$A$200,0),0))</f>
        <v>OOR</v>
      </c>
      <c r="BO29" s="124"/>
      <c r="BP29" s="125"/>
      <c r="BQ29" s="117" t="str">
        <f>IF(BQ28="","",IFS(CB29="A",Montagem!$G$30,CD29="T","Realizar a maior quantidade de repetições por "&amp;BV28&amp;" segundos | ",CD29="I",IF(CC29="U","Manter a posição por "&amp;BV28&amp;" segundos de um lado e trocar para o outro na sequência | ","Manter a posição por "&amp;BV28&amp;" segundos | "),CC29="A","Realizar alternadamente "&amp;BV28&amp;" repetições cada lado | ",CC29="U","Realizar "&amp;BV28&amp;" repetições de um lado e trocar para o outro na sequência | ",CB29="P",OFFSET(Biblioteca!$H$2,MATCH(CC28,Biblioteca!$A$3:$A$200,0),0),TRUE,"")&amp;IF(CD29="R","Ajuste a carga para que tenha "&amp;$K$2&amp;" repetições de reserva",""))</f>
        <v>Ajuste a carga para que tenha 0 a 2 repetições de reserva</v>
      </c>
      <c r="BU29" s="118" t="str">
        <f>IF(BQ28="","",IFS(CB29="H","Carga Sugerida: "&amp;ROUNDUP(CE28/2,0)&amp;" kg de cada lado (Total: "&amp;ROUNDUP(CE28/2,0)*2&amp;" kg)",CB29="C","Este exercício usa o Peso Corporal como carga",CB29="E","Este exercício usa a resistência da banda elástica como carga",CB29="O","Carga Sugerida: "&amp;INT(CE28)&amp;" kg",TRUE,""))</f>
        <v>Carga Sugerida: 110 kg</v>
      </c>
      <c r="BZ29" s="66"/>
      <c r="CA29" s="126">
        <f>CA28</f>
        <v>1</v>
      </c>
      <c r="CB29" s="120" t="str">
        <f>LEFT(CE29)</f>
        <v>O</v>
      </c>
      <c r="CC29" s="121" t="str">
        <f>MID(CE29,2,1)</f>
        <v>O</v>
      </c>
      <c r="CD29" s="122" t="str">
        <f>RIGHT(CE29)</f>
        <v>R</v>
      </c>
      <c r="CE29" s="123" t="str">
        <f>IF(CC28="","",OFFSET(Biblioteca!$I$2,MATCH(CC28,Biblioteca!$A$3:$A$200,0),0))</f>
        <v>OOR</v>
      </c>
      <c r="CF29" s="124"/>
      <c r="CG29" s="125"/>
      <c r="CH29" s="117" t="str">
        <f>IF(CH28="","",IFS(CS29="A",Montagem!$H$30,CU29="T","Realizar a maior quantidade de repetições por "&amp;CM28&amp;" segundos | ",CU29="I",IF(CT29="U","Manter a posição por "&amp;CM28&amp;" segundos de um lado e trocar para o outro na sequência | ","Manter a posição por "&amp;CM28&amp;" segundos | "),CT29="A","Realizar alternadamente "&amp;CM28&amp;" repetições cada lado | ",CT29="U","Realizar "&amp;CM28&amp;" repetições de um lado e trocar para o outro na sequência | ",CS29="P",OFFSET(Biblioteca!$H$2,MATCH(CT28,Biblioteca!$A$3:$A$200,0),0),TRUE,"")&amp;IF(CU29="R","Ajuste a carga para que tenha "&amp;$K$2&amp;" repetições de reserva",""))</f>
        <v/>
      </c>
      <c r="CL29" s="118" t="str">
        <f>IF(CH28="","",IFS(CS29="H","Carga Sugerida: "&amp;ROUNDUP(CV28/2,0)&amp;" kg de cada lado (Total: "&amp;ROUNDUP(CV28/2,0)*2&amp;" kg)",CS29="C","Este exercício usa o Peso Corporal como carga",CS29="E","Este exercício usa a resistência da banda elástica como carga",CS29="O","Carga Sugerida: "&amp;INT(CV28)&amp;" kg",TRUE,""))</f>
        <v/>
      </c>
      <c r="CQ29" s="66"/>
      <c r="CR29" s="126">
        <f>CR28</f>
        <v>1</v>
      </c>
      <c r="CS29" s="120" t="str">
        <f>LEFT(CV29)</f>
        <v/>
      </c>
      <c r="CT29" s="121" t="str">
        <f>MID(CV29,2,1)</f>
        <v/>
      </c>
      <c r="CU29" s="122" t="str">
        <f>RIGHT(CV29)</f>
        <v/>
      </c>
      <c r="CV29" s="123" t="str">
        <f>IF(CT28="","",OFFSET(Biblioteca!$I$2,MATCH(CT28,Biblioteca!$A$3:$A$200,0),0))</f>
        <v/>
      </c>
      <c r="CW29" s="124"/>
      <c r="CX29" s="125"/>
      <c r="CY29" s="117" t="str">
        <f>IF(CY28="","",IFS(DJ29="A",Montagem!$I$30,DL29="T","Realizar a maior quantidade de repetições por "&amp;DD28&amp;" segundos | ",DL29="I",IF(DK29="U","Manter a posição por "&amp;DD28&amp;" segundos de um lado e trocar para o outro na sequência | ","Manter a posição por "&amp;DD28&amp;" segundos | "),DK29="A","Realizar alternadamente "&amp;DD28&amp;" repetições cada lado | ",DK29="U","Realizar "&amp;DD28&amp;" repetições de um lado e trocar para o outro na sequência | ",DJ29="P",OFFSET(Biblioteca!$H$2,MATCH(DK28,Biblioteca!$A$3:$A$200,0),0),TRUE,"")&amp;IF(DL29="R","Ajuste a carga para que tenha "&amp;$K$2&amp;" repetições de reserva",""))</f>
        <v/>
      </c>
      <c r="DC29" s="118" t="str">
        <f>IF(CY28="","",IFS(DJ29="H","Carga Sugerida: "&amp;ROUNDUP(DM28/2,0)&amp;" kg de cada lado (Total: "&amp;ROUNDUP(DM28/2,0)*2&amp;" kg)",DJ29="C","Este exercício usa o Peso Corporal como carga",DJ29="E","Este exercício usa a resistência da banda elástica como carga",DJ29="O","Carga Sugerida: "&amp;INT(DM28)&amp;" kg",TRUE,""))</f>
        <v/>
      </c>
      <c r="DH29" s="66"/>
      <c r="DI29" s="126">
        <f>DI28</f>
        <v>1</v>
      </c>
      <c r="DJ29" s="120" t="str">
        <f>LEFT(DM29)</f>
        <v/>
      </c>
      <c r="DK29" s="121" t="str">
        <f>MID(DM29,2,1)</f>
        <v/>
      </c>
      <c r="DL29" s="122" t="str">
        <f>RIGHT(DM29)</f>
        <v/>
      </c>
      <c r="DM29" s="123" t="str">
        <f>IF(DK28="","",OFFSET(Biblioteca!$I$2,MATCH(DK28,Biblioteca!$A$3:$A$200,0),0))</f>
        <v/>
      </c>
      <c r="DN29" s="124"/>
      <c r="DO29" s="125"/>
      <c r="DP29" s="57"/>
      <c r="DQ29" s="56"/>
      <c r="DR29" s="56"/>
      <c r="DS29" s="56"/>
      <c r="DT29" s="56"/>
      <c r="DU29" s="56"/>
      <c r="DV29" s="56"/>
      <c r="DW29" s="56"/>
      <c r="DX29" s="56"/>
      <c r="DY29" s="56"/>
    </row>
    <row r="30">
      <c r="A30" s="102" t="str">
        <f>IF(M30="","",HYPERLINK(OFFSET(Biblioteca!$B$2,MATCH(M30,Biblioteca!$A$3:$A$200,0),0),M30))</f>
        <v>Leg Press</v>
      </c>
      <c r="D30" s="103" t="str">
        <f>Montagem!Q23</f>
        <v>Bi-SET</v>
      </c>
      <c r="E30" s="104">
        <f>Montagem!R23</f>
        <v>4</v>
      </c>
      <c r="F30" s="104">
        <f>Montagem!S23</f>
        <v>10</v>
      </c>
      <c r="G30" s="104" t="str">
        <f>Montagem!T23</f>
        <v/>
      </c>
      <c r="H30" s="104">
        <f>Montagem!U23</f>
        <v>1</v>
      </c>
      <c r="I30" s="127">
        <f>Montagem!V23</f>
        <v>2</v>
      </c>
      <c r="J30" s="105"/>
      <c r="K30" s="106">
        <f>Montagem!K23</f>
        <v>2</v>
      </c>
      <c r="L30" s="128">
        <f>Montagem!W23</f>
        <v>170</v>
      </c>
      <c r="M30" s="111" t="str">
        <f>Montagem!L23</f>
        <v>Leg Press</v>
      </c>
      <c r="N30" s="111" t="str">
        <f>Montagem!X23</f>
        <v/>
      </c>
      <c r="O30" s="106">
        <f>IF(N30="",L30,N30)</f>
        <v>170</v>
      </c>
      <c r="P30" s="106">
        <f>IF(L31="C",'Dados de Base'!$D$5*0.1,IF(L31="E",5,IF(J30="",O30,J30)))</f>
        <v>170</v>
      </c>
      <c r="Q30" s="108"/>
      <c r="R30" s="102" t="str">
        <f>IF(AD30="","",HYPERLINK(OFFSET(Biblioteca!$B$2,MATCH(AD30,Biblioteca!$A$3:$A$200,0),0),AD30))</f>
        <v>Cadeira Abdutora</v>
      </c>
      <c r="U30" s="109" t="str">
        <f>Montagem!AF23</f>
        <v>Bi-SET</v>
      </c>
      <c r="V30" s="110">
        <f>Montagem!AG23</f>
        <v>3</v>
      </c>
      <c r="W30" s="110">
        <f>Montagem!AH23</f>
        <v>10</v>
      </c>
      <c r="X30" s="110" t="str">
        <f>Montagem!AI23</f>
        <v/>
      </c>
      <c r="Y30" s="110">
        <f>Montagem!AJ23</f>
        <v>1</v>
      </c>
      <c r="Z30" s="110">
        <f>Montagem!AK23</f>
        <v>2</v>
      </c>
      <c r="AA30" s="113"/>
      <c r="AB30" s="111">
        <f>Montagem!Z23</f>
        <v>2</v>
      </c>
      <c r="AC30" s="111">
        <f>Montagem!AL23</f>
        <v>5</v>
      </c>
      <c r="AD30" s="129" t="str">
        <f>Montagem!AA23</f>
        <v>Cadeira Abdutora</v>
      </c>
      <c r="AE30" s="111" t="str">
        <f>Montagem!AM23</f>
        <v/>
      </c>
      <c r="AF30" s="106">
        <f>IF(AE30="",AC30,AE30)</f>
        <v>5</v>
      </c>
      <c r="AG30" s="106">
        <f>IF(AC31="C",'Dados de Base'!$D$5*0.1,IF(AC31="E",5,IF(AA30="",AF30,AA30)))</f>
        <v>5</v>
      </c>
      <c r="AH30" s="108"/>
      <c r="AI30" s="115" t="str">
        <f>IF(AU30="","",HYPERLINK(OFFSET(Biblioteca!$B$2,MATCH(AU30,Biblioteca!$A$3:$A$200,0),0),AU30))</f>
        <v/>
      </c>
      <c r="AL30" s="109" t="str">
        <f>Montagem!AU23</f>
        <v/>
      </c>
      <c r="AM30" s="110" t="str">
        <f>Montagem!AV23</f>
        <v/>
      </c>
      <c r="AN30" s="110" t="str">
        <f>Montagem!AW23</f>
        <v/>
      </c>
      <c r="AO30" s="110" t="str">
        <f>Montagem!AX23</f>
        <v/>
      </c>
      <c r="AP30" s="110" t="str">
        <f>Montagem!AY23</f>
        <v/>
      </c>
      <c r="AQ30" s="110" t="str">
        <f>Montagem!AZ23</f>
        <v/>
      </c>
      <c r="AR30" s="114"/>
      <c r="AS30" s="111">
        <f>Montagem!AO23</f>
        <v>1</v>
      </c>
      <c r="AT30" s="111" t="str">
        <f>Montagem!BA23</f>
        <v/>
      </c>
      <c r="AU30" s="111" t="str">
        <f>Montagem!AP23</f>
        <v/>
      </c>
      <c r="AV30" s="111" t="str">
        <f>Montagem!BB23</f>
        <v/>
      </c>
      <c r="AW30" s="106" t="str">
        <f>IF(AV30="",AT30,AV30)</f>
        <v/>
      </c>
      <c r="AX30" s="106" t="str">
        <f>IF(AT31="C",'Dados de Base'!$D$5*0.1,IF(AT31="E",5,IF(AR30="",AW30,AR30)))</f>
        <v/>
      </c>
      <c r="AY30" s="108"/>
      <c r="AZ30" s="102" t="str">
        <f>IF(BL30="","",HYPERLINK(OFFSET(Biblioteca!$B$2,MATCH(BL30,Biblioteca!$A$3:$A$200,0),0),BL30))</f>
        <v>Flexão Nórdica</v>
      </c>
      <c r="BC30" s="109" t="str">
        <f>Montagem!BJ23</f>
        <v>Bi-SET</v>
      </c>
      <c r="BD30" s="110">
        <f>Montagem!BK23</f>
        <v>3</v>
      </c>
      <c r="BE30" s="110">
        <f>Montagem!BL23</f>
        <v>8</v>
      </c>
      <c r="BF30" s="110">
        <f>Montagem!BM23</f>
        <v>60</v>
      </c>
      <c r="BG30" s="110">
        <f>Montagem!BN23</f>
        <v>1</v>
      </c>
      <c r="BH30" s="110">
        <f>Montagem!BO23</f>
        <v>2</v>
      </c>
      <c r="BI30" s="113"/>
      <c r="BJ30" s="111">
        <f>Montagem!BD23</f>
        <v>2</v>
      </c>
      <c r="BK30" s="111">
        <f>Montagem!BP23</f>
        <v>0</v>
      </c>
      <c r="BL30" s="111" t="str">
        <f>Montagem!BE23</f>
        <v>Flexão Nórdica</v>
      </c>
      <c r="BM30" s="111" t="str">
        <f>Montagem!BQ23</f>
        <v/>
      </c>
      <c r="BN30" s="106">
        <f>IF(BM30="",BK30,BM30)</f>
        <v>0</v>
      </c>
      <c r="BO30" s="106">
        <f>IF(BK31="C",'Dados de Base'!$D$5*0.1,IF(BK31="E",5,IF(BI30="",BN30,BI30)))</f>
        <v>6.3</v>
      </c>
      <c r="BP30" s="108"/>
      <c r="BQ30" s="102" t="str">
        <f>IF(CC30="","",HYPERLINK(OFFSET(Biblioteca!$B$2,MATCH(CC30,Biblioteca!$A$3:$A$200,0),0),CC30))</f>
        <v>Cadeira Extensora</v>
      </c>
      <c r="BT30" s="109" t="str">
        <f>Montagem!BY23</f>
        <v>Bi-SET</v>
      </c>
      <c r="BU30" s="110">
        <f>Montagem!BZ23</f>
        <v>4</v>
      </c>
      <c r="BV30" s="110">
        <f>Montagem!CA23</f>
        <v>10</v>
      </c>
      <c r="BW30" s="110" t="str">
        <f>Montagem!CB23</f>
        <v/>
      </c>
      <c r="BX30" s="110">
        <f>Montagem!CC23</f>
        <v>1</v>
      </c>
      <c r="BY30" s="110">
        <f>Montagem!CD23</f>
        <v>2</v>
      </c>
      <c r="BZ30" s="113"/>
      <c r="CA30" s="111">
        <f>Montagem!BS23</f>
        <v>2</v>
      </c>
      <c r="CB30" s="111">
        <f>Montagem!CE23</f>
        <v>15.435</v>
      </c>
      <c r="CC30" s="111" t="str">
        <f>Montagem!BT23</f>
        <v>Cadeira Extensora</v>
      </c>
      <c r="CD30" s="111" t="str">
        <f>Montagem!CF23</f>
        <v/>
      </c>
      <c r="CE30" s="106">
        <f>IF(CD30="",CB30,CD30)</f>
        <v>15.435</v>
      </c>
      <c r="CF30" s="106">
        <f>IF(CB31="C",'Dados de Base'!$D$5*0.1,IF(CB31="E",5,IF(BZ30="",CE30,BZ30)))</f>
        <v>15.435</v>
      </c>
      <c r="CG30" s="108"/>
      <c r="CH30" s="115" t="str">
        <f>IF(CT30="","",HYPERLINK(OFFSET(Biblioteca!$B$2,MATCH(CT30,Biblioteca!$A$3:$A$200,0),0),CT30))</f>
        <v/>
      </c>
      <c r="CK30" s="109" t="str">
        <f>Montagem!CN23</f>
        <v/>
      </c>
      <c r="CL30" s="110" t="str">
        <f>Montagem!CO23</f>
        <v/>
      </c>
      <c r="CM30" s="110" t="str">
        <f>Montagem!CP23</f>
        <v/>
      </c>
      <c r="CN30" s="110" t="str">
        <f>Montagem!CQ23</f>
        <v/>
      </c>
      <c r="CO30" s="110" t="str">
        <f>Montagem!CR23</f>
        <v/>
      </c>
      <c r="CP30" s="110" t="str">
        <f>Montagem!CS23</f>
        <v/>
      </c>
      <c r="CQ30" s="114"/>
      <c r="CR30" s="111">
        <f>Montagem!CH23</f>
        <v>1</v>
      </c>
      <c r="CS30" s="111" t="str">
        <f>Montagem!CT23</f>
        <v/>
      </c>
      <c r="CT30" s="111" t="str">
        <f>Montagem!CI23</f>
        <v/>
      </c>
      <c r="CU30" s="111" t="str">
        <f>Montagem!CU23</f>
        <v/>
      </c>
      <c r="CV30" s="106" t="str">
        <f>IF(CU30="",CS30,CU30)</f>
        <v/>
      </c>
      <c r="CW30" s="106" t="str">
        <f>IF(CS31="C",'Dados de Base'!$D$5*0.1,IF(CS31="E",5,IF(CQ30="",CV30,CQ30)))</f>
        <v/>
      </c>
      <c r="CX30" s="108"/>
      <c r="CY30" s="115" t="str">
        <f>IF(DK30="","",HYPERLINK(OFFSET(Biblioteca!$B$2,MATCH(DK30,Biblioteca!$A$3:$A$200,0),0),DK30))</f>
        <v/>
      </c>
      <c r="DB30" s="130" t="str">
        <f>Montagem!DC23</f>
        <v/>
      </c>
      <c r="DC30" s="131" t="str">
        <f>Montagem!DD23</f>
        <v/>
      </c>
      <c r="DD30" s="131" t="str">
        <f>Montagem!DE23</f>
        <v/>
      </c>
      <c r="DE30" s="131" t="str">
        <f>Montagem!DF23</f>
        <v/>
      </c>
      <c r="DF30" s="131" t="str">
        <f>Montagem!DG23</f>
        <v/>
      </c>
      <c r="DG30" s="131" t="str">
        <f>Montagem!DH23</f>
        <v/>
      </c>
      <c r="DH30" s="114"/>
      <c r="DI30" s="111">
        <f>Montagem!CW23</f>
        <v>1</v>
      </c>
      <c r="DJ30" s="111" t="str">
        <f>Montagem!DI23</f>
        <v/>
      </c>
      <c r="DK30" s="111" t="str">
        <f>Montagem!CX23</f>
        <v/>
      </c>
      <c r="DL30" s="111" t="str">
        <f>Montagem!DJ23</f>
        <v/>
      </c>
      <c r="DM30" s="106" t="str">
        <f>IF(DL30="",DJ30,DL30)</f>
        <v/>
      </c>
      <c r="DN30" s="106" t="str">
        <f>IF(DJ31="C",'Dados de Base'!$D$5*0.1,IF(DJ31="E",5,IF(DH30="",DM30,DH30)))</f>
        <v/>
      </c>
      <c r="DO30" s="108"/>
      <c r="DP30" s="106"/>
      <c r="DQ30" s="106"/>
      <c r="DR30" s="106"/>
      <c r="DS30" s="106"/>
      <c r="DT30" s="106"/>
      <c r="DU30" s="106"/>
      <c r="DV30" s="106"/>
      <c r="DW30" s="106"/>
      <c r="DX30" s="106"/>
      <c r="DY30" s="106"/>
    </row>
    <row r="31">
      <c r="A31" s="117" t="str">
        <f>IF(A30="","",IFS(L31="A",Montagem!$C$30,N31="T","Realizar a maior quantidade de repetições por "&amp;F30&amp;" segundos | ",N31="I",IF(M31="U","Manter a posição por "&amp;F30&amp;" segundos de um lado e trocar para o outro na sequência | ","Manter a posição por "&amp;F30&amp;" segundos | "),M31="A","Realizar alternadamente "&amp;F30&amp;" repetições cada lado | ",M31="U","Realizar "&amp;F30&amp;" repetições de um lado e trocar para o outro na sequência | ",L31="P",OFFSET(Biblioteca!$H$2,MATCH(M30,Biblioteca!$A$3:$A$200,0),0),TRUE,"")&amp;IF(N31="R","Ajuste a carga para que tenha "&amp;$K$2&amp;" repetições de reserva",""))</f>
        <v>Ajuste a carga para que tenha 0 a 2 repetições de reserva</v>
      </c>
      <c r="E31" s="118" t="str">
        <f>IF(A30="","",IFS(L31="H","Carga Sugerida: "&amp;ROUNDUP(O30/2,0)&amp;" kg de cada lado (Total: "&amp;ROUNDUP(O30/2,0)*2&amp;" kg)",L31="C","Este exercício usa o Peso Corporal como carga",L31="E","Este exercício usa a resistência da banda elástica como carga",L31="O","Carga Sugerida: "&amp;INT(O30)&amp;" kg",TRUE,""))</f>
        <v>Carga Sugerida: 170 kg</v>
      </c>
      <c r="J31" s="66"/>
      <c r="K31" s="126">
        <f>K30</f>
        <v>2</v>
      </c>
      <c r="L31" s="120" t="str">
        <f>LEFT(O31)</f>
        <v>O</v>
      </c>
      <c r="M31" s="121" t="str">
        <f>MID(O31,2,1)</f>
        <v>O</v>
      </c>
      <c r="N31" s="122" t="str">
        <f>RIGHT(O31)</f>
        <v>R</v>
      </c>
      <c r="O31" s="123" t="str">
        <f>IF(M30="","",OFFSET(Biblioteca!$I$2,MATCH(M30,Biblioteca!$A$3:$A$200,0),0))</f>
        <v>OOR</v>
      </c>
      <c r="P31" s="124"/>
      <c r="Q31" s="125"/>
      <c r="R31" s="117" t="str">
        <f>IF(R30="","",IFS(AC31="A",Montagem!$D$30,AE31="T","Realizar a maior quantidade de repetições por "&amp;W30&amp;" segundos | ",AE31="I",IF(AD31="U","Manter a posição por "&amp;W30&amp;" segundos de um lado e trocar para o outro na sequência | ","Manter a posição por "&amp;W30&amp;" segundos | "),AD31="A","Realizar alternadamente "&amp;W30&amp;" repetições cada lado | ",AD31="U","Realizar "&amp;W30&amp;" repetições de um lado e trocar para o outro na sequência | ",AC31="P",OFFSET(Biblioteca!$H$2,MATCH(AD30,Biblioteca!$A$3:$A$200,0),0),TRUE,"")&amp;IF(AE31="R","Ajuste a carga para que tenha "&amp;$K$2&amp;" repetições de reserva",""))</f>
        <v>Ajuste a carga para que tenha 0 a 2 repetições de reserva</v>
      </c>
      <c r="V31" s="118" t="str">
        <f>IF(R30="","",IFS(AC31="H","Carga Sugerida: "&amp;ROUNDUP(AF30/2,0)&amp;" kg de cada lado (Total: "&amp;ROUNDUP(AF30/2,0)*2&amp;" kg)",AC31="C","Este exercício usa o Peso Corporal como carga",AC31="E","Este exercício usa a resistência da banda elástica como carga",AC31="O","Carga Sugerida: "&amp;INT(AF30)&amp;" kg",TRUE,""))</f>
        <v>Carga Sugerida: 5 kg</v>
      </c>
      <c r="AA31" s="66"/>
      <c r="AB31" s="126">
        <f>AB30</f>
        <v>2</v>
      </c>
      <c r="AC31" s="120" t="str">
        <f>LEFT(AF31)</f>
        <v>O</v>
      </c>
      <c r="AD31" s="121" t="str">
        <f>MID(AF31,2,1)</f>
        <v>O</v>
      </c>
      <c r="AE31" s="122" t="str">
        <f>RIGHT(AF31)</f>
        <v>R</v>
      </c>
      <c r="AF31" s="123" t="str">
        <f>IF(AD30="","",OFFSET(Biblioteca!$I$2,MATCH(AD30,Biblioteca!$A$3:$A$200,0),0))</f>
        <v>OOR</v>
      </c>
      <c r="AG31" s="124"/>
      <c r="AH31" s="125"/>
      <c r="AI31" s="117" t="str">
        <f>IF(AI30="","",IFS(AT31="A",Montagem!$E$30,AV31="T","Realizar a maior quantidade de repetições por "&amp;AN30&amp;" segundos | ",AV31="I",IF(AU31="U","Manter a posição por "&amp;AN30&amp;" segundos de um lado e trocar para o outro na sequência | ","Manter a posição por "&amp;AN30&amp;" segundos | "),AU31="A","Realizar alternadamente "&amp;AN30&amp;" repetições cada lado | ",AU31="U","Realizar "&amp;AN30&amp;" repetições de um lado e trocar para o outro na sequência | ",AT31="P",OFFSET(Biblioteca!$H$2,MATCH(AU30,Biblioteca!$A$3:$A$200,0),0),TRUE,"")&amp;IF(AV31="R","Ajuste a carga para que tenha "&amp;$K$2&amp;" repetições de reserva",""))</f>
        <v/>
      </c>
      <c r="AM31" s="118" t="str">
        <f>IF(AI30="","",IFS(AT31="H","Carga Sugerida: "&amp;ROUNDUP(AW30/2,0)&amp;" kg de cada lado (Total: "&amp;ROUNDUP(AW30/2,0)*2&amp;" kg)",AT31="C","Este exercício usa o Peso Corporal como carga",AT31="E","Este exercício usa a resistência da banda elástica como carga",AT31="O","Carga Sugerida: "&amp;INT(AW30)&amp;" kg",TRUE,""))</f>
        <v/>
      </c>
      <c r="AR31" s="66"/>
      <c r="AS31" s="126">
        <f>AS30</f>
        <v>1</v>
      </c>
      <c r="AT31" s="120" t="str">
        <f>LEFT(AW31)</f>
        <v/>
      </c>
      <c r="AU31" s="121" t="str">
        <f>MID(AW31,2,1)</f>
        <v/>
      </c>
      <c r="AV31" s="122" t="str">
        <f>RIGHT(AW31)</f>
        <v/>
      </c>
      <c r="AW31" s="123" t="str">
        <f>IF(AU30="","",OFFSET(Biblioteca!$I$2,MATCH(AU30,Biblioteca!$A$3:$A$200,0),0))</f>
        <v/>
      </c>
      <c r="AX31" s="124"/>
      <c r="AY31" s="125"/>
      <c r="AZ31" s="117" t="str">
        <f>IF(AZ30="","",IFS(BK31="A",Montagem!$F$30,BM31="T","Realizar a maior quantidade de repetições por "&amp;BE30&amp;" segundos | ",BM31="I",IF(BL31="U","Manter a posição por "&amp;BE30&amp;" segundos de um lado e trocar para o outro na sequência | ","Manter a posição por "&amp;BE30&amp;" segundos | "),BL31="A","Realizar alternadamente "&amp;BE30&amp;" repetições cada lado | ",BL31="U","Realizar "&amp;BE30&amp;" repetições de um lado e trocar para o outro na sequência | ",BK31="P",OFFSET(Biblioteca!$H$2,MATCH(BL30,Biblioteca!$A$3:$A$200,0),0),TRUE,"")&amp;IF(BM31="R","Ajuste a carga para que tenha "&amp;$K$2&amp;" repetições de reserva",""))</f>
        <v>Ajuste a carga para que tenha 0 a 2 repetições de reserva</v>
      </c>
      <c r="BD31" s="118" t="str">
        <f>IF(AZ30="","",IFS(BK31="H","Carga Sugerida: "&amp;ROUNDUP(BN30/2,0)&amp;" kg de cada lado (Total: "&amp;ROUNDUP(BN30/2,0)*2&amp;" kg)",BK31="C","Este exercício usa o Peso Corporal como carga",BK31="E","Este exercício usa a resistência da banda elástica como carga",BK31="O","Carga Sugerida: "&amp;INT(BN30)&amp;" kg",TRUE,""))</f>
        <v>Este exercício usa o Peso Corporal como carga</v>
      </c>
      <c r="BI31" s="66"/>
      <c r="BJ31" s="126">
        <f>BJ30</f>
        <v>2</v>
      </c>
      <c r="BK31" s="120" t="str">
        <f>LEFT(BN31)</f>
        <v>C</v>
      </c>
      <c r="BL31" s="121" t="str">
        <f>MID(BN31,2,1)</f>
        <v>O</v>
      </c>
      <c r="BM31" s="122" t="str">
        <f>RIGHT(BN31)</f>
        <v>R</v>
      </c>
      <c r="BN31" s="123" t="str">
        <f>IF(BL30="","",OFFSET(Biblioteca!$I$2,MATCH(BL30,Biblioteca!$A$3:$A$200,0),0))</f>
        <v>COR</v>
      </c>
      <c r="BO31" s="124"/>
      <c r="BP31" s="125"/>
      <c r="BQ31" s="117" t="str">
        <f>IF(BQ30="","",IFS(CB31="A",Montagem!$G$30,CD31="T","Realizar a maior quantidade de repetições por "&amp;BV30&amp;" segundos | ",CD31="I",IF(CC31="U","Manter a posição por "&amp;BV30&amp;" segundos de um lado e trocar para o outro na sequência | ","Manter a posição por "&amp;BV30&amp;" segundos | "),CC31="A","Realizar alternadamente "&amp;BV30&amp;" repetições cada lado | ",CC31="U","Realizar "&amp;BV30&amp;" repetições de um lado e trocar para o outro na sequência | ",CB31="P",OFFSET(Biblioteca!$H$2,MATCH(CC30,Biblioteca!$A$3:$A$200,0),0),TRUE,"")&amp;IF(CD31="R","Ajuste a carga para que tenha "&amp;$K$2&amp;" repetições de reserva",""))</f>
        <v>Ajuste a carga para que tenha 0 a 2 repetições de reserva</v>
      </c>
      <c r="BU31" s="118" t="str">
        <f>IF(BQ30="","",IFS(CB31="H","Carga Sugerida: "&amp;ROUNDUP(CE30/2,0)&amp;" kg de cada lado (Total: "&amp;ROUNDUP(CE30/2,0)*2&amp;" kg)",CB31="C","Este exercício usa o Peso Corporal como carga",CB31="E","Este exercício usa a resistência da banda elástica como carga",CB31="O","Carga Sugerida: "&amp;INT(CE30)&amp;" kg",TRUE,""))</f>
        <v>Carga Sugerida: 15 kg</v>
      </c>
      <c r="BZ31" s="66"/>
      <c r="CA31" s="126">
        <f>CA30</f>
        <v>2</v>
      </c>
      <c r="CB31" s="120" t="str">
        <f>LEFT(CE31)</f>
        <v>O</v>
      </c>
      <c r="CC31" s="121" t="str">
        <f>MID(CE31,2,1)</f>
        <v>O</v>
      </c>
      <c r="CD31" s="122" t="str">
        <f>RIGHT(CE31)</f>
        <v>R</v>
      </c>
      <c r="CE31" s="123" t="str">
        <f>IF(CC30="","",OFFSET(Biblioteca!$I$2,MATCH(CC30,Biblioteca!$A$3:$A$200,0),0))</f>
        <v>OOR</v>
      </c>
      <c r="CF31" s="124"/>
      <c r="CG31" s="125"/>
      <c r="CH31" s="117" t="str">
        <f>IF(CH30="","",IFS(CS31="A",Montagem!$H$30,CU31="T","Realizar a maior quantidade de repetições por "&amp;CM30&amp;" segundos | ",CU31="I",IF(CT31="U","Manter a posição por "&amp;CM30&amp;" segundos de um lado e trocar para o outro na sequência | ","Manter a posição por "&amp;CM30&amp;" segundos | "),CT31="A","Realizar alternadamente "&amp;CM30&amp;" repetições cada lado | ",CT31="U","Realizar "&amp;CM30&amp;" repetições de um lado e trocar para o outro na sequência | ",CS31="P",OFFSET(Biblioteca!$H$2,MATCH(CT30,Biblioteca!$A$3:$A$200,0),0),TRUE,"")&amp;IF(CU31="R","Ajuste a carga para que tenha "&amp;$K$2&amp;" repetições de reserva",""))</f>
        <v/>
      </c>
      <c r="CL31" s="118" t="str">
        <f>IF(CH30="","",IFS(CS31="H","Carga Sugerida: "&amp;ROUNDUP(CV30/2,0)&amp;" kg de cada lado (Total: "&amp;ROUNDUP(CV30/2,0)*2&amp;" kg)",CS31="C","Este exercício usa o Peso Corporal como carga",CS31="E","Este exercício usa a resistência da banda elástica como carga",CS31="O","Carga Sugerida: "&amp;INT(CV30)&amp;" kg",TRUE,""))</f>
        <v/>
      </c>
      <c r="CQ31" s="66"/>
      <c r="CR31" s="126">
        <f>CR30</f>
        <v>1</v>
      </c>
      <c r="CS31" s="120" t="str">
        <f>LEFT(CV31)</f>
        <v/>
      </c>
      <c r="CT31" s="121" t="str">
        <f>MID(CV31,2,1)</f>
        <v/>
      </c>
      <c r="CU31" s="122" t="str">
        <f>RIGHT(CV31)</f>
        <v/>
      </c>
      <c r="CV31" s="123" t="str">
        <f>IF(CT30="","",OFFSET(Biblioteca!$I$2,MATCH(CT30,Biblioteca!$A$3:$A$200,0),0))</f>
        <v/>
      </c>
      <c r="CW31" s="124"/>
      <c r="CX31" s="125"/>
      <c r="CY31" s="117" t="str">
        <f>IF(CY30="","",IFS(DJ31="A",Montagem!$I$30,DL31="T","Realizar a maior quantidade de repetições por "&amp;DD30&amp;" segundos | ",DL31="I",IF(DK31="U","Manter a posição por "&amp;DD30&amp;" segundos de um lado e trocar para o outro na sequência | ","Manter a posição por "&amp;DD30&amp;" segundos | "),DK31="A","Realizar alternadamente "&amp;DD30&amp;" repetições cada lado | ",DK31="U","Realizar "&amp;DD30&amp;" repetições de um lado e trocar para o outro na sequência | ",DJ31="P",OFFSET(Biblioteca!$H$2,MATCH(DK30,Biblioteca!$A$3:$A$200,0),0),TRUE,"")&amp;IF(DL31="R","Ajuste a carga para que tenha "&amp;$K$2&amp;" repetições de reserva",""))</f>
        <v/>
      </c>
      <c r="DC31" s="118" t="str">
        <f>IF(CY30="","",IFS(DJ31="H","Carga Sugerida: "&amp;ROUNDUP(DM30/2,0)&amp;" kg de cada lado (Total: "&amp;ROUNDUP(DM30/2,0)*2&amp;" kg)",DJ31="C","Este exercício usa o Peso Corporal como carga",DJ31="E","Este exercício usa a resistência da banda elástica como carga",DJ31="O","Carga Sugerida: "&amp;INT(DM30)&amp;" kg",TRUE,""))</f>
        <v/>
      </c>
      <c r="DH31" s="66"/>
      <c r="DI31" s="126">
        <f>DI30</f>
        <v>1</v>
      </c>
      <c r="DJ31" s="120" t="str">
        <f>LEFT(DM31)</f>
        <v/>
      </c>
      <c r="DK31" s="121" t="str">
        <f>MID(DM31,2,1)</f>
        <v/>
      </c>
      <c r="DL31" s="122" t="str">
        <f>RIGHT(DM31)</f>
        <v/>
      </c>
      <c r="DM31" s="123" t="str">
        <f>IF(DK30="","",OFFSET(Biblioteca!$I$2,MATCH(DK30,Biblioteca!$A$3:$A$200,0),0))</f>
        <v/>
      </c>
      <c r="DN31" s="124"/>
      <c r="DO31" s="125"/>
      <c r="DP31" s="57"/>
      <c r="DQ31" s="56"/>
      <c r="DR31" s="56"/>
      <c r="DS31" s="56"/>
      <c r="DT31" s="56"/>
      <c r="DU31" s="56"/>
      <c r="DV31" s="56"/>
      <c r="DW31" s="56"/>
      <c r="DX31" s="56"/>
      <c r="DY31" s="56"/>
    </row>
    <row r="32">
      <c r="A32" s="102" t="str">
        <f>IF(M32="","",HYPERLINK(OFFSET(Biblioteca!$B$2,MATCH(M32,Biblioteca!$A$3:$A$200,0),0),M32))</f>
        <v>Panturrilha Leg Press</v>
      </c>
      <c r="D32" s="103" t="str">
        <f>Montagem!Q24</f>
        <v>Bi-SET</v>
      </c>
      <c r="E32" s="104">
        <f>Montagem!R24</f>
        <v>4</v>
      </c>
      <c r="F32" s="104">
        <f>Montagem!S24</f>
        <v>10</v>
      </c>
      <c r="G32" s="104">
        <f>Montagem!T24</f>
        <v>45</v>
      </c>
      <c r="H32" s="104">
        <f>Montagem!U24</f>
        <v>1</v>
      </c>
      <c r="I32" s="132">
        <f>Montagem!V24</f>
        <v>2</v>
      </c>
      <c r="J32" s="105"/>
      <c r="K32" s="106">
        <f>Montagem!K24</f>
        <v>2</v>
      </c>
      <c r="L32" s="128">
        <f>Montagem!W24</f>
        <v>220.5</v>
      </c>
      <c r="M32" s="111" t="str">
        <f>Montagem!L24</f>
        <v>Panturrilha Leg Press</v>
      </c>
      <c r="N32" s="111" t="str">
        <f>Montagem!X24</f>
        <v/>
      </c>
      <c r="O32" s="106">
        <f>IF(N32="",L32,N32)</f>
        <v>220.5</v>
      </c>
      <c r="P32" s="106">
        <f>IF(L33="C",'Dados de Base'!$D$5*0.1,IF(L33="E",5,IF(J32="",O32,J32)))</f>
        <v>220.5</v>
      </c>
      <c r="Q32" s="108"/>
      <c r="R32" s="102" t="str">
        <f>IF(AD32="","",HYPERLINK(OFFSET(Biblioteca!$B$2,MATCH(AD32,Biblioteca!$A$3:$A$200,0),0),AD32))</f>
        <v>Extensão de quadril com elástico</v>
      </c>
      <c r="U32" s="109" t="str">
        <f>Montagem!AF24</f>
        <v>Bi-SET</v>
      </c>
      <c r="V32" s="110">
        <f>Montagem!AG24</f>
        <v>3</v>
      </c>
      <c r="W32" s="110">
        <f>Montagem!AH24</f>
        <v>10</v>
      </c>
      <c r="X32" s="110">
        <f>Montagem!AI24</f>
        <v>45</v>
      </c>
      <c r="Y32" s="110">
        <f>Montagem!AJ24</f>
        <v>1</v>
      </c>
      <c r="Z32" s="110">
        <f>Montagem!AK24</f>
        <v>2</v>
      </c>
      <c r="AA32" s="113"/>
      <c r="AB32" s="111">
        <f>Montagem!Z24</f>
        <v>2</v>
      </c>
      <c r="AC32" s="111">
        <f>Montagem!AL24</f>
        <v>0</v>
      </c>
      <c r="AD32" s="129" t="str">
        <f>Montagem!AA24</f>
        <v>Extensão de quadril com elástico</v>
      </c>
      <c r="AE32" s="111" t="str">
        <f>Montagem!AM24</f>
        <v/>
      </c>
      <c r="AF32" s="106">
        <f>IF(AE32="",AC32,AE32)</f>
        <v>0</v>
      </c>
      <c r="AG32" s="106">
        <f>IF(AC33="C",'Dados de Base'!$D$5*0.1,IF(AC33="E",5,IF(AA32="",AF32,AA32)))</f>
        <v>5</v>
      </c>
      <c r="AH32" s="108"/>
      <c r="AI32" s="115" t="str">
        <f>IF(AU32="","",HYPERLINK(OFFSET(Biblioteca!$B$2,MATCH(AU32,Biblioteca!$A$3:$A$200,0),0),AU32))</f>
        <v/>
      </c>
      <c r="AL32" s="109" t="str">
        <f>Montagem!AU24</f>
        <v/>
      </c>
      <c r="AM32" s="110" t="str">
        <f>Montagem!AV24</f>
        <v/>
      </c>
      <c r="AN32" s="110" t="str">
        <f>Montagem!AW24</f>
        <v/>
      </c>
      <c r="AO32" s="110" t="str">
        <f>Montagem!AX24</f>
        <v/>
      </c>
      <c r="AP32" s="110" t="str">
        <f>Montagem!AY24</f>
        <v/>
      </c>
      <c r="AQ32" s="110" t="str">
        <f>Montagem!AZ24</f>
        <v/>
      </c>
      <c r="AR32" s="114"/>
      <c r="AS32" s="111">
        <f>Montagem!AO24</f>
        <v>1</v>
      </c>
      <c r="AT32" s="111" t="str">
        <f>Montagem!BA24</f>
        <v/>
      </c>
      <c r="AU32" s="111" t="str">
        <f>Montagem!AP24</f>
        <v/>
      </c>
      <c r="AV32" s="111" t="str">
        <f>Montagem!BB24</f>
        <v/>
      </c>
      <c r="AW32" s="106" t="str">
        <f>IF(AV32="",AT32,AV32)</f>
        <v/>
      </c>
      <c r="AX32" s="106" t="str">
        <f>IF(AT33="C",'Dados de Base'!$D$5*0.1,IF(AT33="E",5,IF(AR32="",AW32,AR32)))</f>
        <v/>
      </c>
      <c r="AY32" s="108"/>
      <c r="AZ32" s="102" t="str">
        <f>IF(BL32="","",HYPERLINK(OFFSET(Biblioteca!$B$2,MATCH(BL32,Biblioteca!$A$3:$A$200,0),0),BL32))</f>
        <v>Cadeira Flexora</v>
      </c>
      <c r="BC32" s="109" t="str">
        <f>Montagem!BJ24</f>
        <v>Bi-SET</v>
      </c>
      <c r="BD32" s="110">
        <f>Montagem!BK24</f>
        <v>2</v>
      </c>
      <c r="BE32" s="110">
        <f>Montagem!BL24</f>
        <v>10</v>
      </c>
      <c r="BF32" s="110" t="str">
        <f>Montagem!BM24</f>
        <v/>
      </c>
      <c r="BG32" s="110">
        <f>Montagem!BN24</f>
        <v>1</v>
      </c>
      <c r="BH32" s="110">
        <f>Montagem!BO24</f>
        <v>2</v>
      </c>
      <c r="BI32" s="113"/>
      <c r="BJ32" s="111">
        <f>Montagem!BD24</f>
        <v>3</v>
      </c>
      <c r="BK32" s="111">
        <f>Montagem!BP24</f>
        <v>15.435</v>
      </c>
      <c r="BL32" s="111" t="str">
        <f>Montagem!BE24</f>
        <v>Cadeira Flexora</v>
      </c>
      <c r="BM32" s="111" t="str">
        <f>Montagem!BQ24</f>
        <v/>
      </c>
      <c r="BN32" s="106">
        <f>IF(BM32="",BK32,BM32)</f>
        <v>15.435</v>
      </c>
      <c r="BO32" s="106">
        <f>IF(BK33="C",'Dados de Base'!$D$5*0.1,IF(BK33="E",5,IF(BI32="",BN32,BI32)))</f>
        <v>15.435</v>
      </c>
      <c r="BP32" s="108"/>
      <c r="BQ32" s="102" t="str">
        <f>IF(CC32="","",HYPERLINK(OFFSET(Biblioteca!$B$2,MATCH(CC32,Biblioteca!$A$3:$A$200,0),0),CC32))</f>
        <v>Panturrilha Leg Press</v>
      </c>
      <c r="BT32" s="109" t="str">
        <f>Montagem!BY24</f>
        <v>Bi-SET</v>
      </c>
      <c r="BU32" s="110">
        <f>Montagem!BZ24</f>
        <v>4</v>
      </c>
      <c r="BV32" s="110">
        <f>Montagem!CA24</f>
        <v>10</v>
      </c>
      <c r="BW32" s="110">
        <f>Montagem!CB24</f>
        <v>45</v>
      </c>
      <c r="BX32" s="110">
        <f>Montagem!CC24</f>
        <v>1</v>
      </c>
      <c r="BY32" s="110">
        <f>Montagem!CD24</f>
        <v>2</v>
      </c>
      <c r="BZ32" s="113"/>
      <c r="CA32" s="111">
        <f>Montagem!BS24</f>
        <v>2</v>
      </c>
      <c r="CB32" s="111">
        <f>Montagem!CE24</f>
        <v>220.5</v>
      </c>
      <c r="CC32" s="111" t="str">
        <f>Montagem!BT24</f>
        <v>Panturrilha Leg Press</v>
      </c>
      <c r="CD32" s="111" t="str">
        <f>Montagem!CF24</f>
        <v/>
      </c>
      <c r="CE32" s="106">
        <f>IF(CD32="",CB32,CD32)</f>
        <v>220.5</v>
      </c>
      <c r="CF32" s="106">
        <f>IF(CB33="C",'Dados de Base'!$D$5*0.1,IF(CB33="E",5,IF(BZ32="",CE32,BZ32)))</f>
        <v>220.5</v>
      </c>
      <c r="CG32" s="108"/>
      <c r="CH32" s="115" t="str">
        <f>IF(CT32="","",HYPERLINK(OFFSET(Biblioteca!$B$2,MATCH(CT32,Biblioteca!$A$3:$A$200,0),0),CT32))</f>
        <v/>
      </c>
      <c r="CK32" s="109" t="str">
        <f>Montagem!CN24</f>
        <v/>
      </c>
      <c r="CL32" s="110" t="str">
        <f>Montagem!CO24</f>
        <v/>
      </c>
      <c r="CM32" s="110" t="str">
        <f>Montagem!CP24</f>
        <v/>
      </c>
      <c r="CN32" s="110" t="str">
        <f>Montagem!CQ24</f>
        <v/>
      </c>
      <c r="CO32" s="110" t="str">
        <f>Montagem!CR24</f>
        <v/>
      </c>
      <c r="CP32" s="110" t="str">
        <f>Montagem!CS24</f>
        <v/>
      </c>
      <c r="CQ32" s="114"/>
      <c r="CR32" s="111">
        <f>Montagem!CH24</f>
        <v>1</v>
      </c>
      <c r="CS32" s="111" t="str">
        <f>Montagem!CT24</f>
        <v/>
      </c>
      <c r="CT32" s="111" t="str">
        <f>Montagem!CI24</f>
        <v/>
      </c>
      <c r="CU32" s="111" t="str">
        <f>Montagem!CU24</f>
        <v/>
      </c>
      <c r="CV32" s="106" t="str">
        <f>IF(CU32="",CS32,CU32)</f>
        <v/>
      </c>
      <c r="CW32" s="106" t="str">
        <f>IF(CS33="C",'Dados de Base'!$D$5*0.1,IF(CS33="E",5,IF(CQ32="",CV32,CQ32)))</f>
        <v/>
      </c>
      <c r="CX32" s="108"/>
      <c r="CY32" s="115" t="str">
        <f>IF(DK32="","",HYPERLINK(OFFSET(Biblioteca!$B$2,MATCH(DK32,Biblioteca!$A$3:$A$200,0),0),DK32))</f>
        <v/>
      </c>
      <c r="DB32" s="130" t="str">
        <f>Montagem!DC24</f>
        <v/>
      </c>
      <c r="DC32" s="131" t="str">
        <f>Montagem!DD24</f>
        <v/>
      </c>
      <c r="DD32" s="131" t="str">
        <f>Montagem!DE24</f>
        <v/>
      </c>
      <c r="DE32" s="131" t="str">
        <f>Montagem!DF24</f>
        <v/>
      </c>
      <c r="DF32" s="131" t="str">
        <f>Montagem!DG24</f>
        <v/>
      </c>
      <c r="DG32" s="131" t="str">
        <f>Montagem!DH24</f>
        <v/>
      </c>
      <c r="DH32" s="114"/>
      <c r="DI32" s="111">
        <f>Montagem!CW24</f>
        <v>1</v>
      </c>
      <c r="DJ32" s="111" t="str">
        <f>Montagem!DI24</f>
        <v/>
      </c>
      <c r="DK32" s="111" t="str">
        <f>Montagem!CX24</f>
        <v/>
      </c>
      <c r="DL32" s="111" t="str">
        <f>Montagem!DJ24</f>
        <v/>
      </c>
      <c r="DM32" s="106" t="str">
        <f>IF(DL32="",DJ32,DL32)</f>
        <v/>
      </c>
      <c r="DN32" s="106" t="str">
        <f>IF(DJ33="C",'Dados de Base'!$D$5*0.1,IF(DJ33="E",5,IF(DH32="",DM32,DH32)))</f>
        <v/>
      </c>
      <c r="DO32" s="108"/>
      <c r="DP32" s="106"/>
      <c r="DQ32" s="106"/>
      <c r="DR32" s="106"/>
      <c r="DS32" s="106"/>
      <c r="DT32" s="106"/>
      <c r="DU32" s="106"/>
      <c r="DV32" s="106"/>
      <c r="DW32" s="106"/>
      <c r="DX32" s="106"/>
      <c r="DY32" s="106"/>
    </row>
    <row r="33">
      <c r="A33" s="117" t="str">
        <f>IF(A32="","",IFS(L33="A",Montagem!$C$30,N33="T","Realizar a maior quantidade de repetições por "&amp;F32&amp;" segundos | ",N33="I",IF(M33="U","Manter a posição por "&amp;F32&amp;" segundos de um lado e trocar para o outro na sequência | ","Manter a posição por "&amp;F32&amp;" segundos | "),M33="A","Realizar alternadamente "&amp;F32&amp;" repetições cada lado | ",M33="U","Realizar "&amp;F32&amp;" repetições de um lado e trocar para o outro na sequência | ",L33="P",OFFSET(Biblioteca!$H$2,MATCH(M32,Biblioteca!$A$3:$A$200,0),0),TRUE,"")&amp;IF(N33="R","Ajuste a carga para que tenha "&amp;$K$2&amp;" repetições de reserva",""))</f>
        <v>Ajuste a carga para que tenha 0 a 2 repetições de reserva</v>
      </c>
      <c r="E33" s="118" t="str">
        <f>IF(A32="","",IFS(L33="H","Carga Sugerida: "&amp;ROUNDUP(O32/2,0)&amp;" kg de cada lado (Total: "&amp;ROUNDUP(O32/2,0)*2&amp;" kg)",L33="C","Este exercício usa o Peso Corporal como carga",L33="E","Este exercício usa a resistência da banda elástica como carga",L33="O","Carga Sugerida: "&amp;INT(O32)&amp;" kg",TRUE,""))</f>
        <v>Carga Sugerida: 220 kg</v>
      </c>
      <c r="J33" s="66"/>
      <c r="K33" s="126">
        <f>K32</f>
        <v>2</v>
      </c>
      <c r="L33" s="120" t="str">
        <f>LEFT(O33)</f>
        <v>O</v>
      </c>
      <c r="M33" s="121" t="str">
        <f>MID(O33,2,1)</f>
        <v>O</v>
      </c>
      <c r="N33" s="122" t="str">
        <f>RIGHT(O33)</f>
        <v>R</v>
      </c>
      <c r="O33" s="123" t="str">
        <f>IF(M32="","",OFFSET(Biblioteca!$I$2,MATCH(M32,Biblioteca!$A$3:$A$200,0),0))</f>
        <v>OOR</v>
      </c>
      <c r="P33" s="124"/>
      <c r="Q33" s="125"/>
      <c r="R33" s="117" t="str">
        <f>IF(R32="","",IFS(AC33="A",Montagem!$D$30,AE33="T","Realizar a maior quantidade de repetições por "&amp;W32&amp;" segundos | ",AE33="I",IF(AD33="U","Manter a posição por "&amp;W32&amp;" segundos de um lado e trocar para o outro na sequência | ","Manter a posição por "&amp;W32&amp;" segundos | "),AD33="A","Realizar alternadamente "&amp;W32&amp;" repetições cada lado | ",AD33="U","Realizar "&amp;W32&amp;" repetições de um lado e trocar para o outro na sequência | ",AC33="P",OFFSET(Biblioteca!$H$2,MATCH(AD32,Biblioteca!$A$3:$A$200,0),0),TRUE,"")&amp;IF(AE33="R","Ajuste a carga para que tenha "&amp;$K$2&amp;" repetições de reserva",""))</f>
        <v>Realizar 10 repetições de um lado e trocar para o outro na sequência | Ajuste a carga para que tenha 0 a 2 repetições de reserva</v>
      </c>
      <c r="V33" s="118" t="str">
        <f>IF(R32="","",IFS(AC33="H","Carga Sugerida: "&amp;ROUNDUP(AF32/2,0)&amp;" kg de cada lado (Total: "&amp;ROUNDUP(AF32/2,0)*2&amp;" kg)",AC33="C","Este exercício usa o Peso Corporal como carga",AC33="E","Este exercício usa a resistência da banda elástica como carga",AC33="O","Carga Sugerida: "&amp;INT(AF32)&amp;" kg",TRUE,""))</f>
        <v>Este exercício usa a resistência da banda elástica como carga</v>
      </c>
      <c r="AA33" s="66"/>
      <c r="AB33" s="126">
        <f>AB32</f>
        <v>2</v>
      </c>
      <c r="AC33" s="120" t="str">
        <f>LEFT(AF33)</f>
        <v>E</v>
      </c>
      <c r="AD33" s="121" t="str">
        <f>MID(AF33,2,1)</f>
        <v>U</v>
      </c>
      <c r="AE33" s="122" t="str">
        <f>RIGHT(AF33)</f>
        <v>R</v>
      </c>
      <c r="AF33" s="123" t="str">
        <f>IF(AD32="","",OFFSET(Biblioteca!$I$2,MATCH(AD32,Biblioteca!$A$3:$A$200,0),0))</f>
        <v>EUR</v>
      </c>
      <c r="AG33" s="124"/>
      <c r="AH33" s="125"/>
      <c r="AI33" s="117" t="str">
        <f>IF(AI32="","",IFS(AT33="A",Montagem!$E$30,AV33="T","Realizar a maior quantidade de repetições por "&amp;AN32&amp;" segundos | ",AV33="I",IF(AU33="U","Manter a posição por "&amp;AN32&amp;" segundos de um lado e trocar para o outro na sequência | ","Manter a posição por "&amp;AN32&amp;" segundos | "),AU33="A","Realizar alternadamente "&amp;AN32&amp;" repetições cada lado | ",AU33="U","Realizar "&amp;AN32&amp;" repetições de um lado e trocar para o outro na sequência | ",AT33="P",OFFSET(Biblioteca!$H$2,MATCH(AU32,Biblioteca!$A$3:$A$200,0),0),TRUE,"")&amp;IF(AV33="R","Ajuste a carga para que tenha "&amp;$K$2&amp;" repetições de reserva",""))</f>
        <v/>
      </c>
      <c r="AM33" s="118" t="str">
        <f>IF(AI32="","",IFS(AT33="H","Carga Sugerida: "&amp;ROUNDUP(AW32/2,0)&amp;" kg de cada lado (Total: "&amp;ROUNDUP(AW32/2,0)*2&amp;" kg)",AT33="C","Este exercício usa o Peso Corporal como carga",AT33="E","Este exercício usa a resistência da banda elástica como carga",AT33="O","Carga Sugerida: "&amp;INT(AW32)&amp;" kg",TRUE,""))</f>
        <v/>
      </c>
      <c r="AR33" s="66"/>
      <c r="AS33" s="126">
        <f>AS32</f>
        <v>1</v>
      </c>
      <c r="AT33" s="120" t="str">
        <f>LEFT(AW33)</f>
        <v/>
      </c>
      <c r="AU33" s="121" t="str">
        <f>MID(AW33,2,1)</f>
        <v/>
      </c>
      <c r="AV33" s="122" t="str">
        <f>RIGHT(AW33)</f>
        <v/>
      </c>
      <c r="AW33" s="123" t="str">
        <f>IF(AU32="","",OFFSET(Biblioteca!$I$2,MATCH(AU32,Biblioteca!$A$3:$A$200,0),0))</f>
        <v/>
      </c>
      <c r="AX33" s="124"/>
      <c r="AY33" s="125"/>
      <c r="AZ33" s="117" t="str">
        <f>IF(AZ32="","",IFS(BK33="A",Montagem!$F$30,BM33="T","Realizar a maior quantidade de repetições por "&amp;BE32&amp;" segundos | ",BM33="I",IF(BL33="U","Manter a posição por "&amp;BE32&amp;" segundos de um lado e trocar para o outro na sequência | ","Manter a posição por "&amp;BE32&amp;" segundos | "),BL33="A","Realizar alternadamente "&amp;BE32&amp;" repetições cada lado | ",BL33="U","Realizar "&amp;BE32&amp;" repetições de um lado e trocar para o outro na sequência | ",BK33="P",OFFSET(Biblioteca!$H$2,MATCH(BL32,Biblioteca!$A$3:$A$200,0),0),TRUE,"")&amp;IF(BM33="R","Ajuste a carga para que tenha "&amp;$K$2&amp;" repetições de reserva",""))</f>
        <v>Ajuste a carga para que tenha 0 a 2 repetições de reserva</v>
      </c>
      <c r="BD33" s="118" t="str">
        <f>IF(AZ32="","",IFS(BK33="H","Carga Sugerida: "&amp;ROUNDUP(BN32/2,0)&amp;" kg de cada lado (Total: "&amp;ROUNDUP(BN32/2,0)*2&amp;" kg)",BK33="C","Este exercício usa o Peso Corporal como carga",BK33="E","Este exercício usa a resistência da banda elástica como carga",BK33="O","Carga Sugerida: "&amp;INT(BN32)&amp;" kg",TRUE,""))</f>
        <v>Carga Sugerida: 15 kg</v>
      </c>
      <c r="BI33" s="66"/>
      <c r="BJ33" s="126">
        <f>BJ32</f>
        <v>3</v>
      </c>
      <c r="BK33" s="120" t="str">
        <f>LEFT(BN33)</f>
        <v>O</v>
      </c>
      <c r="BL33" s="121" t="str">
        <f>MID(BN33,2,1)</f>
        <v>O</v>
      </c>
      <c r="BM33" s="122" t="str">
        <f>RIGHT(BN33)</f>
        <v>R</v>
      </c>
      <c r="BN33" s="123" t="str">
        <f>IF(BL32="","",OFFSET(Biblioteca!$I$2,MATCH(BL32,Biblioteca!$A$3:$A$200,0),0))</f>
        <v>OOR</v>
      </c>
      <c r="BO33" s="124"/>
      <c r="BP33" s="125"/>
      <c r="BQ33" s="117" t="str">
        <f>IF(BQ32="","",IFS(CB33="A",Montagem!$G$30,CD33="T","Realizar a maior quantidade de repetições por "&amp;BV32&amp;" segundos | ",CD33="I",IF(CC33="U","Manter a posição por "&amp;BV32&amp;" segundos de um lado e trocar para o outro na sequência | ","Manter a posição por "&amp;BV32&amp;" segundos | "),CC33="A","Realizar alternadamente "&amp;BV32&amp;" repetições cada lado | ",CC33="U","Realizar "&amp;BV32&amp;" repetições de um lado e trocar para o outro na sequência | ",CB33="P",OFFSET(Biblioteca!$H$2,MATCH(CC32,Biblioteca!$A$3:$A$200,0),0),TRUE,"")&amp;IF(CD33="R","Ajuste a carga para que tenha "&amp;$K$2&amp;" repetições de reserva",""))</f>
        <v>Ajuste a carga para que tenha 0 a 2 repetições de reserva</v>
      </c>
      <c r="BU33" s="118" t="str">
        <f>IF(BQ32="","",IFS(CB33="H","Carga Sugerida: "&amp;ROUNDUP(CE32/2,0)&amp;" kg de cada lado (Total: "&amp;ROUNDUP(CE32/2,0)*2&amp;" kg)",CB33="C","Este exercício usa o Peso Corporal como carga",CB33="E","Este exercício usa a resistência da banda elástica como carga",CB33="O","Carga Sugerida: "&amp;INT(CE32)&amp;" kg",TRUE,""))</f>
        <v>Carga Sugerida: 220 kg</v>
      </c>
      <c r="BZ33" s="66"/>
      <c r="CA33" s="126">
        <f>CA32</f>
        <v>2</v>
      </c>
      <c r="CB33" s="120" t="str">
        <f>LEFT(CE33)</f>
        <v>O</v>
      </c>
      <c r="CC33" s="121" t="str">
        <f>MID(CE33,2,1)</f>
        <v>O</v>
      </c>
      <c r="CD33" s="122" t="str">
        <f>RIGHT(CE33)</f>
        <v>R</v>
      </c>
      <c r="CE33" s="123" t="str">
        <f>IF(CC32="","",OFFSET(Biblioteca!$I$2,MATCH(CC32,Biblioteca!$A$3:$A$200,0),0))</f>
        <v>OOR</v>
      </c>
      <c r="CF33" s="124"/>
      <c r="CG33" s="125"/>
      <c r="CH33" s="117" t="str">
        <f>IF(CH32="","",IFS(CS33="A",Montagem!$H$30,CU33="T","Realizar a maior quantidade de repetições por "&amp;CM32&amp;" segundos | ",CU33="I",IF(CT33="U","Manter a posição por "&amp;CM32&amp;" segundos de um lado e trocar para o outro na sequência | ","Manter a posição por "&amp;CM32&amp;" segundos | "),CT33="A","Realizar alternadamente "&amp;CM32&amp;" repetições cada lado | ",CT33="U","Realizar "&amp;CM32&amp;" repetições de um lado e trocar para o outro na sequência | ",CS33="P",OFFSET(Biblioteca!$H$2,MATCH(CT32,Biblioteca!$A$3:$A$200,0),0),TRUE,"")&amp;IF(CU33="R","Ajuste a carga para que tenha "&amp;$K$2&amp;" repetições de reserva",""))</f>
        <v/>
      </c>
      <c r="CL33" s="118" t="str">
        <f>IF(CH32="","",IFS(CS33="H","Carga Sugerida: "&amp;ROUNDUP(CV32/2,0)&amp;" kg de cada lado (Total: "&amp;ROUNDUP(CV32/2,0)*2&amp;" kg)",CS33="C","Este exercício usa o Peso Corporal como carga",CS33="E","Este exercício usa a resistência da banda elástica como carga",CS33="O","Carga Sugerida: "&amp;INT(CV32)&amp;" kg",TRUE,""))</f>
        <v/>
      </c>
      <c r="CQ33" s="66"/>
      <c r="CR33" s="126">
        <f>CR32</f>
        <v>1</v>
      </c>
      <c r="CS33" s="120" t="str">
        <f>LEFT(CV33)</f>
        <v/>
      </c>
      <c r="CT33" s="121" t="str">
        <f>MID(CV33,2,1)</f>
        <v/>
      </c>
      <c r="CU33" s="122" t="str">
        <f>RIGHT(CV33)</f>
        <v/>
      </c>
      <c r="CV33" s="123" t="str">
        <f>IF(CT32="","",OFFSET(Biblioteca!$I$2,MATCH(CT32,Biblioteca!$A$3:$A$200,0),0))</f>
        <v/>
      </c>
      <c r="CW33" s="124"/>
      <c r="CX33" s="125"/>
      <c r="CY33" s="117" t="str">
        <f>IF(CY32="","",IFS(DJ33="A",Montagem!$I$30,DL33="T","Realizar a maior quantidade de repetições por "&amp;DD32&amp;" segundos | ",DL33="I",IF(DK33="U","Manter a posição por "&amp;DD32&amp;" segundos de um lado e trocar para o outro na sequência | ","Manter a posição por "&amp;DD32&amp;" segundos | "),DK33="A","Realizar alternadamente "&amp;DD32&amp;" repetições cada lado | ",DK33="U","Realizar "&amp;DD32&amp;" repetições de um lado e trocar para o outro na sequência | ",DJ33="P",OFFSET(Biblioteca!$H$2,MATCH(DK32,Biblioteca!$A$3:$A$200,0),0),TRUE,"")&amp;IF(DL33="R","Ajuste a carga para que tenha "&amp;$K$2&amp;" repetições de reserva",""))</f>
        <v/>
      </c>
      <c r="DC33" s="118" t="str">
        <f>IF(CY32="","",IFS(DJ33="H","Carga Sugerida: "&amp;ROUNDUP(DM32/2,0)&amp;" kg de cada lado (Total: "&amp;ROUNDUP(DM32/2,0)*2&amp;" kg)",DJ33="C","Este exercício usa o Peso Corporal como carga",DJ33="E","Este exercício usa a resistência da banda elástica como carga",DJ33="O","Carga Sugerida: "&amp;INT(DM32)&amp;" kg",TRUE,""))</f>
        <v/>
      </c>
      <c r="DH33" s="66"/>
      <c r="DI33" s="126">
        <f>DI32</f>
        <v>1</v>
      </c>
      <c r="DJ33" s="120" t="str">
        <f>LEFT(DM33)</f>
        <v/>
      </c>
      <c r="DK33" s="121" t="str">
        <f>MID(DM33,2,1)</f>
        <v/>
      </c>
      <c r="DL33" s="122" t="str">
        <f>RIGHT(DM33)</f>
        <v/>
      </c>
      <c r="DM33" s="123" t="str">
        <f>IF(DK32="","",OFFSET(Biblioteca!$I$2,MATCH(DK32,Biblioteca!$A$3:$A$200,0),0))</f>
        <v/>
      </c>
      <c r="DN33" s="124"/>
      <c r="DO33" s="125"/>
      <c r="DP33" s="57"/>
      <c r="DQ33" s="56"/>
      <c r="DR33" s="56"/>
      <c r="DS33" s="56"/>
      <c r="DT33" s="56"/>
      <c r="DU33" s="56"/>
      <c r="DV33" s="56"/>
      <c r="DW33" s="56"/>
      <c r="DX33" s="56"/>
      <c r="DY33" s="56"/>
    </row>
    <row r="34">
      <c r="A34" s="102" t="str">
        <f>IF(M34="","",HYPERLINK(OFFSET(Biblioteca!$B$2,MATCH(M34,Biblioteca!$A$3:$A$200,0),0),M34))</f>
        <v>Remada Frontal Máquina</v>
      </c>
      <c r="D34" s="103" t="str">
        <f>Montagem!Q25</f>
        <v>Bi-SET</v>
      </c>
      <c r="E34" s="104">
        <f>Montagem!R25</f>
        <v>4</v>
      </c>
      <c r="F34" s="104">
        <f>Montagem!S25</f>
        <v>10</v>
      </c>
      <c r="G34" s="104" t="str">
        <f>Montagem!T25</f>
        <v/>
      </c>
      <c r="H34" s="104">
        <f>Montagem!U25</f>
        <v>1</v>
      </c>
      <c r="I34" s="132">
        <f>Montagem!V25</f>
        <v>2</v>
      </c>
      <c r="J34" s="105"/>
      <c r="K34" s="106">
        <f>Montagem!K25</f>
        <v>3</v>
      </c>
      <c r="L34" s="128">
        <f>Montagem!W25</f>
        <v>68</v>
      </c>
      <c r="M34" s="111" t="str">
        <f>Montagem!L25</f>
        <v>Remada Frontal Máquina</v>
      </c>
      <c r="N34" s="111" t="str">
        <f>Montagem!X25</f>
        <v/>
      </c>
      <c r="O34" s="106">
        <f>IF(N34="",L34,N34)</f>
        <v>68</v>
      </c>
      <c r="P34" s="106">
        <f>IF(L35="C",'Dados de Base'!$D$5*0.1,IF(L35="E",5,IF(J34="",O34,J34)))</f>
        <v>68</v>
      </c>
      <c r="Q34" s="108"/>
      <c r="R34" s="102" t="str">
        <f>IF(AD34="","",HYPERLINK(OFFSET(Biblioteca!$B$2,MATCH(AD34,Biblioteca!$A$3:$A$200,0),0),AD34))</f>
        <v>Supino</v>
      </c>
      <c r="U34" s="109" t="str">
        <f>Montagem!AF25</f>
        <v>Bi-SET</v>
      </c>
      <c r="V34" s="110">
        <f>Montagem!AG25</f>
        <v>4</v>
      </c>
      <c r="W34" s="110">
        <f>Montagem!AH25</f>
        <v>10</v>
      </c>
      <c r="X34" s="110" t="str">
        <f>Montagem!AI25</f>
        <v/>
      </c>
      <c r="Y34" s="110">
        <f>Montagem!AJ25</f>
        <v>1</v>
      </c>
      <c r="Z34" s="110">
        <f>Montagem!AK25</f>
        <v>2</v>
      </c>
      <c r="AA34" s="113"/>
      <c r="AB34" s="111">
        <f>Montagem!Z25</f>
        <v>3</v>
      </c>
      <c r="AC34" s="111">
        <f>Montagem!AL25</f>
        <v>60</v>
      </c>
      <c r="AD34" s="129" t="str">
        <f>Montagem!AA25</f>
        <v>Supino</v>
      </c>
      <c r="AE34" s="111" t="str">
        <f>Montagem!AM25</f>
        <v/>
      </c>
      <c r="AF34" s="106">
        <f>IF(AE34="",AC34,AE34)</f>
        <v>60</v>
      </c>
      <c r="AG34" s="106">
        <f>IF(AC35="C",'Dados de Base'!$D$5*0.1,IF(AC35="E",5,IF(AA34="",AF34,AA34)))</f>
        <v>60</v>
      </c>
      <c r="AH34" s="108"/>
      <c r="AI34" s="115" t="str">
        <f>IF(AU34="","",HYPERLINK(OFFSET(Biblioteca!$B$2,MATCH(AU34,Biblioteca!$A$3:$A$200,0),0),AU34))</f>
        <v/>
      </c>
      <c r="AL34" s="109" t="str">
        <f>Montagem!AU25</f>
        <v/>
      </c>
      <c r="AM34" s="110" t="str">
        <f>Montagem!AV25</f>
        <v/>
      </c>
      <c r="AN34" s="110" t="str">
        <f>Montagem!AW25</f>
        <v/>
      </c>
      <c r="AO34" s="110" t="str">
        <f>Montagem!AX25</f>
        <v/>
      </c>
      <c r="AP34" s="110" t="str">
        <f>Montagem!AY25</f>
        <v/>
      </c>
      <c r="AQ34" s="110" t="str">
        <f>Montagem!AZ25</f>
        <v/>
      </c>
      <c r="AR34" s="114"/>
      <c r="AS34" s="111">
        <f>Montagem!AO25</f>
        <v>1</v>
      </c>
      <c r="AT34" s="111" t="str">
        <f>Montagem!BA25</f>
        <v/>
      </c>
      <c r="AU34" s="111" t="str">
        <f>Montagem!AP25</f>
        <v/>
      </c>
      <c r="AV34" s="111" t="str">
        <f>Montagem!BB25</f>
        <v/>
      </c>
      <c r="AW34" s="106" t="str">
        <f>IF(AV34="",AT34,AV34)</f>
        <v/>
      </c>
      <c r="AX34" s="106" t="str">
        <f>IF(AT35="C",'Dados de Base'!$D$5*0.1,IF(AT35="E",5,IF(AR34="",AW34,AR34)))</f>
        <v/>
      </c>
      <c r="AY34" s="108"/>
      <c r="AZ34" s="102" t="str">
        <f>IF(BL34="","",HYPERLINK(OFFSET(Biblioteca!$B$2,MATCH(BL34,Biblioteca!$A$3:$A$200,0),0),BL34))</f>
        <v>Cadeira Extensora</v>
      </c>
      <c r="BC34" s="109" t="str">
        <f>Montagem!BJ25</f>
        <v>Bi-SET</v>
      </c>
      <c r="BD34" s="110">
        <f>Montagem!BK25</f>
        <v>2</v>
      </c>
      <c r="BE34" s="110">
        <f>Montagem!BL25</f>
        <v>10</v>
      </c>
      <c r="BF34" s="110">
        <f>Montagem!BM25</f>
        <v>45</v>
      </c>
      <c r="BG34" s="110">
        <f>Montagem!BN25</f>
        <v>1</v>
      </c>
      <c r="BH34" s="110">
        <f>Montagem!BO25</f>
        <v>2</v>
      </c>
      <c r="BI34" s="113"/>
      <c r="BJ34" s="111">
        <f>Montagem!BD25</f>
        <v>3</v>
      </c>
      <c r="BK34" s="111">
        <f>Montagem!BP25</f>
        <v>15.435</v>
      </c>
      <c r="BL34" s="111" t="str">
        <f>Montagem!BE25</f>
        <v>Cadeira Extensora</v>
      </c>
      <c r="BM34" s="111" t="str">
        <f>Montagem!BQ25</f>
        <v/>
      </c>
      <c r="BN34" s="106">
        <f>IF(BM34="",BK34,BM34)</f>
        <v>15.435</v>
      </c>
      <c r="BO34" s="106">
        <f>IF(BK35="C",'Dados de Base'!$D$5*0.1,IF(BK35="E",5,IF(BI34="",BN34,BI34)))</f>
        <v>15.435</v>
      </c>
      <c r="BP34" s="108"/>
      <c r="BQ34" s="115" t="str">
        <f>IF(CC34="","",HYPERLINK(OFFSET(Biblioteca!$B$2,MATCH(CC34,Biblioteca!$A$3:$A$200,0),0),CC34))</f>
        <v>Pulley com pegada Supinada</v>
      </c>
      <c r="BT34" s="109" t="str">
        <f>Montagem!BY25</f>
        <v>Bi-SET</v>
      </c>
      <c r="BU34" s="110">
        <f>Montagem!BZ25</f>
        <v>4</v>
      </c>
      <c r="BV34" s="110">
        <f>Montagem!CA25</f>
        <v>10</v>
      </c>
      <c r="BW34" s="110" t="str">
        <f>Montagem!CB25</f>
        <v/>
      </c>
      <c r="BX34" s="110">
        <f>Montagem!CC25</f>
        <v>1</v>
      </c>
      <c r="BY34" s="110">
        <f>Montagem!CD25</f>
        <v>2</v>
      </c>
      <c r="BZ34" s="113"/>
      <c r="CA34" s="111">
        <f>Montagem!BS25</f>
        <v>3</v>
      </c>
      <c r="CB34" s="111">
        <f>Montagem!CE25</f>
        <v>0</v>
      </c>
      <c r="CC34" s="111" t="str">
        <f>Montagem!BT25</f>
        <v>Pulley com pegada Supinada</v>
      </c>
      <c r="CD34" s="111" t="str">
        <f>Montagem!CF25</f>
        <v/>
      </c>
      <c r="CE34" s="106">
        <f>IF(CD34="",CB34,CD34)</f>
        <v>0</v>
      </c>
      <c r="CF34" s="106">
        <f>IF(CB35="C",'Dados de Base'!$D$5*0.1,IF(CB35="E",5,IF(BZ34="",CE34,BZ34)))</f>
        <v>0</v>
      </c>
      <c r="CG34" s="108"/>
      <c r="CH34" s="115" t="str">
        <f>IF(CT34="","",HYPERLINK(OFFSET(Biblioteca!$B$2,MATCH(CT34,Biblioteca!$A$3:$A$200,0),0),CT34))</f>
        <v/>
      </c>
      <c r="CK34" s="109" t="str">
        <f>Montagem!CN25</f>
        <v/>
      </c>
      <c r="CL34" s="110" t="str">
        <f>Montagem!CO25</f>
        <v/>
      </c>
      <c r="CM34" s="110" t="str">
        <f>Montagem!CP25</f>
        <v/>
      </c>
      <c r="CN34" s="110" t="str">
        <f>Montagem!CQ25</f>
        <v/>
      </c>
      <c r="CO34" s="110" t="str">
        <f>Montagem!CR25</f>
        <v/>
      </c>
      <c r="CP34" s="110" t="str">
        <f>Montagem!CS25</f>
        <v/>
      </c>
      <c r="CQ34" s="114"/>
      <c r="CR34" s="111">
        <f>Montagem!CH25</f>
        <v>1</v>
      </c>
      <c r="CS34" s="111" t="str">
        <f>Montagem!CT25</f>
        <v/>
      </c>
      <c r="CT34" s="111" t="str">
        <f>Montagem!CI25</f>
        <v/>
      </c>
      <c r="CU34" s="111" t="str">
        <f>Montagem!CU25</f>
        <v/>
      </c>
      <c r="CV34" s="106" t="str">
        <f>IF(CU34="",CS34,CU34)</f>
        <v/>
      </c>
      <c r="CW34" s="106" t="str">
        <f>IF(CS35="C",'Dados de Base'!$D$5*0.1,IF(CS35="E",5,IF(CQ34="",CV34,CQ34)))</f>
        <v/>
      </c>
      <c r="CX34" s="108"/>
      <c r="CY34" s="115" t="str">
        <f>IF(DK34="","",HYPERLINK(OFFSET(Biblioteca!$B$2,MATCH(DK34,Biblioteca!$A$3:$A$200,0),0),DK34))</f>
        <v/>
      </c>
      <c r="DB34" s="130" t="str">
        <f>Montagem!DC25</f>
        <v/>
      </c>
      <c r="DC34" s="131" t="str">
        <f>Montagem!DD25</f>
        <v/>
      </c>
      <c r="DD34" s="131" t="str">
        <f>Montagem!DE25</f>
        <v/>
      </c>
      <c r="DE34" s="131" t="str">
        <f>Montagem!DF25</f>
        <v/>
      </c>
      <c r="DF34" s="131" t="str">
        <f>Montagem!DG25</f>
        <v/>
      </c>
      <c r="DG34" s="131" t="str">
        <f>Montagem!DH25</f>
        <v/>
      </c>
      <c r="DH34" s="114"/>
      <c r="DI34" s="111">
        <f>Montagem!CW25</f>
        <v>1</v>
      </c>
      <c r="DJ34" s="111" t="str">
        <f>Montagem!DI25</f>
        <v/>
      </c>
      <c r="DK34" s="111" t="str">
        <f>Montagem!CX25</f>
        <v/>
      </c>
      <c r="DL34" s="111" t="str">
        <f>Montagem!DJ25</f>
        <v/>
      </c>
      <c r="DM34" s="106" t="str">
        <f>IF(DL34="",DJ34,DL34)</f>
        <v/>
      </c>
      <c r="DN34" s="106" t="str">
        <f>IF(DJ35="C",'Dados de Base'!$D$5*0.1,IF(DJ35="E",5,IF(DH34="",DM34,DH34)))</f>
        <v/>
      </c>
      <c r="DO34" s="108"/>
      <c r="DP34" s="106"/>
      <c r="DQ34" s="106"/>
      <c r="DR34" s="106"/>
      <c r="DS34" s="106"/>
      <c r="DT34" s="106"/>
      <c r="DU34" s="106"/>
      <c r="DV34" s="106"/>
      <c r="DW34" s="106"/>
      <c r="DX34" s="106"/>
      <c r="DY34" s="106"/>
    </row>
    <row r="35">
      <c r="A35" s="117" t="str">
        <f>IF(A34="","",IFS(L35="A",Montagem!$C$30,N35="T","Realizar a maior quantidade de repetições por "&amp;F34&amp;" segundos | ",N35="I",IF(M35="U","Manter a posição por "&amp;F34&amp;" segundos de um lado e trocar para o outro na sequência | ","Manter a posição por "&amp;F34&amp;" segundos | "),M35="A","Realizar alternadamente "&amp;F34&amp;" repetições cada lado | ",M35="U","Realizar "&amp;F34&amp;" repetições de um lado e trocar para o outro na sequência | ",L35="P",OFFSET(Biblioteca!$H$2,MATCH(M34,Biblioteca!$A$3:$A$200,0),0),TRUE,"")&amp;IF(N35="R","Ajuste a carga para que tenha "&amp;$K$2&amp;" repetições de reserva",""))</f>
        <v>Ajuste a carga para que tenha 0 a 2 repetições de reserva</v>
      </c>
      <c r="E35" s="118" t="str">
        <f>IF(A34="","",IFS(L35="H","Carga Sugerida: "&amp;ROUNDUP(O34/2,0)&amp;" kg de cada lado (Total: "&amp;ROUNDUP(O34/2,0)*2&amp;" kg)",L35="C","Este exercício usa o Peso Corporal como carga",L35="E","Este exercício usa a resistência da banda elástica como carga",L35="O","Carga Sugerida: "&amp;INT(O34)&amp;" kg",TRUE,""))</f>
        <v>Carga Sugerida: 68 kg</v>
      </c>
      <c r="J35" s="66"/>
      <c r="K35" s="126">
        <f>K34</f>
        <v>3</v>
      </c>
      <c r="L35" s="120" t="str">
        <f>LEFT(O35)</f>
        <v>O</v>
      </c>
      <c r="M35" s="121" t="str">
        <f>MID(O35,2,1)</f>
        <v>O</v>
      </c>
      <c r="N35" s="122" t="str">
        <f>RIGHT(O35)</f>
        <v>R</v>
      </c>
      <c r="O35" s="123" t="str">
        <f>IF(M34="","",OFFSET(Biblioteca!$I$2,MATCH(M34,Biblioteca!$A$3:$A$200,0),0))</f>
        <v>OOR</v>
      </c>
      <c r="P35" s="124"/>
      <c r="Q35" s="125"/>
      <c r="R35" s="117" t="str">
        <f>IF(R34="","",IFS(AC35="A",Montagem!$D$30,AE35="T","Realizar a maior quantidade de repetições por "&amp;W34&amp;" segundos | ",AE35="I",IF(AD35="U","Manter a posição por "&amp;W34&amp;" segundos de um lado e trocar para o outro na sequência | ","Manter a posição por "&amp;W34&amp;" segundos | "),AD35="A","Realizar alternadamente "&amp;W34&amp;" repetições cada lado | ",AD35="U","Realizar "&amp;W34&amp;" repetições de um lado e trocar para o outro na sequência | ",AC35="P",OFFSET(Biblioteca!$H$2,MATCH(AD34,Biblioteca!$A$3:$A$200,0),0),TRUE,"")&amp;IF(AE35="R","Ajuste a carga para que tenha "&amp;$K$2&amp;" repetições de reserva",""))</f>
        <v>Ajuste a carga para que tenha 0 a 2 repetições de reserva</v>
      </c>
      <c r="V35" s="118" t="str">
        <f>IF(R34="","",IFS(AC35="H","Carga Sugerida: "&amp;ROUNDUP(AF34/2,0)&amp;" kg de cada lado (Total: "&amp;ROUNDUP(AF34/2,0)*2&amp;" kg)",AC35="C","Este exercício usa o Peso Corporal como carga",AC35="E","Este exercício usa a resistência da banda elástica como carga",AC35="O","Carga Sugerida: "&amp;INT(AF34)&amp;" kg",TRUE,""))</f>
        <v>Carga Sugerida: 60 kg</v>
      </c>
      <c r="AA35" s="66"/>
      <c r="AB35" s="126">
        <f>AB34</f>
        <v>3</v>
      </c>
      <c r="AC35" s="120" t="str">
        <f>LEFT(AF35)</f>
        <v>O</v>
      </c>
      <c r="AD35" s="121" t="str">
        <f>MID(AF35,2,1)</f>
        <v>O</v>
      </c>
      <c r="AE35" s="122" t="str">
        <f>RIGHT(AF35)</f>
        <v>R</v>
      </c>
      <c r="AF35" s="123" t="str">
        <f>IF(AD34="","",OFFSET(Biblioteca!$I$2,MATCH(AD34,Biblioteca!$A$3:$A$200,0),0))</f>
        <v>OOR</v>
      </c>
      <c r="AG35" s="124"/>
      <c r="AH35" s="125"/>
      <c r="AI35" s="117" t="str">
        <f>IF(AI34="","",IFS(AT35="A",Montagem!$E$30,AV35="T","Realizar a maior quantidade de repetições por "&amp;AN34&amp;" segundos | ",AV35="I",IF(AU35="U","Manter a posição por "&amp;AN34&amp;" segundos de um lado e trocar para o outro na sequência | ","Manter a posição por "&amp;AN34&amp;" segundos | "),AU35="A","Realizar alternadamente "&amp;AN34&amp;" repetições cada lado | ",AU35="U","Realizar "&amp;AN34&amp;" repetições de um lado e trocar para o outro na sequência | ",AT35="P",OFFSET(Biblioteca!$H$2,MATCH(AU34,Biblioteca!$A$3:$A$200,0),0),TRUE,"")&amp;IF(AV35="R","Ajuste a carga para que tenha "&amp;$K$2&amp;" repetições de reserva",""))</f>
        <v/>
      </c>
      <c r="AM35" s="118" t="str">
        <f>IF(AI34="","",IFS(AT35="H","Carga Sugerida: "&amp;ROUNDUP(AW34/2,0)&amp;" kg de cada lado (Total: "&amp;ROUNDUP(AW34/2,0)*2&amp;" kg)",AT35="C","Este exercício usa o Peso Corporal como carga",AT35="E","Este exercício usa a resistência da banda elástica como carga",AT35="O","Carga Sugerida: "&amp;INT(AW34)&amp;" kg",TRUE,""))</f>
        <v/>
      </c>
      <c r="AR35" s="66"/>
      <c r="AS35" s="126">
        <f>AS34</f>
        <v>1</v>
      </c>
      <c r="AT35" s="120" t="str">
        <f>LEFT(AW35)</f>
        <v/>
      </c>
      <c r="AU35" s="121" t="str">
        <f>MID(AW35,2,1)</f>
        <v/>
      </c>
      <c r="AV35" s="122" t="str">
        <f>RIGHT(AW35)</f>
        <v/>
      </c>
      <c r="AW35" s="123" t="str">
        <f>IF(AU34="","",OFFSET(Biblioteca!$I$2,MATCH(AU34,Biblioteca!$A$3:$A$200,0),0))</f>
        <v/>
      </c>
      <c r="AX35" s="124"/>
      <c r="AY35" s="125"/>
      <c r="AZ35" s="117" t="str">
        <f>IF(AZ34="","",IFS(BK35="A",Montagem!$F$30,BM35="T","Realizar a maior quantidade de repetições por "&amp;BE34&amp;" segundos | ",BM35="I",IF(BL35="U","Manter a posição por "&amp;BE34&amp;" segundos de um lado e trocar para o outro na sequência | ","Manter a posição por "&amp;BE34&amp;" segundos | "),BL35="A","Realizar alternadamente "&amp;BE34&amp;" repetições cada lado | ",BL35="U","Realizar "&amp;BE34&amp;" repetições de um lado e trocar para o outro na sequência | ",BK35="P",OFFSET(Biblioteca!$H$2,MATCH(BL34,Biblioteca!$A$3:$A$200,0),0),TRUE,"")&amp;IF(BM35="R","Ajuste a carga para que tenha "&amp;$K$2&amp;" repetições de reserva",""))</f>
        <v>Ajuste a carga para que tenha 0 a 2 repetições de reserva</v>
      </c>
      <c r="BD35" s="118" t="str">
        <f>IF(AZ34="","",IFS(BK35="H","Carga Sugerida: "&amp;ROUNDUP(BN34/2,0)&amp;" kg de cada lado (Total: "&amp;ROUNDUP(BN34/2,0)*2&amp;" kg)",BK35="C","Este exercício usa o Peso Corporal como carga",BK35="E","Este exercício usa a resistência da banda elástica como carga",BK35="O","Carga Sugerida: "&amp;INT(BN34)&amp;" kg",TRUE,""))</f>
        <v>Carga Sugerida: 15 kg</v>
      </c>
      <c r="BI35" s="66"/>
      <c r="BJ35" s="126">
        <f>BJ34</f>
        <v>3</v>
      </c>
      <c r="BK35" s="120" t="str">
        <f>LEFT(BN35)</f>
        <v>O</v>
      </c>
      <c r="BL35" s="121" t="str">
        <f>MID(BN35,2,1)</f>
        <v>O</v>
      </c>
      <c r="BM35" s="122" t="str">
        <f>RIGHT(BN35)</f>
        <v>R</v>
      </c>
      <c r="BN35" s="123" t="str">
        <f>IF(BL34="","",OFFSET(Biblioteca!$I$2,MATCH(BL34,Biblioteca!$A$3:$A$200,0),0))</f>
        <v>OOR</v>
      </c>
      <c r="BO35" s="124"/>
      <c r="BP35" s="125"/>
      <c r="BQ35" s="117" t="str">
        <f>IF(BQ34="","",IFS(CB35="A",Montagem!$G$30,CD35="T","Realizar a maior quantidade de repetições por "&amp;BV34&amp;" segundos | ",CD35="I",IF(CC35="U","Manter a posição por "&amp;BV34&amp;" segundos de um lado e trocar para o outro na sequência | ","Manter a posição por "&amp;BV34&amp;" segundos | "),CC35="A","Realizar alternadamente "&amp;BV34&amp;" repetições cada lado | ",CC35="U","Realizar "&amp;BV34&amp;" repetições de um lado e trocar para o outro na sequência | ",CB35="P",OFFSET(Biblioteca!$H$2,MATCH(CC34,Biblioteca!$A$3:$A$200,0),0),TRUE,"")&amp;IF(CD35="R","Ajuste a carga para que tenha "&amp;$K$2&amp;" repetições de reserva",""))</f>
        <v/>
      </c>
      <c r="BU35" s="118" t="str">
        <f>IF(BQ34="","",IFS(CB35="H","Carga Sugerida: "&amp;ROUNDUP(CE34/2,0)&amp;" kg de cada lado (Total: "&amp;ROUNDUP(CE34/2,0)*2&amp;" kg)",CB35="C","Este exercício usa o Peso Corporal como carga",CB35="E","Este exercício usa a resistência da banda elástica como carga",CB35="O","Carga Sugerida: "&amp;INT(CE34)&amp;" kg",TRUE,""))</f>
        <v/>
      </c>
      <c r="BZ35" s="66"/>
      <c r="CA35" s="126">
        <f>CA34</f>
        <v>3</v>
      </c>
      <c r="CB35" s="120" t="str">
        <f>LEFT(CE35)</f>
        <v/>
      </c>
      <c r="CC35" s="121" t="str">
        <f>MID(CE35,2,1)</f>
        <v/>
      </c>
      <c r="CD35" s="122" t="str">
        <f>RIGHT(CE35)</f>
        <v/>
      </c>
      <c r="CE35" s="123" t="str">
        <f>IF(CC34="","",OFFSET(Biblioteca!$I$2,MATCH(CC34,Biblioteca!$A$3:$A$200,0),0))</f>
        <v/>
      </c>
      <c r="CF35" s="124"/>
      <c r="CG35" s="125"/>
      <c r="CH35" s="117" t="str">
        <f>IF(CH34="","",IFS(CS35="A",Montagem!$H$30,CU35="T","Realizar a maior quantidade de repetições por "&amp;CM34&amp;" segundos | ",CU35="I",IF(CT35="U","Manter a posição por "&amp;CM34&amp;" segundos de um lado e trocar para o outro na sequência | ","Manter a posição por "&amp;CM34&amp;" segundos | "),CT35="A","Realizar alternadamente "&amp;CM34&amp;" repetições cada lado | ",CT35="U","Realizar "&amp;CM34&amp;" repetições de um lado e trocar para o outro na sequência | ",CS35="P",OFFSET(Biblioteca!$H$2,MATCH(CT34,Biblioteca!$A$3:$A$200,0),0),TRUE,"")&amp;IF(CU35="R","Ajuste a carga para que tenha "&amp;$K$2&amp;" repetições de reserva",""))</f>
        <v/>
      </c>
      <c r="CL35" s="118" t="str">
        <f>IF(CH34="","",IFS(CS35="H","Carga Sugerida: "&amp;ROUNDUP(CV34/2,0)&amp;" kg de cada lado (Total: "&amp;ROUNDUP(CV34/2,0)*2&amp;" kg)",CS35="C","Este exercício usa o Peso Corporal como carga",CS35="E","Este exercício usa a resistência da banda elástica como carga",CS35="O","Carga Sugerida: "&amp;INT(CV34)&amp;" kg",TRUE,""))</f>
        <v/>
      </c>
      <c r="CQ35" s="66"/>
      <c r="CR35" s="126">
        <f>CR34</f>
        <v>1</v>
      </c>
      <c r="CS35" s="120" t="str">
        <f>LEFT(CV35)</f>
        <v/>
      </c>
      <c r="CT35" s="121" t="str">
        <f>MID(CV35,2,1)</f>
        <v/>
      </c>
      <c r="CU35" s="122" t="str">
        <f>RIGHT(CV35)</f>
        <v/>
      </c>
      <c r="CV35" s="123" t="str">
        <f>IF(CT34="","",OFFSET(Biblioteca!$I$2,MATCH(CT34,Biblioteca!$A$3:$A$200,0),0))</f>
        <v/>
      </c>
      <c r="CW35" s="124"/>
      <c r="CX35" s="125"/>
      <c r="CY35" s="117" t="str">
        <f>IF(CY34="","",IFS(DJ35="A",Montagem!$I$30,DL35="T","Realizar a maior quantidade de repetições por "&amp;DD34&amp;" segundos | ",DL35="I",IF(DK35="U","Manter a posição por "&amp;DD34&amp;" segundos de um lado e trocar para o outro na sequência | ","Manter a posição por "&amp;DD34&amp;" segundos | "),DK35="A","Realizar alternadamente "&amp;DD34&amp;" repetições cada lado | ",DK35="U","Realizar "&amp;DD34&amp;" repetições de um lado e trocar para o outro na sequência | ",DJ35="P",OFFSET(Biblioteca!$H$2,MATCH(DK34,Biblioteca!$A$3:$A$200,0),0),TRUE,"")&amp;IF(DL35="R","Ajuste a carga para que tenha "&amp;$K$2&amp;" repetições de reserva",""))</f>
        <v/>
      </c>
      <c r="DC35" s="118" t="str">
        <f>IF(CY34="","",IFS(DJ35="H","Carga Sugerida: "&amp;ROUNDUP(DM34/2,0)&amp;" kg de cada lado (Total: "&amp;ROUNDUP(DM34/2,0)*2&amp;" kg)",DJ35="C","Este exercício usa o Peso Corporal como carga",DJ35="E","Este exercício usa a resistência da banda elástica como carga",DJ35="O","Carga Sugerida: "&amp;INT(DM34)&amp;" kg",TRUE,""))</f>
        <v/>
      </c>
      <c r="DH35" s="66"/>
      <c r="DI35" s="126">
        <f>DI34</f>
        <v>1</v>
      </c>
      <c r="DJ35" s="120" t="str">
        <f>LEFT(DM35)</f>
        <v/>
      </c>
      <c r="DK35" s="121" t="str">
        <f>MID(DM35,2,1)</f>
        <v/>
      </c>
      <c r="DL35" s="122" t="str">
        <f>RIGHT(DM35)</f>
        <v/>
      </c>
      <c r="DM35" s="123" t="str">
        <f>IF(DK34="","",OFFSET(Biblioteca!$I$2,MATCH(DK34,Biblioteca!$A$3:$A$200,0),0))</f>
        <v/>
      </c>
      <c r="DN35" s="124"/>
      <c r="DO35" s="125"/>
      <c r="DP35" s="57"/>
      <c r="DQ35" s="56"/>
      <c r="DR35" s="56"/>
      <c r="DS35" s="56"/>
      <c r="DT35" s="56"/>
      <c r="DU35" s="56"/>
      <c r="DV35" s="56"/>
      <c r="DW35" s="56"/>
      <c r="DX35" s="56"/>
      <c r="DY35" s="56"/>
    </row>
    <row r="36">
      <c r="A36" s="102" t="str">
        <f>IF(M36="","",HYPERLINK(OFFSET(Biblioteca!$B$2,MATCH(M36,Biblioteca!$A$3:$A$200,0),0),M36))</f>
        <v>Abdominal Obliquo na polia média</v>
      </c>
      <c r="D36" s="103" t="str">
        <f>Montagem!Q26</f>
        <v>Bi-SET</v>
      </c>
      <c r="E36" s="104">
        <f>Montagem!R26</f>
        <v>4</v>
      </c>
      <c r="F36" s="104">
        <f>Montagem!S26</f>
        <v>10</v>
      </c>
      <c r="G36" s="104">
        <f>Montagem!T26</f>
        <v>45</v>
      </c>
      <c r="H36" s="104">
        <f>Montagem!U26</f>
        <v>1</v>
      </c>
      <c r="I36" s="132">
        <f>Montagem!V26</f>
        <v>2</v>
      </c>
      <c r="J36" s="105"/>
      <c r="K36" s="106">
        <f>Montagem!K26</f>
        <v>3</v>
      </c>
      <c r="L36" s="128">
        <f>Montagem!W26</f>
        <v>4</v>
      </c>
      <c r="M36" s="111" t="str">
        <f>Montagem!L26</f>
        <v>Abdominal Obliquo na polia média</v>
      </c>
      <c r="N36" s="111" t="str">
        <f>Montagem!X26</f>
        <v/>
      </c>
      <c r="O36" s="106">
        <f>IF(N36="",L36,N36)</f>
        <v>4</v>
      </c>
      <c r="P36" s="106">
        <f>IF(L37="C",'Dados de Base'!$D$5*0.1,IF(L37="E",5,IF(J36="",O36,J36)))</f>
        <v>4</v>
      </c>
      <c r="Q36" s="108"/>
      <c r="R36" s="102" t="str">
        <f>IF(AD36="","",HYPERLINK(OFFSET(Biblioteca!$B$2,MATCH(AD36,Biblioteca!$A$3:$A$200,0),0),AD36))</f>
        <v>Banco Sóleo</v>
      </c>
      <c r="U36" s="109" t="str">
        <f>Montagem!AF26</f>
        <v>Bi-SET</v>
      </c>
      <c r="V36" s="110">
        <f>Montagem!AG26</f>
        <v>4</v>
      </c>
      <c r="W36" s="110">
        <f>Montagem!AH26</f>
        <v>10</v>
      </c>
      <c r="X36" s="110">
        <f>Montagem!AI26</f>
        <v>45</v>
      </c>
      <c r="Y36" s="110">
        <f>Montagem!AJ26</f>
        <v>1</v>
      </c>
      <c r="Z36" s="110">
        <f>Montagem!AK26</f>
        <v>2</v>
      </c>
      <c r="AA36" s="113"/>
      <c r="AB36" s="111">
        <f>Montagem!Z26</f>
        <v>3</v>
      </c>
      <c r="AC36" s="111">
        <f>Montagem!AL26</f>
        <v>78</v>
      </c>
      <c r="AD36" s="129" t="str">
        <f>Montagem!AA26</f>
        <v>Banco Sóleo</v>
      </c>
      <c r="AE36" s="111" t="str">
        <f>Montagem!AM26</f>
        <v/>
      </c>
      <c r="AF36" s="106">
        <f>IF(AE36="",AC36,AE36)</f>
        <v>78</v>
      </c>
      <c r="AG36" s="106">
        <f>IF(AC37="C",'Dados de Base'!$D$5*0.1,IF(AC37="E",5,IF(AA36="",AF36,AA36)))</f>
        <v>78</v>
      </c>
      <c r="AH36" s="108"/>
      <c r="AI36" s="115" t="str">
        <f>IF(AU36="","",HYPERLINK(OFFSET(Biblioteca!$B$2,MATCH(AU36,Biblioteca!$A$3:$A$200,0),0),AU36))</f>
        <v/>
      </c>
      <c r="AL36" s="109" t="str">
        <f>Montagem!AU26</f>
        <v/>
      </c>
      <c r="AM36" s="110" t="str">
        <f>Montagem!AV26</f>
        <v/>
      </c>
      <c r="AN36" s="110" t="str">
        <f>Montagem!AW26</f>
        <v/>
      </c>
      <c r="AO36" s="110" t="str">
        <f>Montagem!AX26</f>
        <v/>
      </c>
      <c r="AP36" s="110" t="str">
        <f>Montagem!AY26</f>
        <v/>
      </c>
      <c r="AQ36" s="110" t="str">
        <f>Montagem!AZ26</f>
        <v/>
      </c>
      <c r="AR36" s="114"/>
      <c r="AS36" s="111">
        <f>Montagem!AO26</f>
        <v>1</v>
      </c>
      <c r="AT36" s="111" t="str">
        <f>Montagem!BA26</f>
        <v/>
      </c>
      <c r="AU36" s="111" t="str">
        <f>Montagem!AP26</f>
        <v/>
      </c>
      <c r="AV36" s="111" t="str">
        <f>Montagem!BB26</f>
        <v/>
      </c>
      <c r="AW36" s="106" t="str">
        <f>IF(AV36="",AT36,AV36)</f>
        <v/>
      </c>
      <c r="AX36" s="106" t="str">
        <f>IF(AT37="C",'Dados de Base'!$D$5*0.1,IF(AT37="E",5,IF(AR36="",AW36,AR36)))</f>
        <v/>
      </c>
      <c r="AY36" s="108"/>
      <c r="AZ36" s="102" t="str">
        <f>IF(BL36="","",HYPERLINK(OFFSET(Biblioteca!$B$2,MATCH(BL36,Biblioteca!$A$3:$A$200,0),0),BL36))</f>
        <v>Fly no peck deck</v>
      </c>
      <c r="BC36" s="109" t="str">
        <f>Montagem!BJ26</f>
        <v>Bi-SET</v>
      </c>
      <c r="BD36" s="110">
        <f>Montagem!BK26</f>
        <v>4</v>
      </c>
      <c r="BE36" s="110">
        <f>Montagem!BL26</f>
        <v>10</v>
      </c>
      <c r="BF36" s="110" t="str">
        <f>Montagem!BM26</f>
        <v/>
      </c>
      <c r="BG36" s="110">
        <f>Montagem!BN26</f>
        <v>1</v>
      </c>
      <c r="BH36" s="110">
        <f>Montagem!BO26</f>
        <v>2</v>
      </c>
      <c r="BI36" s="113"/>
      <c r="BJ36" s="111">
        <f>Montagem!BD26</f>
        <v>4</v>
      </c>
      <c r="BK36" s="111">
        <f>Montagem!BP26</f>
        <v>8</v>
      </c>
      <c r="BL36" s="111" t="str">
        <f>Montagem!BE26</f>
        <v>Fly no peck deck</v>
      </c>
      <c r="BM36" s="111" t="str">
        <f>Montagem!BQ26</f>
        <v/>
      </c>
      <c r="BN36" s="106">
        <f>IF(BM36="",BK36,BM36)</f>
        <v>8</v>
      </c>
      <c r="BO36" s="106">
        <f>IF(BK37="C",'Dados de Base'!$D$5*0.1,IF(BK37="E",5,IF(BI36="",BN36,BI36)))</f>
        <v>8</v>
      </c>
      <c r="BP36" s="108"/>
      <c r="BQ36" s="102" t="str">
        <f>IF(CC36="","",HYPERLINK(OFFSET(Biblioteca!$B$2,MATCH(CC36,Biblioteca!$A$3:$A$200,0),0),CC36))</f>
        <v>Abdominal Obliquo na polia média</v>
      </c>
      <c r="BT36" s="109" t="str">
        <f>Montagem!BY26</f>
        <v>Bi-SET</v>
      </c>
      <c r="BU36" s="110">
        <f>Montagem!BZ26</f>
        <v>4</v>
      </c>
      <c r="BV36" s="110">
        <f>Montagem!CA26</f>
        <v>10</v>
      </c>
      <c r="BW36" s="110">
        <f>Montagem!CB26</f>
        <v>45</v>
      </c>
      <c r="BX36" s="110">
        <f>Montagem!CC26</f>
        <v>1</v>
      </c>
      <c r="BY36" s="110">
        <f>Montagem!CD26</f>
        <v>2</v>
      </c>
      <c r="BZ36" s="113"/>
      <c r="CA36" s="111">
        <f>Montagem!BS26</f>
        <v>3</v>
      </c>
      <c r="CB36" s="111">
        <f>Montagem!CE26</f>
        <v>4</v>
      </c>
      <c r="CC36" s="111" t="str">
        <f>Montagem!BT26</f>
        <v>Abdominal Obliquo na polia média</v>
      </c>
      <c r="CD36" s="111" t="str">
        <f>Montagem!CF26</f>
        <v/>
      </c>
      <c r="CE36" s="106">
        <f>IF(CD36="",CB36,CD36)</f>
        <v>4</v>
      </c>
      <c r="CF36" s="106">
        <f>IF(CB37="C",'Dados de Base'!$D$5*0.1,IF(CB37="E",5,IF(BZ36="",CE36,BZ36)))</f>
        <v>4</v>
      </c>
      <c r="CG36" s="108"/>
      <c r="CH36" s="115" t="str">
        <f>IF(CT36="","",HYPERLINK(OFFSET(Biblioteca!$B$2,MATCH(CT36,Biblioteca!$A$3:$A$200,0),0),CT36))</f>
        <v/>
      </c>
      <c r="CK36" s="109" t="str">
        <f>Montagem!CN26</f>
        <v/>
      </c>
      <c r="CL36" s="110" t="str">
        <f>Montagem!CO26</f>
        <v/>
      </c>
      <c r="CM36" s="110" t="str">
        <f>Montagem!CP26</f>
        <v/>
      </c>
      <c r="CN36" s="110" t="str">
        <f>Montagem!CQ26</f>
        <v/>
      </c>
      <c r="CO36" s="110" t="str">
        <f>Montagem!CR26</f>
        <v/>
      </c>
      <c r="CP36" s="110" t="str">
        <f>Montagem!CS26</f>
        <v/>
      </c>
      <c r="CQ36" s="114"/>
      <c r="CR36" s="111">
        <f>Montagem!CH26</f>
        <v>1</v>
      </c>
      <c r="CS36" s="111" t="str">
        <f>Montagem!CT26</f>
        <v/>
      </c>
      <c r="CT36" s="111" t="str">
        <f>Montagem!CI26</f>
        <v/>
      </c>
      <c r="CU36" s="111" t="str">
        <f>Montagem!CU26</f>
        <v/>
      </c>
      <c r="CV36" s="106" t="str">
        <f>IF(CU36="",CS36,CU36)</f>
        <v/>
      </c>
      <c r="CW36" s="106" t="str">
        <f>IF(CS37="C",'Dados de Base'!$D$5*0.1,IF(CS37="E",5,IF(CQ36="",CV36,CQ36)))</f>
        <v/>
      </c>
      <c r="CX36" s="108"/>
      <c r="CY36" s="115" t="str">
        <f>IF(DK36="","",HYPERLINK(OFFSET(Biblioteca!$B$2,MATCH(DK36,Biblioteca!$A$3:$A$200,0),0),DK36))</f>
        <v/>
      </c>
      <c r="DB36" s="130" t="str">
        <f>Montagem!DC26</f>
        <v/>
      </c>
      <c r="DC36" s="131" t="str">
        <f>Montagem!DD26</f>
        <v/>
      </c>
      <c r="DD36" s="131" t="str">
        <f>Montagem!DE26</f>
        <v/>
      </c>
      <c r="DE36" s="131" t="str">
        <f>Montagem!DF26</f>
        <v/>
      </c>
      <c r="DF36" s="131" t="str">
        <f>Montagem!DG26</f>
        <v/>
      </c>
      <c r="DG36" s="131" t="str">
        <f>Montagem!DH26</f>
        <v/>
      </c>
      <c r="DH36" s="114"/>
      <c r="DI36" s="111">
        <f>Montagem!CW26</f>
        <v>1</v>
      </c>
      <c r="DJ36" s="111" t="str">
        <f>Montagem!DI26</f>
        <v/>
      </c>
      <c r="DK36" s="111" t="str">
        <f>Montagem!CX26</f>
        <v/>
      </c>
      <c r="DL36" s="111" t="str">
        <f>Montagem!DJ26</f>
        <v/>
      </c>
      <c r="DM36" s="106" t="str">
        <f>IF(DL36="",DJ36,DL36)</f>
        <v/>
      </c>
      <c r="DN36" s="106" t="str">
        <f>IF(DJ37="C",'Dados de Base'!$D$5*0.1,IF(DJ37="E",5,IF(DH36="",DM36,DH36)))</f>
        <v/>
      </c>
      <c r="DO36" s="108"/>
      <c r="DP36" s="106"/>
      <c r="DQ36" s="106"/>
      <c r="DR36" s="106"/>
      <c r="DS36" s="106"/>
      <c r="DT36" s="106"/>
      <c r="DU36" s="106"/>
      <c r="DV36" s="106"/>
      <c r="DW36" s="106"/>
      <c r="DX36" s="106"/>
      <c r="DY36" s="106"/>
    </row>
    <row r="37">
      <c r="A37" s="117" t="str">
        <f>IF(A36="","",IFS(L37="A",Montagem!$C$30,N37="T","Realizar a maior quantidade de repetições por "&amp;F36&amp;" segundos | ",N37="I",IF(M37="U","Manter a posição por "&amp;F36&amp;" segundos de um lado e trocar para o outro na sequência | ","Manter a posição por "&amp;F36&amp;" segundos | "),M37="A","Realizar alternadamente "&amp;F36&amp;" repetições cada lado | ",M37="U","Realizar "&amp;F36&amp;" repetições de um lado e trocar para o outro na sequência | ",L37="P",OFFSET(Biblioteca!$H$2,MATCH(M36,Biblioteca!$A$3:$A$200,0),0),TRUE,"")&amp;IF(N37="R","Ajuste a carga para que tenha "&amp;$K$2&amp;" repetições de reserva",""))</f>
        <v>Ajuste a carga para que tenha 0 a 2 repetições de reserva</v>
      </c>
      <c r="E37" s="118" t="str">
        <f>IF(A36="","",IFS(L37="H","Carga Sugerida: "&amp;ROUNDUP(O36/2,0)&amp;" kg de cada lado (Total: "&amp;ROUNDUP(O36/2,0)*2&amp;" kg)",L37="C","Este exercício usa o Peso Corporal como carga",L37="E","Este exercício usa a resistência da banda elástica como carga",L37="O","Carga Sugerida: "&amp;INT(O36)&amp;" kg",TRUE,""))</f>
        <v>Carga Sugerida: 4 kg</v>
      </c>
      <c r="J37" s="66"/>
      <c r="K37" s="106">
        <f>K36</f>
        <v>3</v>
      </c>
      <c r="L37" s="120" t="str">
        <f>LEFT(O37)</f>
        <v>O</v>
      </c>
      <c r="M37" s="121" t="str">
        <f>MID(O37,2,1)</f>
        <v>O</v>
      </c>
      <c r="N37" s="122" t="str">
        <f>RIGHT(O37)</f>
        <v>R</v>
      </c>
      <c r="O37" s="123" t="str">
        <f>IF(M36="","",OFFSET(Biblioteca!$I$2,MATCH(M36,Biblioteca!$A$3:$A$200,0),0))</f>
        <v>OOR</v>
      </c>
      <c r="P37" s="124"/>
      <c r="Q37" s="125"/>
      <c r="R37" s="117" t="str">
        <f>IF(R36="","",IFS(AC37="A",Montagem!$D$30,AE37="T","Realizar a maior quantidade de repetições por "&amp;W36&amp;" segundos | ",AE37="I",IF(AD37="U","Manter a posição por "&amp;W36&amp;" segundos de um lado e trocar para o outro na sequência | ","Manter a posição por "&amp;W36&amp;" segundos | "),AD37="A","Realizar alternadamente "&amp;W36&amp;" repetições cada lado | ",AD37="U","Realizar "&amp;W36&amp;" repetições de um lado e trocar para o outro na sequência | ",AC37="P",OFFSET(Biblioteca!$H$2,MATCH(AD36,Biblioteca!$A$3:$A$200,0),0),TRUE,"")&amp;IF(AE37="R","Ajuste a carga para que tenha "&amp;$K$2&amp;" repetições de reserva",""))</f>
        <v>Ajuste a carga para que tenha 0 a 2 repetições de reserva</v>
      </c>
      <c r="V37" s="118" t="str">
        <f>IF(R36="","",IFS(AC37="H","Carga Sugerida: "&amp;ROUNDUP(AF36/2,0)&amp;" kg de cada lado (Total: "&amp;ROUNDUP(AF36/2,0)*2&amp;" kg)",AC37="C","Este exercício usa o Peso Corporal como carga",AC37="E","Este exercício usa a resistência da banda elástica como carga",AC37="O","Carga Sugerida: "&amp;INT(AF36)&amp;" kg",TRUE,""))</f>
        <v>Carga Sugerida: 78 kg</v>
      </c>
      <c r="AA37" s="66"/>
      <c r="AB37" s="126">
        <f>AB36</f>
        <v>3</v>
      </c>
      <c r="AC37" s="120" t="str">
        <f>LEFT(AF37)</f>
        <v>O</v>
      </c>
      <c r="AD37" s="121" t="str">
        <f>MID(AF37,2,1)</f>
        <v>O</v>
      </c>
      <c r="AE37" s="122" t="str">
        <f>RIGHT(AF37)</f>
        <v>R</v>
      </c>
      <c r="AF37" s="123" t="str">
        <f>IF(AD36="","",OFFSET(Biblioteca!$I$2,MATCH(AD36,Biblioteca!$A$3:$A$200,0),0))</f>
        <v>OOR</v>
      </c>
      <c r="AG37" s="124"/>
      <c r="AH37" s="125"/>
      <c r="AI37" s="117" t="str">
        <f>IF(AI36="","",IFS(AT37="A",Montagem!$E$30,AV37="T","Realizar a maior quantidade de repetições por "&amp;AN36&amp;" segundos | ",AV37="I",IF(AU37="U","Manter a posição por "&amp;AN36&amp;" segundos de um lado e trocar para o outro na sequência | ","Manter a posição por "&amp;AN36&amp;" segundos | "),AU37="A","Realizar alternadamente "&amp;AN36&amp;" repetições cada lado | ",AU37="U","Realizar "&amp;AN36&amp;" repetições de um lado e trocar para o outro na sequência | ",AT37="P",OFFSET(Biblioteca!$H$2,MATCH(AU36,Biblioteca!$A$3:$A$200,0),0),TRUE,"")&amp;IF(AV37="R","Ajuste a carga para que tenha "&amp;$K$2&amp;" repetições de reserva",""))</f>
        <v/>
      </c>
      <c r="AM37" s="118" t="str">
        <f>IF(AI36="","",IFS(AT37="H","Carga Sugerida: "&amp;ROUNDUP(AW36/2,0)&amp;" kg de cada lado (Total: "&amp;ROUNDUP(AW36/2,0)*2&amp;" kg)",AT37="C","Este exercício usa o Peso Corporal como carga",AT37="E","Este exercício usa a resistência da banda elástica como carga",AT37="O","Carga Sugerida: "&amp;INT(AW36)&amp;" kg",TRUE,""))</f>
        <v/>
      </c>
      <c r="AR37" s="66"/>
      <c r="AS37" s="126">
        <f>AS36</f>
        <v>1</v>
      </c>
      <c r="AT37" s="120" t="str">
        <f>LEFT(AW37)</f>
        <v/>
      </c>
      <c r="AU37" s="121" t="str">
        <f>MID(AW37,2,1)</f>
        <v/>
      </c>
      <c r="AV37" s="122" t="str">
        <f>RIGHT(AW37)</f>
        <v/>
      </c>
      <c r="AW37" s="123" t="str">
        <f>IF(AU36="","",OFFSET(Biblioteca!$I$2,MATCH(AU36,Biblioteca!$A$3:$A$200,0),0))</f>
        <v/>
      </c>
      <c r="AX37" s="124"/>
      <c r="AY37" s="125"/>
      <c r="AZ37" s="117" t="str">
        <f>IF(AZ36="","",IFS(BK37="A",Montagem!$F$30,BM37="T","Realizar a maior quantidade de repetições por "&amp;BE36&amp;" segundos | ",BM37="I",IF(BL37="U","Manter a posição por "&amp;BE36&amp;" segundos de um lado e trocar para o outro na sequência | ","Manter a posição por "&amp;BE36&amp;" segundos | "),BL37="A","Realizar alternadamente "&amp;BE36&amp;" repetições cada lado | ",BL37="U","Realizar "&amp;BE36&amp;" repetições de um lado e trocar para o outro na sequência | ",BK37="P",OFFSET(Biblioteca!$H$2,MATCH(BL36,Biblioteca!$A$3:$A$200,0),0),TRUE,"")&amp;IF(BM37="R","Ajuste a carga para que tenha "&amp;$K$2&amp;" repetições de reserva",""))</f>
        <v>Ajuste a carga para que tenha 0 a 2 repetições de reserva</v>
      </c>
      <c r="BD37" s="118" t="str">
        <f>IF(AZ36="","",IFS(BK37="H","Carga Sugerida: "&amp;ROUNDUP(BN36/2,0)&amp;" kg de cada lado (Total: "&amp;ROUNDUP(BN36/2,0)*2&amp;" kg)",BK37="C","Este exercício usa o Peso Corporal como carga",BK37="E","Este exercício usa a resistência da banda elástica como carga",BK37="O","Carga Sugerida: "&amp;INT(BN36)&amp;" kg",TRUE,""))</f>
        <v>Carga Sugerida: 8 kg</v>
      </c>
      <c r="BI37" s="66"/>
      <c r="BJ37" s="126">
        <f>BJ36</f>
        <v>4</v>
      </c>
      <c r="BK37" s="120" t="str">
        <f>LEFT(BN37)</f>
        <v>O</v>
      </c>
      <c r="BL37" s="121" t="str">
        <f>MID(BN37,2,1)</f>
        <v>O</v>
      </c>
      <c r="BM37" s="122" t="str">
        <f>RIGHT(BN37)</f>
        <v>R</v>
      </c>
      <c r="BN37" s="123" t="str">
        <f>IF(BL36="","",OFFSET(Biblioteca!$I$2,MATCH(BL36,Biblioteca!$A$3:$A$200,0),0))</f>
        <v>OOR</v>
      </c>
      <c r="BO37" s="124"/>
      <c r="BP37" s="125"/>
      <c r="BQ37" s="117" t="str">
        <f>IF(BQ36="","",IFS(CB37="A",Montagem!$G$30,CD37="T","Realizar a maior quantidade de repetições por "&amp;BV36&amp;" segundos | ",CD37="I",IF(CC37="U","Manter a posição por "&amp;BV36&amp;" segundos de um lado e trocar para o outro na sequência | ","Manter a posição por "&amp;BV36&amp;" segundos | "),CC37="A","Realizar alternadamente "&amp;BV36&amp;" repetições cada lado | ",CC37="U","Realizar "&amp;BV36&amp;" repetições de um lado e trocar para o outro na sequência | ",CB37="P",OFFSET(Biblioteca!$H$2,MATCH(CC36,Biblioteca!$A$3:$A$200,0),0),TRUE,"")&amp;IF(CD37="R","Ajuste a carga para que tenha "&amp;$K$2&amp;" repetições de reserva",""))</f>
        <v>Ajuste a carga para que tenha 0 a 2 repetições de reserva</v>
      </c>
      <c r="BU37" s="118" t="str">
        <f>IF(BQ36="","",IFS(CB37="H","Carga Sugerida: "&amp;ROUNDUP(CE36/2,0)&amp;" kg de cada lado (Total: "&amp;ROUNDUP(CE36/2,0)*2&amp;" kg)",CB37="C","Este exercício usa o Peso Corporal como carga",CB37="E","Este exercício usa a resistência da banda elástica como carga",CB37="O","Carga Sugerida: "&amp;INT(CE36)&amp;" kg",TRUE,""))</f>
        <v>Carga Sugerida: 4 kg</v>
      </c>
      <c r="BZ37" s="66"/>
      <c r="CA37" s="126">
        <f>CA36</f>
        <v>3</v>
      </c>
      <c r="CB37" s="120" t="str">
        <f>LEFT(CE37)</f>
        <v>O</v>
      </c>
      <c r="CC37" s="121" t="str">
        <f>MID(CE37,2,1)</f>
        <v>O</v>
      </c>
      <c r="CD37" s="122" t="str">
        <f>RIGHT(CE37)</f>
        <v>R</v>
      </c>
      <c r="CE37" s="123" t="str">
        <f>IF(CC36="","",OFFSET(Biblioteca!$I$2,MATCH(CC36,Biblioteca!$A$3:$A$200,0),0))</f>
        <v>OOR</v>
      </c>
      <c r="CF37" s="124"/>
      <c r="CG37" s="125"/>
      <c r="CH37" s="117" t="str">
        <f>IF(CH36="","",IFS(CS37="A",Montagem!$H$30,CU37="T","Realizar a maior quantidade de repetições por "&amp;CM36&amp;" segundos | ",CU37="I",IF(CT37="U","Manter a posição por "&amp;CM36&amp;" segundos de um lado e trocar para o outro na sequência | ","Manter a posição por "&amp;CM36&amp;" segundos | "),CT37="A","Realizar alternadamente "&amp;CM36&amp;" repetições cada lado | ",CT37="U","Realizar "&amp;CM36&amp;" repetições de um lado e trocar para o outro na sequência | ",CS37="P",OFFSET(Biblioteca!$H$2,MATCH(CT36,Biblioteca!$A$3:$A$200,0),0),TRUE,"")&amp;IF(CU37="R","Ajuste a carga para que tenha "&amp;$K$2&amp;" repetições de reserva",""))</f>
        <v/>
      </c>
      <c r="CL37" s="118" t="str">
        <f>IF(CH36="","",IFS(CS37="H","Carga Sugerida: "&amp;ROUNDUP(CV36/2,0)&amp;" kg de cada lado (Total: "&amp;ROUNDUP(CV36/2,0)*2&amp;" kg)",CS37="C","Este exercício usa o Peso Corporal como carga",CS37="E","Este exercício usa a resistência da banda elástica como carga",CS37="O","Carga Sugerida: "&amp;INT(CV36)&amp;" kg",TRUE,""))</f>
        <v/>
      </c>
      <c r="CQ37" s="66"/>
      <c r="CR37" s="126">
        <f>CR36</f>
        <v>1</v>
      </c>
      <c r="CS37" s="120" t="str">
        <f>LEFT(CV37)</f>
        <v/>
      </c>
      <c r="CT37" s="121" t="str">
        <f>MID(CV37,2,1)</f>
        <v/>
      </c>
      <c r="CU37" s="122" t="str">
        <f>RIGHT(CV37)</f>
        <v/>
      </c>
      <c r="CV37" s="123" t="str">
        <f>IF(CT36="","",OFFSET(Biblioteca!$I$2,MATCH(CT36,Biblioteca!$A$3:$A$200,0),0))</f>
        <v/>
      </c>
      <c r="CW37" s="124"/>
      <c r="CX37" s="125"/>
      <c r="CY37" s="117" t="str">
        <f>IF(CY36="","",IFS(DJ37="A",Montagem!$I$30,DL37="T","Realizar a maior quantidade de repetições por "&amp;DD36&amp;" segundos | ",DL37="I",IF(DK37="U","Manter a posição por "&amp;DD36&amp;" segundos de um lado e trocar para o outro na sequência | ","Manter a posição por "&amp;DD36&amp;" segundos | "),DK37="A","Realizar alternadamente "&amp;DD36&amp;" repetições cada lado | ",DK37="U","Realizar "&amp;DD36&amp;" repetições de um lado e trocar para o outro na sequência | ",DJ37="P",OFFSET(Biblioteca!$H$2,MATCH(DK36,Biblioteca!$A$3:$A$200,0),0),TRUE,"")&amp;IF(DL37="R","Ajuste a carga para que tenha "&amp;$K$2&amp;" repetições de reserva",""))</f>
        <v/>
      </c>
      <c r="DC37" s="118" t="str">
        <f>IF(CY36="","",IFS(DJ37="H","Carga Sugerida: "&amp;ROUNDUP(DM36/2,0)&amp;" kg de cada lado (Total: "&amp;ROUNDUP(DM36/2,0)*2&amp;" kg)",DJ37="C","Este exercício usa o Peso Corporal como carga",DJ37="E","Este exercício usa a resistência da banda elástica como carga",DJ37="O","Carga Sugerida: "&amp;INT(DM36)&amp;" kg",TRUE,""))</f>
        <v/>
      </c>
      <c r="DH37" s="66"/>
      <c r="DI37" s="126">
        <f>DI36</f>
        <v>1</v>
      </c>
      <c r="DJ37" s="120" t="str">
        <f>LEFT(DM37)</f>
        <v/>
      </c>
      <c r="DK37" s="121" t="str">
        <f>MID(DM37,2,1)</f>
        <v/>
      </c>
      <c r="DL37" s="122" t="str">
        <f>RIGHT(DM37)</f>
        <v/>
      </c>
      <c r="DM37" s="123" t="str">
        <f>IF(DK36="","",OFFSET(Biblioteca!$I$2,MATCH(DK36,Biblioteca!$A$3:$A$200,0),0))</f>
        <v/>
      </c>
      <c r="DN37" s="124"/>
      <c r="DO37" s="125"/>
      <c r="DP37" s="57"/>
      <c r="DQ37" s="56"/>
      <c r="DR37" s="56"/>
      <c r="DS37" s="56"/>
      <c r="DT37" s="56"/>
      <c r="DU37" s="56"/>
      <c r="DV37" s="56"/>
      <c r="DW37" s="56"/>
      <c r="DX37" s="56"/>
      <c r="DY37" s="56"/>
    </row>
    <row r="38">
      <c r="A38" s="102" t="str">
        <f>IF(M38="","",HYPERLINK(OFFSET(Biblioteca!$B$2,MATCH(M38,Biblioteca!$A$3:$A$200,0),0),M38))</f>
        <v>Pulley frente</v>
      </c>
      <c r="D38" s="103" t="str">
        <f>Montagem!Q27</f>
        <v>Bi-SET</v>
      </c>
      <c r="E38" s="104">
        <f>Montagem!R27</f>
        <v>4</v>
      </c>
      <c r="F38" s="104">
        <f>Montagem!S27</f>
        <v>10</v>
      </c>
      <c r="G38" s="104" t="str">
        <f>Montagem!T27</f>
        <v/>
      </c>
      <c r="H38" s="104">
        <f>Montagem!U27</f>
        <v>1</v>
      </c>
      <c r="I38" s="132">
        <f>Montagem!V27</f>
        <v>2</v>
      </c>
      <c r="J38" s="105"/>
      <c r="K38" s="106">
        <f>Montagem!K27</f>
        <v>4</v>
      </c>
      <c r="L38" s="128">
        <f>Montagem!W27</f>
        <v>9.426375</v>
      </c>
      <c r="M38" s="111" t="str">
        <f>Montagem!L27</f>
        <v>Pulley frente</v>
      </c>
      <c r="N38" s="111" t="str">
        <f>Montagem!X27</f>
        <v/>
      </c>
      <c r="O38" s="106">
        <f>IF(N38="",L38,N38)</f>
        <v>9.426375</v>
      </c>
      <c r="P38" s="106">
        <f>IF(L39="C",'Dados de Base'!$D$5*0.1,IF(L39="E",5,IF(J38="",O38,J38)))</f>
        <v>9.426375</v>
      </c>
      <c r="Q38" s="108"/>
      <c r="R38" s="102" t="str">
        <f>IF(AD38="","",HYPERLINK(OFFSET(Biblioteca!$B$2,MATCH(AD38,Biblioteca!$A$3:$A$200,0),0),AD38))</f>
        <v>Supino Inclinado</v>
      </c>
      <c r="U38" s="109" t="str">
        <f>Montagem!AF27</f>
        <v>Bi-SET</v>
      </c>
      <c r="V38" s="110">
        <f>Montagem!AG27</f>
        <v>4</v>
      </c>
      <c r="W38" s="110">
        <f>Montagem!AH27</f>
        <v>10</v>
      </c>
      <c r="X38" s="110" t="str">
        <f>Montagem!AI27</f>
        <v/>
      </c>
      <c r="Y38" s="110">
        <f>Montagem!AJ27</f>
        <v>1</v>
      </c>
      <c r="Z38" s="110">
        <f>Montagem!AK27</f>
        <v>2</v>
      </c>
      <c r="AA38" s="113"/>
      <c r="AB38" s="111">
        <f>Montagem!Z27</f>
        <v>4</v>
      </c>
      <c r="AC38" s="111">
        <f>Montagem!AL27</f>
        <v>50</v>
      </c>
      <c r="AD38" s="129" t="str">
        <f>Montagem!AA27</f>
        <v>Supino Inclinado</v>
      </c>
      <c r="AE38" s="111" t="str">
        <f>Montagem!AM27</f>
        <v/>
      </c>
      <c r="AF38" s="106">
        <f>IF(AE38="",AC38,AE38)</f>
        <v>50</v>
      </c>
      <c r="AG38" s="106">
        <f>IF(AC39="C",'Dados de Base'!$D$5*0.1,IF(AC39="E",5,IF(AA38="",AF38,AA38)))</f>
        <v>50</v>
      </c>
      <c r="AH38" s="108"/>
      <c r="AI38" s="115" t="str">
        <f>IF(AU38="","",HYPERLINK(OFFSET(Biblioteca!$B$2,MATCH(AU38,Biblioteca!$A$3:$A$200,0),0),AU38))</f>
        <v/>
      </c>
      <c r="AL38" s="109" t="str">
        <f>Montagem!AU27</f>
        <v/>
      </c>
      <c r="AM38" s="110" t="str">
        <f>Montagem!AV27</f>
        <v/>
      </c>
      <c r="AN38" s="110" t="str">
        <f>Montagem!AW27</f>
        <v/>
      </c>
      <c r="AO38" s="110" t="str">
        <f>Montagem!AX27</f>
        <v/>
      </c>
      <c r="AP38" s="110" t="str">
        <f>Montagem!AY27</f>
        <v/>
      </c>
      <c r="AQ38" s="110" t="str">
        <f>Montagem!AZ27</f>
        <v/>
      </c>
      <c r="AR38" s="114"/>
      <c r="AS38" s="111">
        <f>Montagem!AO27</f>
        <v>1</v>
      </c>
      <c r="AT38" s="111" t="str">
        <f>Montagem!BA27</f>
        <v/>
      </c>
      <c r="AU38" s="111" t="str">
        <f>Montagem!AP27</f>
        <v/>
      </c>
      <c r="AV38" s="111" t="str">
        <f>Montagem!BB27</f>
        <v/>
      </c>
      <c r="AW38" s="106" t="str">
        <f>IF(AV38="",AT38,AV38)</f>
        <v/>
      </c>
      <c r="AX38" s="106" t="str">
        <f>IF(AT39="C",'Dados de Base'!$D$5*0.1,IF(AT39="E",5,IF(AR38="",AW38,AR38)))</f>
        <v/>
      </c>
      <c r="AY38" s="108"/>
      <c r="AZ38" s="102" t="str">
        <f>IF(BL38="","",HYPERLINK(OFFSET(Biblioteca!$B$2,MATCH(BL38,Biblioteca!$A$3:$A$200,0),0),BL38))</f>
        <v>Rosca Inclinado</v>
      </c>
      <c r="BC38" s="109" t="str">
        <f>Montagem!BJ27</f>
        <v>Bi-SET</v>
      </c>
      <c r="BD38" s="110">
        <f>Montagem!BK27</f>
        <v>4</v>
      </c>
      <c r="BE38" s="110">
        <f>Montagem!BL27</f>
        <v>10</v>
      </c>
      <c r="BF38" s="110">
        <f>Montagem!BM27</f>
        <v>45</v>
      </c>
      <c r="BG38" s="110">
        <f>Montagem!BN27</f>
        <v>1</v>
      </c>
      <c r="BH38" s="110">
        <f>Montagem!BO27</f>
        <v>2</v>
      </c>
      <c r="BI38" s="113"/>
      <c r="BJ38" s="111">
        <f>Montagem!BD27</f>
        <v>4</v>
      </c>
      <c r="BK38" s="111">
        <f>Montagem!BP27</f>
        <v>13.3</v>
      </c>
      <c r="BL38" s="111" t="str">
        <f>Montagem!BE27</f>
        <v>Rosca Inclinado</v>
      </c>
      <c r="BM38" s="111" t="str">
        <f>Montagem!BQ27</f>
        <v/>
      </c>
      <c r="BN38" s="106">
        <f>IF(BM38="",BK38,BM38)</f>
        <v>13.3</v>
      </c>
      <c r="BO38" s="106">
        <f>IF(BK39="C",'Dados de Base'!$D$5*0.1,IF(BK39="E",5,IF(BI38="",BN38,BI38)))</f>
        <v>13.3</v>
      </c>
      <c r="BP38" s="108"/>
      <c r="BQ38" s="102" t="str">
        <f>IF(CC38="","",HYPERLINK(OFFSET(Biblioteca!$B$2,MATCH(CC38,Biblioteca!$A$3:$A$200,0),0),CC38))</f>
        <v>Remada Alta na Polia</v>
      </c>
      <c r="BT38" s="109" t="str">
        <f>Montagem!BY27</f>
        <v>Bi-SET</v>
      </c>
      <c r="BU38" s="110">
        <f>Montagem!BZ27</f>
        <v>4</v>
      </c>
      <c r="BV38" s="110">
        <f>Montagem!CA27</f>
        <v>10</v>
      </c>
      <c r="BW38" s="110" t="str">
        <f>Montagem!CB27</f>
        <v/>
      </c>
      <c r="BX38" s="110">
        <f>Montagem!CC27</f>
        <v>1</v>
      </c>
      <c r="BY38" s="110">
        <f>Montagem!CD27</f>
        <v>2</v>
      </c>
      <c r="BZ38" s="113"/>
      <c r="CA38" s="111">
        <f>Montagem!BS27</f>
        <v>4</v>
      </c>
      <c r="CB38" s="111">
        <f>Montagem!CE27</f>
        <v>8.081938266</v>
      </c>
      <c r="CC38" s="111" t="str">
        <f>Montagem!BT27</f>
        <v>Remada Alta na Polia</v>
      </c>
      <c r="CD38" s="111" t="str">
        <f>Montagem!CF27</f>
        <v/>
      </c>
      <c r="CE38" s="106">
        <f>IF(CD38="",CB38,CD38)</f>
        <v>8.081938266</v>
      </c>
      <c r="CF38" s="106">
        <f>IF(CB39="C",'Dados de Base'!$D$5*0.1,IF(CB39="E",5,IF(BZ38="",CE38,BZ38)))</f>
        <v>8.081938266</v>
      </c>
      <c r="CG38" s="108"/>
      <c r="CH38" s="115" t="str">
        <f>IF(CT38="","",HYPERLINK(OFFSET(Biblioteca!$B$2,MATCH(CT38,Biblioteca!$A$3:$A$200,0),0),CT38))</f>
        <v/>
      </c>
      <c r="CK38" s="109" t="str">
        <f>Montagem!CN27</f>
        <v/>
      </c>
      <c r="CL38" s="110" t="str">
        <f>Montagem!CO27</f>
        <v/>
      </c>
      <c r="CM38" s="110" t="str">
        <f>Montagem!CP27</f>
        <v/>
      </c>
      <c r="CN38" s="110" t="str">
        <f>Montagem!CQ27</f>
        <v/>
      </c>
      <c r="CO38" s="110" t="str">
        <f>Montagem!CR27</f>
        <v/>
      </c>
      <c r="CP38" s="110" t="str">
        <f>Montagem!CS27</f>
        <v/>
      </c>
      <c r="CQ38" s="114"/>
      <c r="CR38" s="111">
        <f>Montagem!CH27</f>
        <v>1</v>
      </c>
      <c r="CS38" s="111" t="str">
        <f>Montagem!CT27</f>
        <v/>
      </c>
      <c r="CT38" s="111" t="str">
        <f>Montagem!CI27</f>
        <v/>
      </c>
      <c r="CU38" s="111" t="str">
        <f>Montagem!CU27</f>
        <v/>
      </c>
      <c r="CV38" s="106" t="str">
        <f>IF(CU38="",CS38,CU38)</f>
        <v/>
      </c>
      <c r="CW38" s="106" t="str">
        <f>IF(CS39="C",'Dados de Base'!$D$5*0.1,IF(CS39="E",5,IF(CQ38="",CV38,CQ38)))</f>
        <v/>
      </c>
      <c r="CX38" s="108"/>
      <c r="CY38" s="115" t="str">
        <f>IF(DK38="","",HYPERLINK(OFFSET(Biblioteca!$B$2,MATCH(DK38,Biblioteca!$A$3:$A$200,0),0),DK38))</f>
        <v/>
      </c>
      <c r="DB38" s="130" t="str">
        <f>Montagem!DC27</f>
        <v/>
      </c>
      <c r="DC38" s="131" t="str">
        <f>Montagem!DD27</f>
        <v/>
      </c>
      <c r="DD38" s="131" t="str">
        <f>Montagem!DE27</f>
        <v/>
      </c>
      <c r="DE38" s="131" t="str">
        <f>Montagem!DF27</f>
        <v/>
      </c>
      <c r="DF38" s="131" t="str">
        <f>Montagem!DG27</f>
        <v/>
      </c>
      <c r="DG38" s="131" t="str">
        <f>Montagem!DH27</f>
        <v/>
      </c>
      <c r="DH38" s="114"/>
      <c r="DI38" s="111">
        <f>Montagem!CW27</f>
        <v>1</v>
      </c>
      <c r="DJ38" s="111" t="str">
        <f>Montagem!DI27</f>
        <v/>
      </c>
      <c r="DK38" s="111" t="str">
        <f>Montagem!CX27</f>
        <v/>
      </c>
      <c r="DL38" s="111" t="str">
        <f>Montagem!DJ27</f>
        <v/>
      </c>
      <c r="DM38" s="106" t="str">
        <f>IF(DL38="",DJ38,DL38)</f>
        <v/>
      </c>
      <c r="DN38" s="106" t="str">
        <f>IF(DJ39="C",'Dados de Base'!$D$5*0.1,IF(DJ39="E",5,IF(DH38="",DM38,DH38)))</f>
        <v/>
      </c>
      <c r="DO38" s="108"/>
      <c r="DP38" s="106"/>
      <c r="DQ38" s="106"/>
      <c r="DR38" s="106"/>
      <c r="DS38" s="106"/>
      <c r="DT38" s="106"/>
      <c r="DU38" s="106"/>
      <c r="DV38" s="106"/>
      <c r="DW38" s="106"/>
      <c r="DX38" s="106"/>
      <c r="DY38" s="106"/>
    </row>
    <row r="39">
      <c r="A39" s="117" t="str">
        <f>IF(A38="","",IFS(L39="A",Montagem!$C$30,N39="T","Realizar a maior quantidade de repetições por "&amp;F38&amp;" segundos | ",N39="I",IF(M39="U","Manter a posição por "&amp;F38&amp;" segundos de um lado e trocar para o outro na sequência | ","Manter a posição por "&amp;F38&amp;" segundos | "),M39="A","Realizar alternadamente "&amp;F38&amp;" repetições cada lado | ",M39="U","Realizar "&amp;F38&amp;" repetições de um lado e trocar para o outro na sequência | ",L39="P",OFFSET(Biblioteca!$H$2,MATCH(M38,Biblioteca!$A$3:$A$200,0),0),TRUE,"")&amp;IF(N39="R","Ajuste a carga para que tenha "&amp;$K$2&amp;" repetições de reserva",""))</f>
        <v>Ajuste a carga para que tenha 0 a 2 repetições de reserva</v>
      </c>
      <c r="E39" s="118" t="str">
        <f>IF(A38="","",IFS(L39="H","Carga Sugerida: "&amp;ROUNDUP(O38/2,0)&amp;" kg de cada lado (Total: "&amp;ROUNDUP(O38/2,0)*2&amp;" kg)",L39="C","Este exercício usa o Peso Corporal como carga",L39="E","Este exercício usa a resistência da banda elástica como carga",L39="O","Carga Sugerida: "&amp;INT(O38)&amp;" kg",TRUE,""))</f>
        <v>Carga Sugerida: 9 kg</v>
      </c>
      <c r="J39" s="66"/>
      <c r="K39" s="106">
        <f>K38</f>
        <v>4</v>
      </c>
      <c r="L39" s="120" t="str">
        <f>LEFT(O39)</f>
        <v>O</v>
      </c>
      <c r="M39" s="121" t="str">
        <f>MID(O39,2,1)</f>
        <v>O</v>
      </c>
      <c r="N39" s="122" t="str">
        <f>RIGHT(O39)</f>
        <v>R</v>
      </c>
      <c r="O39" s="123" t="str">
        <f>IF(M38="","",OFFSET(Biblioteca!$I$2,MATCH(M38,Biblioteca!$A$3:$A$200,0),0))</f>
        <v>OOR</v>
      </c>
      <c r="P39" s="124"/>
      <c r="Q39" s="125"/>
      <c r="R39" s="117" t="str">
        <f>IF(R38="","",IFS(AC39="A",Montagem!$D$30,AE39="T","Realizar a maior quantidade de repetições por "&amp;W38&amp;" segundos | ",AE39="I",IF(AD39="U","Manter a posição por "&amp;W38&amp;" segundos de um lado e trocar para o outro na sequência | ","Manter a posição por "&amp;W38&amp;" segundos | "),AD39="A","Realizar alternadamente "&amp;W38&amp;" repetições cada lado | ",AD39="U","Realizar "&amp;W38&amp;" repetições de um lado e trocar para o outro na sequência | ",AC39="P",OFFSET(Biblioteca!$H$2,MATCH(AD38,Biblioteca!$A$3:$A$200,0),0),TRUE,"")&amp;IF(AE39="R","Ajuste a carga para que tenha "&amp;$K$2&amp;" repetições de reserva",""))</f>
        <v>Ajuste a carga para que tenha 0 a 2 repetições de reserva</v>
      </c>
      <c r="V39" s="118" t="str">
        <f>IF(R38="","",IFS(AC39="H","Carga Sugerida: "&amp;ROUNDUP(AF38/2,0)&amp;" kg de cada lado (Total: "&amp;ROUNDUP(AF38/2,0)*2&amp;" kg)",AC39="C","Este exercício usa o Peso Corporal como carga",AC39="E","Este exercício usa a resistência da banda elástica como carga",AC39="O","Carga Sugerida: "&amp;INT(AF38)&amp;" kg",TRUE,""))</f>
        <v>Carga Sugerida: 50 kg</v>
      </c>
      <c r="AA39" s="66"/>
      <c r="AB39" s="126">
        <f>AB38</f>
        <v>4</v>
      </c>
      <c r="AC39" s="120" t="str">
        <f>LEFT(AF39)</f>
        <v>O</v>
      </c>
      <c r="AD39" s="121" t="str">
        <f>MID(AF39,2,1)</f>
        <v>O</v>
      </c>
      <c r="AE39" s="122" t="str">
        <f>RIGHT(AF39)</f>
        <v>R</v>
      </c>
      <c r="AF39" s="123" t="str">
        <f>IF(AD38="","",OFFSET(Biblioteca!$I$2,MATCH(AD38,Biblioteca!$A$3:$A$200,0),0))</f>
        <v>OOR</v>
      </c>
      <c r="AG39" s="124"/>
      <c r="AH39" s="125"/>
      <c r="AI39" s="117" t="str">
        <f>IF(AI38="","",IFS(AT39="A",Montagem!$E$30,AV39="T","Realizar a maior quantidade de repetições por "&amp;AN38&amp;" segundos | ",AV39="I",IF(AU39="U","Manter a posição por "&amp;AN38&amp;" segundos de um lado e trocar para o outro na sequência | ","Manter a posição por "&amp;AN38&amp;" segundos | "),AU39="A","Realizar alternadamente "&amp;AN38&amp;" repetições cada lado | ",AU39="U","Realizar "&amp;AN38&amp;" repetições de um lado e trocar para o outro na sequência | ",AT39="P",OFFSET(Biblioteca!$H$2,MATCH(AU38,Biblioteca!$A$3:$A$200,0),0),TRUE,"")&amp;IF(AV39="R","Ajuste a carga para que tenha "&amp;$K$2&amp;" repetições de reserva",""))</f>
        <v/>
      </c>
      <c r="AM39" s="118" t="str">
        <f>IF(AI38="","",IFS(AT39="H","Carga Sugerida: "&amp;ROUNDUP(AW38/2,0)&amp;" kg de cada lado (Total: "&amp;ROUNDUP(AW38/2,0)*2&amp;" kg)",AT39="C","Este exercício usa o Peso Corporal como carga",AT39="E","Este exercício usa a resistência da banda elástica como carga",AT39="O","Carga Sugerida: "&amp;INT(AW38)&amp;" kg",TRUE,""))</f>
        <v/>
      </c>
      <c r="AR39" s="66"/>
      <c r="AS39" s="126">
        <f>AS38</f>
        <v>1</v>
      </c>
      <c r="AT39" s="120" t="str">
        <f>LEFT(AW39)</f>
        <v/>
      </c>
      <c r="AU39" s="121" t="str">
        <f>MID(AW39,2,1)</f>
        <v/>
      </c>
      <c r="AV39" s="122" t="str">
        <f>RIGHT(AW39)</f>
        <v/>
      </c>
      <c r="AW39" s="123" t="str">
        <f>IF(AU38="","",OFFSET(Biblioteca!$I$2,MATCH(AU38,Biblioteca!$A$3:$A$200,0),0))</f>
        <v/>
      </c>
      <c r="AX39" s="124"/>
      <c r="AY39" s="125"/>
      <c r="AZ39" s="117" t="str">
        <f>IF(AZ38="","",IFS(BK39="A",Montagem!$F$30,BM39="T","Realizar a maior quantidade de repetições por "&amp;BE38&amp;" segundos | ",BM39="I",IF(BL39="U","Manter a posição por "&amp;BE38&amp;" segundos de um lado e trocar para o outro na sequência | ","Manter a posição por "&amp;BE38&amp;" segundos | "),BL39="A","Realizar alternadamente "&amp;BE38&amp;" repetições cada lado | ",BL39="U","Realizar "&amp;BE38&amp;" repetições de um lado e trocar para o outro na sequência | ",BK39="P",OFFSET(Biblioteca!$H$2,MATCH(BL38,Biblioteca!$A$3:$A$200,0),0),TRUE,"")&amp;IF(BM39="R","Ajuste a carga para que tenha "&amp;$K$2&amp;" repetições de reserva",""))</f>
        <v>Ajuste a carga para que tenha 0 a 2 repetições de reserva</v>
      </c>
      <c r="BD39" s="118" t="str">
        <f>IF(AZ38="","",IFS(BK39="H","Carga Sugerida: "&amp;ROUNDUP(BN38/2,0)&amp;" kg de cada lado (Total: "&amp;ROUNDUP(BN38/2,0)*2&amp;" kg)",BK39="C","Este exercício usa o Peso Corporal como carga",BK39="E","Este exercício usa a resistência da banda elástica como carga",BK39="O","Carga Sugerida: "&amp;INT(BN38)&amp;" kg",TRUE,""))</f>
        <v>Carga Sugerida: 7 kg de cada lado (Total: 14 kg)</v>
      </c>
      <c r="BI39" s="66"/>
      <c r="BJ39" s="126">
        <f>BJ38</f>
        <v>4</v>
      </c>
      <c r="BK39" s="120" t="str">
        <f>LEFT(BN39)</f>
        <v>H</v>
      </c>
      <c r="BL39" s="121" t="str">
        <f>MID(BN39,2,1)</f>
        <v>O</v>
      </c>
      <c r="BM39" s="122" t="str">
        <f>RIGHT(BN39)</f>
        <v>R</v>
      </c>
      <c r="BN39" s="123" t="str">
        <f>IF(BL38="","",OFFSET(Biblioteca!$I$2,MATCH(BL38,Biblioteca!$A$3:$A$200,0),0))</f>
        <v>HOR</v>
      </c>
      <c r="BO39" s="124"/>
      <c r="BP39" s="125"/>
      <c r="BQ39" s="117" t="str">
        <f>IF(BQ38="","",IFS(CB39="A",Montagem!$G$30,CD39="T","Realizar a maior quantidade de repetições por "&amp;BV38&amp;" segundos | ",CD39="I",IF(CC39="U","Manter a posição por "&amp;BV38&amp;" segundos de um lado e trocar para o outro na sequência | ","Manter a posição por "&amp;BV38&amp;" segundos | "),CC39="A","Realizar alternadamente "&amp;BV38&amp;" repetições cada lado | ",CC39="U","Realizar "&amp;BV38&amp;" repetições de um lado e trocar para o outro na sequência | ",CB39="P",OFFSET(Biblioteca!$H$2,MATCH(CC38,Biblioteca!$A$3:$A$200,0),0),TRUE,"")&amp;IF(CD39="R","Ajuste a carga para que tenha "&amp;$K$2&amp;" repetições de reserva",""))</f>
        <v>Ajuste a carga para que tenha 0 a 2 repetições de reserva</v>
      </c>
      <c r="BU39" s="118" t="str">
        <f>IF(BQ38="","",IFS(CB39="H","Carga Sugerida: "&amp;ROUNDUP(CE38/2,0)&amp;" kg de cada lado (Total: "&amp;ROUNDUP(CE38/2,0)*2&amp;" kg)",CB39="C","Este exercício usa o Peso Corporal como carga",CB39="E","Este exercício usa a resistência da banda elástica como carga",CB39="O","Carga Sugerida: "&amp;INT(CE38)&amp;" kg",TRUE,""))</f>
        <v>Carga Sugerida: 8 kg</v>
      </c>
      <c r="BZ39" s="66"/>
      <c r="CA39" s="126">
        <f>CA38</f>
        <v>4</v>
      </c>
      <c r="CB39" s="120" t="str">
        <f>LEFT(CE39)</f>
        <v>O</v>
      </c>
      <c r="CC39" s="121" t="str">
        <f>MID(CE39,2,1)</f>
        <v>O</v>
      </c>
      <c r="CD39" s="122" t="str">
        <f>RIGHT(CE39)</f>
        <v>R</v>
      </c>
      <c r="CE39" s="123" t="str">
        <f>IF(CC38="","",OFFSET(Biblioteca!$I$2,MATCH(CC38,Biblioteca!$A$3:$A$200,0),0))</f>
        <v>OOR</v>
      </c>
      <c r="CF39" s="124"/>
      <c r="CG39" s="125"/>
      <c r="CH39" s="117" t="str">
        <f>IF(CH38="","",IFS(CS39="A",Montagem!$H$30,CU39="T","Realizar a maior quantidade de repetições por "&amp;CM38&amp;" segundos | ",CU39="I",IF(CT39="U","Manter a posição por "&amp;CM38&amp;" segundos de um lado e trocar para o outro na sequência | ","Manter a posição por "&amp;CM38&amp;" segundos | "),CT39="A","Realizar alternadamente "&amp;CM38&amp;" repetições cada lado | ",CT39="U","Realizar "&amp;CM38&amp;" repetições de um lado e trocar para o outro na sequência | ",CS39="P",OFFSET(Biblioteca!$H$2,MATCH(CT38,Biblioteca!$A$3:$A$200,0),0),TRUE,"")&amp;IF(CU39="R","Ajuste a carga para que tenha "&amp;$K$2&amp;" repetições de reserva",""))</f>
        <v/>
      </c>
      <c r="CL39" s="118" t="str">
        <f>IF(CH38="","",IFS(CS39="H","Carga Sugerida: "&amp;ROUNDUP(CV38/2,0)&amp;" kg de cada lado (Total: "&amp;ROUNDUP(CV38/2,0)*2&amp;" kg)",CS39="C","Este exercício usa o Peso Corporal como carga",CS39="E","Este exercício usa a resistência da banda elástica como carga",CS39="O","Carga Sugerida: "&amp;INT(CV38)&amp;" kg",TRUE,""))</f>
        <v/>
      </c>
      <c r="CQ39" s="66"/>
      <c r="CR39" s="126">
        <f>CR38</f>
        <v>1</v>
      </c>
      <c r="CS39" s="120" t="str">
        <f>LEFT(CV39)</f>
        <v/>
      </c>
      <c r="CT39" s="121" t="str">
        <f>MID(CV39,2,1)</f>
        <v/>
      </c>
      <c r="CU39" s="122" t="str">
        <f>RIGHT(CV39)</f>
        <v/>
      </c>
      <c r="CV39" s="123" t="str">
        <f>IF(CT38="","",OFFSET(Biblioteca!$I$2,MATCH(CT38,Biblioteca!$A$3:$A$200,0),0))</f>
        <v/>
      </c>
      <c r="CW39" s="124"/>
      <c r="CX39" s="125"/>
      <c r="CY39" s="117" t="str">
        <f>IF(CY38="","",IFS(DJ39="A",Montagem!$I$30,DL39="T","Realizar a maior quantidade de repetições por "&amp;DD38&amp;" segundos | ",DL39="I",IF(DK39="U","Manter a posição por "&amp;DD38&amp;" segundos de um lado e trocar para o outro na sequência | ","Manter a posição por "&amp;DD38&amp;" segundos | "),DK39="A","Realizar alternadamente "&amp;DD38&amp;" repetições cada lado | ",DK39="U","Realizar "&amp;DD38&amp;" repetições de um lado e trocar para o outro na sequência | ",DJ39="P",OFFSET(Biblioteca!$H$2,MATCH(DK38,Biblioteca!$A$3:$A$200,0),0),TRUE,"")&amp;IF(DL39="R","Ajuste a carga para que tenha "&amp;$K$2&amp;" repetições de reserva",""))</f>
        <v/>
      </c>
      <c r="DC39" s="118" t="str">
        <f>IF(CY38="","",IFS(DJ39="H","Carga Sugerida: "&amp;ROUNDUP(DM38/2,0)&amp;" kg de cada lado (Total: "&amp;ROUNDUP(DM38/2,0)*2&amp;" kg)",DJ39="C","Este exercício usa o Peso Corporal como carga",DJ39="E","Este exercício usa a resistência da banda elástica como carga",DJ39="O","Carga Sugerida: "&amp;INT(DM38)&amp;" kg",TRUE,""))</f>
        <v/>
      </c>
      <c r="DH39" s="66"/>
      <c r="DI39" s="126">
        <f>DI38</f>
        <v>1</v>
      </c>
      <c r="DJ39" s="120" t="str">
        <f>LEFT(DM39)</f>
        <v/>
      </c>
      <c r="DK39" s="121" t="str">
        <f>MID(DM39,2,1)</f>
        <v/>
      </c>
      <c r="DL39" s="122" t="str">
        <f>RIGHT(DM39)</f>
        <v/>
      </c>
      <c r="DM39" s="123" t="str">
        <f>IF(DK38="","",OFFSET(Biblioteca!$I$2,MATCH(DK38,Biblioteca!$A$3:$A$200,0),0))</f>
        <v/>
      </c>
      <c r="DN39" s="124"/>
      <c r="DO39" s="125"/>
      <c r="DP39" s="57"/>
      <c r="DQ39" s="56"/>
      <c r="DR39" s="56"/>
      <c r="DS39" s="56"/>
      <c r="DT39" s="56"/>
      <c r="DU39" s="56"/>
      <c r="DV39" s="56"/>
      <c r="DW39" s="56"/>
      <c r="DX39" s="56"/>
      <c r="DY39" s="56"/>
    </row>
    <row r="40">
      <c r="A40" s="102" t="str">
        <f>IF(M40="","",HYPERLINK(OFFSET(Biblioteca!$B$2,MATCH(M40,Biblioteca!$A$3:$A$200,0),0),M40))</f>
        <v>Abdominal Canoa</v>
      </c>
      <c r="D40" s="103" t="str">
        <f>Montagem!Q28</f>
        <v>Bi-SET</v>
      </c>
      <c r="E40" s="104">
        <f>Montagem!R28</f>
        <v>4</v>
      </c>
      <c r="F40" s="104">
        <f>Montagem!S28</f>
        <v>10</v>
      </c>
      <c r="G40" s="104">
        <f>Montagem!T28</f>
        <v>45</v>
      </c>
      <c r="H40" s="104">
        <f>Montagem!U28</f>
        <v>1</v>
      </c>
      <c r="I40" s="132">
        <f>Montagem!V28</f>
        <v>2</v>
      </c>
      <c r="J40" s="105"/>
      <c r="K40" s="106">
        <f>Montagem!K28</f>
        <v>4</v>
      </c>
      <c r="L40" s="128">
        <f>Montagem!W28</f>
        <v>0</v>
      </c>
      <c r="M40" s="111" t="str">
        <f>Montagem!L28</f>
        <v>Abdominal Canoa</v>
      </c>
      <c r="N40" s="111" t="str">
        <f>Montagem!X28</f>
        <v/>
      </c>
      <c r="O40" s="106">
        <f>IF(N40="",L40,N40)</f>
        <v>0</v>
      </c>
      <c r="P40" s="106">
        <f>IF(L41="C",'Dados de Base'!$D$5*0.1,IF(L41="E",5,IF(J40="",O40,J40)))</f>
        <v>6.3</v>
      </c>
      <c r="Q40" s="108"/>
      <c r="R40" s="102" t="str">
        <f>IF(AD40="","",HYPERLINK(OFFSET(Biblioteca!$B$2,MATCH(AD40,Biblioteca!$A$3:$A$200,0),0),AD40))</f>
        <v>Abdominal roda</v>
      </c>
      <c r="U40" s="109" t="str">
        <f>Montagem!AF28</f>
        <v>Bi-SET</v>
      </c>
      <c r="V40" s="110">
        <f>Montagem!AG28</f>
        <v>4</v>
      </c>
      <c r="W40" s="110">
        <f>Montagem!AH28</f>
        <v>10</v>
      </c>
      <c r="X40" s="110">
        <f>Montagem!AI28</f>
        <v>45</v>
      </c>
      <c r="Y40" s="110">
        <f>Montagem!AJ28</f>
        <v>1</v>
      </c>
      <c r="Z40" s="110">
        <f>Montagem!AK28</f>
        <v>2</v>
      </c>
      <c r="AA40" s="113"/>
      <c r="AB40" s="111">
        <f>Montagem!Z28</f>
        <v>4</v>
      </c>
      <c r="AC40" s="111">
        <f>Montagem!AL28</f>
        <v>0</v>
      </c>
      <c r="AD40" s="129" t="str">
        <f>Montagem!AA28</f>
        <v>Abdominal roda</v>
      </c>
      <c r="AE40" s="111" t="str">
        <f>Montagem!AM28</f>
        <v/>
      </c>
      <c r="AF40" s="106">
        <f>IF(AE40="",AC40,AE40)</f>
        <v>0</v>
      </c>
      <c r="AG40" s="106">
        <f>IF(AC41="C",'Dados de Base'!$D$5*0.1,IF(AC41="E",5,IF(AA40="",AF40,AA40)))</f>
        <v>6.3</v>
      </c>
      <c r="AH40" s="108"/>
      <c r="AI40" s="115" t="str">
        <f>IF(AU40="","",HYPERLINK(OFFSET(Biblioteca!$B$2,MATCH(AU40,Biblioteca!$A$3:$A$200,0),0),AU40))</f>
        <v/>
      </c>
      <c r="AL40" s="109" t="str">
        <f>Montagem!AU28</f>
        <v/>
      </c>
      <c r="AM40" s="110" t="str">
        <f>Montagem!AV28</f>
        <v/>
      </c>
      <c r="AN40" s="110" t="str">
        <f>Montagem!AW28</f>
        <v/>
      </c>
      <c r="AO40" s="110" t="str">
        <f>Montagem!AX28</f>
        <v/>
      </c>
      <c r="AP40" s="110" t="str">
        <f>Montagem!AY28</f>
        <v/>
      </c>
      <c r="AQ40" s="110" t="str">
        <f>Montagem!AZ28</f>
        <v/>
      </c>
      <c r="AR40" s="114"/>
      <c r="AS40" s="111">
        <f>Montagem!AO28</f>
        <v>1</v>
      </c>
      <c r="AT40" s="111" t="str">
        <f>Montagem!BA28</f>
        <v/>
      </c>
      <c r="AU40" s="111" t="str">
        <f>Montagem!AP28</f>
        <v/>
      </c>
      <c r="AV40" s="111" t="str">
        <f>Montagem!BB28</f>
        <v/>
      </c>
      <c r="AW40" s="106" t="str">
        <f>IF(AV40="",AT40,AV40)</f>
        <v/>
      </c>
      <c r="AX40" s="106" t="str">
        <f>IF(AT41="C",'Dados de Base'!$D$5*0.1,IF(AT41="E",5,IF(AR40="",AW40,AR40)))</f>
        <v/>
      </c>
      <c r="AY40" s="108"/>
      <c r="AZ40" s="102" t="str">
        <f>IF(BL40="","",HYPERLINK(OFFSET(Biblioteca!$B$2,MATCH(BL40,Biblioteca!$A$3:$A$200,0),0),BL40))</f>
        <v>Fly Inverso</v>
      </c>
      <c r="BC40" s="109" t="str">
        <f>Montagem!BJ28</f>
        <v>Bi-SET</v>
      </c>
      <c r="BD40" s="110">
        <f>Montagem!BK28</f>
        <v>4</v>
      </c>
      <c r="BE40" s="110">
        <f>Montagem!BL28</f>
        <v>10</v>
      </c>
      <c r="BF40" s="110" t="str">
        <f>Montagem!BM28</f>
        <v/>
      </c>
      <c r="BG40" s="110">
        <f>Montagem!BN28</f>
        <v>1</v>
      </c>
      <c r="BH40" s="110">
        <f>Montagem!BO28</f>
        <v>2</v>
      </c>
      <c r="BI40" s="113"/>
      <c r="BJ40" s="111">
        <f>Montagem!BD28</f>
        <v>5</v>
      </c>
      <c r="BK40" s="111">
        <f>Montagem!BP28</f>
        <v>8</v>
      </c>
      <c r="BL40" s="111" t="str">
        <f>Montagem!BE28</f>
        <v>Fly Inverso</v>
      </c>
      <c r="BM40" s="111" t="str">
        <f>Montagem!BQ28</f>
        <v/>
      </c>
      <c r="BN40" s="106">
        <f>IF(BM40="",BK40,BM40)</f>
        <v>8</v>
      </c>
      <c r="BO40" s="106">
        <f>IF(BK41="C",'Dados de Base'!$D$5*0.1,IF(BK41="E",5,IF(BI40="",BN40,BI40)))</f>
        <v>8</v>
      </c>
      <c r="BP40" s="108"/>
      <c r="BQ40" s="102" t="str">
        <f>IF(CC40="","",HYPERLINK(OFFSET(Biblioteca!$B$2,MATCH(CC40,Biblioteca!$A$3:$A$200,0),0),CC40))</f>
        <v>Abdominal Canoa</v>
      </c>
      <c r="BT40" s="109" t="str">
        <f>Montagem!BY28</f>
        <v>Bi-SET</v>
      </c>
      <c r="BU40" s="110">
        <f>Montagem!BZ28</f>
        <v>4</v>
      </c>
      <c r="BV40" s="110">
        <f>Montagem!CA28</f>
        <v>10</v>
      </c>
      <c r="BW40" s="110">
        <f>Montagem!CB28</f>
        <v>45</v>
      </c>
      <c r="BX40" s="110">
        <f>Montagem!CC28</f>
        <v>1</v>
      </c>
      <c r="BY40" s="110">
        <f>Montagem!CD28</f>
        <v>2</v>
      </c>
      <c r="BZ40" s="113"/>
      <c r="CA40" s="111">
        <f>Montagem!BS28</f>
        <v>4</v>
      </c>
      <c r="CB40" s="111">
        <f>Montagem!CE28</f>
        <v>0</v>
      </c>
      <c r="CC40" s="111" t="str">
        <f>Montagem!BT28</f>
        <v>Abdominal Canoa</v>
      </c>
      <c r="CD40" s="111" t="str">
        <f>Montagem!CF28</f>
        <v/>
      </c>
      <c r="CE40" s="106">
        <f>IF(CD40="",CB40,CD40)</f>
        <v>0</v>
      </c>
      <c r="CF40" s="106">
        <f>IF(CB41="C",'Dados de Base'!$D$5*0.1,IF(CB41="E",5,IF(BZ40="",CE40,BZ40)))</f>
        <v>6.3</v>
      </c>
      <c r="CG40" s="108"/>
      <c r="CH40" s="115" t="str">
        <f>IF(CT40="","",HYPERLINK(OFFSET(Biblioteca!$B$2,MATCH(CT40,Biblioteca!$A$3:$A$200,0),0),CT40))</f>
        <v/>
      </c>
      <c r="CK40" s="109" t="str">
        <f>Montagem!CN28</f>
        <v/>
      </c>
      <c r="CL40" s="110" t="str">
        <f>Montagem!CO28</f>
        <v/>
      </c>
      <c r="CM40" s="110" t="str">
        <f>Montagem!CP28</f>
        <v/>
      </c>
      <c r="CN40" s="110" t="str">
        <f>Montagem!CQ28</f>
        <v/>
      </c>
      <c r="CO40" s="110" t="str">
        <f>Montagem!CR28</f>
        <v/>
      </c>
      <c r="CP40" s="110" t="str">
        <f>Montagem!CS28</f>
        <v/>
      </c>
      <c r="CQ40" s="114"/>
      <c r="CR40" s="111">
        <f>Montagem!CH28</f>
        <v>1</v>
      </c>
      <c r="CS40" s="111" t="str">
        <f>Montagem!CT28</f>
        <v/>
      </c>
      <c r="CT40" s="111" t="str">
        <f>Montagem!CI28</f>
        <v/>
      </c>
      <c r="CU40" s="111" t="str">
        <f>Montagem!CU28</f>
        <v/>
      </c>
      <c r="CV40" s="106" t="str">
        <f>IF(CU40="",CS40,CU40)</f>
        <v/>
      </c>
      <c r="CW40" s="106" t="str">
        <f>IF(CS41="C",'Dados de Base'!$D$5*0.1,IF(CS41="E",5,IF(CQ40="",CV40,CQ40)))</f>
        <v/>
      </c>
      <c r="CX40" s="108"/>
      <c r="CY40" s="115" t="str">
        <f>IF(DK40="","",HYPERLINK(OFFSET(Biblioteca!$B$2,MATCH(DK40,Biblioteca!$A$3:$A$200,0),0),DK40))</f>
        <v/>
      </c>
      <c r="DB40" s="130" t="str">
        <f>Montagem!DC28</f>
        <v/>
      </c>
      <c r="DC40" s="131" t="str">
        <f>Montagem!DD28</f>
        <v/>
      </c>
      <c r="DD40" s="131" t="str">
        <f>Montagem!DE28</f>
        <v/>
      </c>
      <c r="DE40" s="131" t="str">
        <f>Montagem!DF28</f>
        <v/>
      </c>
      <c r="DF40" s="131" t="str">
        <f>Montagem!DG28</f>
        <v/>
      </c>
      <c r="DG40" s="131" t="str">
        <f>Montagem!DH28</f>
        <v/>
      </c>
      <c r="DH40" s="114"/>
      <c r="DI40" s="111">
        <f>Montagem!CW28</f>
        <v>1</v>
      </c>
      <c r="DJ40" s="111" t="str">
        <f>Montagem!DI28</f>
        <v/>
      </c>
      <c r="DK40" s="111" t="str">
        <f>Montagem!CX28</f>
        <v/>
      </c>
      <c r="DL40" s="111" t="str">
        <f>Montagem!DJ28</f>
        <v/>
      </c>
      <c r="DM40" s="106" t="str">
        <f>IF(DL40="",DJ40,DL40)</f>
        <v/>
      </c>
      <c r="DN40" s="106" t="str">
        <f>IF(DJ41="C",'Dados de Base'!$D$5*0.1,IF(DJ41="E",5,IF(DH40="",DM40,DH40)))</f>
        <v/>
      </c>
      <c r="DO40" s="108"/>
      <c r="DP40" s="106"/>
      <c r="DQ40" s="106"/>
      <c r="DR40" s="106"/>
      <c r="DS40" s="106"/>
      <c r="DT40" s="106"/>
      <c r="DU40" s="106"/>
      <c r="DV40" s="106"/>
      <c r="DW40" s="106"/>
      <c r="DX40" s="106"/>
      <c r="DY40" s="106"/>
    </row>
    <row r="41">
      <c r="A41" s="117" t="str">
        <f>IF(A40="","",IFS(L41="A",Montagem!$C$30,N41="T","Realizar a maior quantidade de repetições por "&amp;F40&amp;" segundos | ",N41="I",IF(M41="U","Manter a posição por "&amp;F40&amp;" segundos de um lado e trocar para o outro na sequência | ","Manter a posição por "&amp;F40&amp;" segundos | "),M41="A","Realizar alternadamente "&amp;F40&amp;" repetições cada lado | ",M41="U","Realizar "&amp;F40&amp;" repetições de um lado e trocar para o outro na sequência | ",L41="P",OFFSET(Biblioteca!$H$2,MATCH(M40,Biblioteca!$A$3:$A$200,0),0),TRUE,"")&amp;IF(N41="R","Ajuste a carga para que tenha "&amp;$K$2&amp;" repetições de reserva",""))</f>
        <v>Ajuste a carga para que tenha 0 a 2 repetições de reserva</v>
      </c>
      <c r="E41" s="118" t="str">
        <f>IF(A40="","",IFS(L41="H","Carga Sugerida: "&amp;ROUNDUP(O40/2,0)&amp;" kg de cada lado (Total: "&amp;ROUNDUP(O40/2,0)*2&amp;" kg)",L41="C","Este exercício usa o Peso Corporal como carga",L41="E","Este exercício usa a resistência da banda elástica como carga",L41="O","Carga Sugerida: "&amp;INT(O40)&amp;" kg",TRUE,""))</f>
        <v>Este exercício usa o Peso Corporal como carga</v>
      </c>
      <c r="J41" s="66"/>
      <c r="K41" s="106">
        <f>K40</f>
        <v>4</v>
      </c>
      <c r="L41" s="120" t="str">
        <f>LEFT(O41)</f>
        <v>C</v>
      </c>
      <c r="M41" s="121" t="str">
        <f>MID(O41,2,1)</f>
        <v>O</v>
      </c>
      <c r="N41" s="122" t="str">
        <f>RIGHT(O41)</f>
        <v>R</v>
      </c>
      <c r="O41" s="123" t="str">
        <f>IF(M40="","",OFFSET(Biblioteca!$I$2,MATCH(M40,Biblioteca!$A$3:$A$200,0),0))</f>
        <v>COR</v>
      </c>
      <c r="P41" s="124"/>
      <c r="Q41" s="125"/>
      <c r="R41" s="117" t="str">
        <f>IF(R40="","",IFS(AC41="A",Montagem!$D$30,AE41="T","Realizar a maior quantidade de repetições por "&amp;W40&amp;" segundos | ",AE41="I",IF(AD41="U","Manter a posição por "&amp;W40&amp;" segundos de um lado e trocar para o outro na sequência | ","Manter a posição por "&amp;W40&amp;" segundos | "),AD41="A","Realizar alternadamente "&amp;W40&amp;" repetições cada lado | ",AD41="U","Realizar "&amp;W40&amp;" repetições de um lado e trocar para o outro na sequência | ",AC41="P",OFFSET(Biblioteca!$H$2,MATCH(AD40,Biblioteca!$A$3:$A$200,0),0),TRUE,"")&amp;IF(AE41="R","Ajuste a carga para que tenha "&amp;$K$2&amp;" repetições de reserva",""))</f>
        <v>Ajuste a carga para que tenha 0 a 2 repetições de reserva</v>
      </c>
      <c r="V41" s="118" t="str">
        <f>IF(R40="","",IFS(AC41="H","Carga Sugerida: "&amp;ROUNDUP(AF40/2,0)&amp;" kg de cada lado (Total: "&amp;ROUNDUP(AF40/2,0)*2&amp;" kg)",AC41="C","Este exercício usa o Peso Corporal como carga",AC41="E","Este exercício usa a resistência da banda elástica como carga",AC41="O","Carga Sugerida: "&amp;INT(AF40)&amp;" kg",TRUE,""))</f>
        <v>Este exercício usa o Peso Corporal como carga</v>
      </c>
      <c r="AA41" s="66"/>
      <c r="AB41" s="126">
        <f>AB40</f>
        <v>4</v>
      </c>
      <c r="AC41" s="120" t="str">
        <f>LEFT(AF41)</f>
        <v>C</v>
      </c>
      <c r="AD41" s="121" t="str">
        <f>MID(AF41,2,1)</f>
        <v>O</v>
      </c>
      <c r="AE41" s="122" t="str">
        <f>RIGHT(AF41)</f>
        <v>R</v>
      </c>
      <c r="AF41" s="123" t="str">
        <f>IF(AD40="","",OFFSET(Biblioteca!$I$2,MATCH(AD40,Biblioteca!$A$3:$A$200,0),0))</f>
        <v>COR</v>
      </c>
      <c r="AG41" s="124"/>
      <c r="AH41" s="125"/>
      <c r="AI41" s="117" t="str">
        <f>IF(AI40="","",IFS(AT41="A",Montagem!$E$30,AV41="T","Realizar a maior quantidade de repetições por "&amp;AN40&amp;" segundos | ",AV41="I",IF(AU41="U","Manter a posição por "&amp;AN40&amp;" segundos de um lado e trocar para o outro na sequência | ","Manter a posição por "&amp;AN40&amp;" segundos | "),AU41="A","Realizar alternadamente "&amp;AN40&amp;" repetições cada lado | ",AU41="U","Realizar "&amp;AN40&amp;" repetições de um lado e trocar para o outro na sequência | ",AT41="P",OFFSET(Biblioteca!$H$2,MATCH(AU40,Biblioteca!$A$3:$A$200,0),0),TRUE,"")&amp;IF(AV41="R","Ajuste a carga para que tenha "&amp;$K$2&amp;" repetições de reserva",""))</f>
        <v/>
      </c>
      <c r="AM41" s="118" t="str">
        <f>IF(AI40="","",IFS(AT41="H","Carga Sugerida: "&amp;ROUNDUP(AW40/2,0)&amp;" kg de cada lado (Total: "&amp;ROUNDUP(AW40/2,0)*2&amp;" kg)",AT41="C","Este exercício usa o Peso Corporal como carga",AT41="E","Este exercício usa a resistência da banda elástica como carga",AT41="O","Carga Sugerida: "&amp;INT(AW40)&amp;" kg",TRUE,""))</f>
        <v/>
      </c>
      <c r="AR41" s="66"/>
      <c r="AS41" s="126">
        <f>AS40</f>
        <v>1</v>
      </c>
      <c r="AT41" s="120" t="str">
        <f>LEFT(AW41)</f>
        <v/>
      </c>
      <c r="AU41" s="121" t="str">
        <f>MID(AW41,2,1)</f>
        <v/>
      </c>
      <c r="AV41" s="122" t="str">
        <f>RIGHT(AW41)</f>
        <v/>
      </c>
      <c r="AW41" s="123" t="str">
        <f>IF(AU40="","",OFFSET(Biblioteca!$I$2,MATCH(AU40,Biblioteca!$A$3:$A$200,0),0))</f>
        <v/>
      </c>
      <c r="AX41" s="124"/>
      <c r="AY41" s="125"/>
      <c r="AZ41" s="117" t="str">
        <f>IF(AZ40="","",IFS(BK41="A",Montagem!$F$30,BM41="T","Realizar a maior quantidade de repetições por "&amp;BE40&amp;" segundos | ",BM41="I",IF(BL41="U","Manter a posição por "&amp;BE40&amp;" segundos de um lado e trocar para o outro na sequência | ","Manter a posição por "&amp;BE40&amp;" segundos | "),BL41="A","Realizar alternadamente "&amp;BE40&amp;" repetições cada lado | ",BL41="U","Realizar "&amp;BE40&amp;" repetições de um lado e trocar para o outro na sequência | ",BK41="P",OFFSET(Biblioteca!$H$2,MATCH(BL40,Biblioteca!$A$3:$A$200,0),0),TRUE,"")&amp;IF(BM41="R","Ajuste a carga para que tenha "&amp;$K$2&amp;" repetições de reserva",""))</f>
        <v>Ajuste a carga para que tenha 0 a 2 repetições de reserva</v>
      </c>
      <c r="BD41" s="118" t="str">
        <f>IF(AZ40="","",IFS(BK41="H","Carga Sugerida: "&amp;ROUNDUP(BN40/2,0)&amp;" kg de cada lado (Total: "&amp;ROUNDUP(BN40/2,0)*2&amp;" kg)",BK41="C","Este exercício usa o Peso Corporal como carga",BK41="E","Este exercício usa a resistência da banda elástica como carga",BK41="O","Carga Sugerida: "&amp;INT(BN40)&amp;" kg",TRUE,""))</f>
        <v>Carga Sugerida: 8 kg</v>
      </c>
      <c r="BI41" s="66"/>
      <c r="BJ41" s="126">
        <f>BJ40</f>
        <v>5</v>
      </c>
      <c r="BK41" s="120" t="str">
        <f>LEFT(BN41)</f>
        <v>O</v>
      </c>
      <c r="BL41" s="121" t="str">
        <f>MID(BN41,2,1)</f>
        <v>O</v>
      </c>
      <c r="BM41" s="122" t="str">
        <f>RIGHT(BN41)</f>
        <v>R</v>
      </c>
      <c r="BN41" s="123" t="str">
        <f>IF(BL40="","",OFFSET(Biblioteca!$I$2,MATCH(BL40,Biblioteca!$A$3:$A$200,0),0))</f>
        <v>OOR</v>
      </c>
      <c r="BO41" s="124"/>
      <c r="BP41" s="125"/>
      <c r="BQ41" s="117" t="str">
        <f>IF(BQ40="","",IFS(CB41="A",Montagem!$G$30,CD41="T","Realizar a maior quantidade de repetições por "&amp;BV40&amp;" segundos | ",CD41="I",IF(CC41="U","Manter a posição por "&amp;BV40&amp;" segundos de um lado e trocar para o outro na sequência | ","Manter a posição por "&amp;BV40&amp;" segundos | "),CC41="A","Realizar alternadamente "&amp;BV40&amp;" repetições cada lado | ",CC41="U","Realizar "&amp;BV40&amp;" repetições de um lado e trocar para o outro na sequência | ",CB41="P",OFFSET(Biblioteca!$H$2,MATCH(CC40,Biblioteca!$A$3:$A$200,0),0),TRUE,"")&amp;IF(CD41="R","Ajuste a carga para que tenha "&amp;$K$2&amp;" repetições de reserva",""))</f>
        <v>Ajuste a carga para que tenha 0 a 2 repetições de reserva</v>
      </c>
      <c r="BU41" s="118" t="str">
        <f>IF(BQ40="","",IFS(CB41="H","Carga Sugerida: "&amp;ROUNDUP(CE40/2,0)&amp;" kg de cada lado (Total: "&amp;ROUNDUP(CE40/2,0)*2&amp;" kg)",CB41="C","Este exercício usa o Peso Corporal como carga",CB41="E","Este exercício usa a resistência da banda elástica como carga",CB41="O","Carga Sugerida: "&amp;INT(CE40)&amp;" kg",TRUE,""))</f>
        <v>Este exercício usa o Peso Corporal como carga</v>
      </c>
      <c r="BZ41" s="66"/>
      <c r="CA41" s="126">
        <f>CA40</f>
        <v>4</v>
      </c>
      <c r="CB41" s="120" t="str">
        <f>LEFT(CE41)</f>
        <v>C</v>
      </c>
      <c r="CC41" s="121" t="str">
        <f>MID(CE41,2,1)</f>
        <v>O</v>
      </c>
      <c r="CD41" s="122" t="str">
        <f>RIGHT(CE41)</f>
        <v>R</v>
      </c>
      <c r="CE41" s="123" t="str">
        <f>IF(CC40="","",OFFSET(Biblioteca!$I$2,MATCH(CC40,Biblioteca!$A$3:$A$200,0),0))</f>
        <v>COR</v>
      </c>
      <c r="CF41" s="124"/>
      <c r="CG41" s="125"/>
      <c r="CH41" s="117" t="str">
        <f>IF(CH40="","",IFS(CS41="A",Montagem!$H$30,CU41="T","Realizar a maior quantidade de repetições por "&amp;CM40&amp;" segundos | ",CU41="I",IF(CT41="U","Manter a posição por "&amp;CM40&amp;" segundos de um lado e trocar para o outro na sequência | ","Manter a posição por "&amp;CM40&amp;" segundos | "),CT41="A","Realizar alternadamente "&amp;CM40&amp;" repetições cada lado | ",CT41="U","Realizar "&amp;CM40&amp;" repetições de um lado e trocar para o outro na sequência | ",CS41="P",OFFSET(Biblioteca!$H$2,MATCH(CT40,Biblioteca!$A$3:$A$200,0),0),TRUE,"")&amp;IF(CU41="R","Ajuste a carga para que tenha "&amp;$K$2&amp;" repetições de reserva",""))</f>
        <v/>
      </c>
      <c r="CL41" s="118" t="str">
        <f>IF(CH40="","",IFS(CS41="H","Carga Sugerida: "&amp;ROUNDUP(CV40/2,0)&amp;" kg de cada lado (Total: "&amp;ROUNDUP(CV40/2,0)*2&amp;" kg)",CS41="C","Este exercício usa o Peso Corporal como carga",CS41="E","Este exercício usa a resistência da banda elástica como carga",CS41="O","Carga Sugerida: "&amp;INT(CV40)&amp;" kg",TRUE,""))</f>
        <v/>
      </c>
      <c r="CQ41" s="66"/>
      <c r="CR41" s="126">
        <f>CR40</f>
        <v>1</v>
      </c>
      <c r="CS41" s="120" t="str">
        <f>LEFT(CV41)</f>
        <v/>
      </c>
      <c r="CT41" s="121" t="str">
        <f>MID(CV41,2,1)</f>
        <v/>
      </c>
      <c r="CU41" s="122" t="str">
        <f>RIGHT(CV41)</f>
        <v/>
      </c>
      <c r="CV41" s="123" t="str">
        <f>IF(CT40="","",OFFSET(Biblioteca!$I$2,MATCH(CT40,Biblioteca!$A$3:$A$200,0),0))</f>
        <v/>
      </c>
      <c r="CW41" s="124"/>
      <c r="CX41" s="125"/>
      <c r="CY41" s="117" t="str">
        <f>IF(CY40="","",IFS(DJ41="A",Montagem!$I$30,DL41="T","Realizar a maior quantidade de repetições por "&amp;DD40&amp;" segundos | ",DL41="I",IF(DK41="U","Manter a posição por "&amp;DD40&amp;" segundos de um lado e trocar para o outro na sequência | ","Manter a posição por "&amp;DD40&amp;" segundos | "),DK41="A","Realizar alternadamente "&amp;DD40&amp;" repetições cada lado | ",DK41="U","Realizar "&amp;DD40&amp;" repetições de um lado e trocar para o outro na sequência | ",DJ41="P",OFFSET(Biblioteca!$H$2,MATCH(DK40,Biblioteca!$A$3:$A$200,0),0),TRUE,"")&amp;IF(DL41="R","Ajuste a carga para que tenha "&amp;$K$2&amp;" repetições de reserva",""))</f>
        <v/>
      </c>
      <c r="DC41" s="118" t="str">
        <f>IF(CY40="","",IFS(DJ41="H","Carga Sugerida: "&amp;ROUNDUP(DM40/2,0)&amp;" kg de cada lado (Total: "&amp;ROUNDUP(DM40/2,0)*2&amp;" kg)",DJ41="C","Este exercício usa o Peso Corporal como carga",DJ41="E","Este exercício usa a resistência da banda elástica como carga",DJ41="O","Carga Sugerida: "&amp;INT(DM40)&amp;" kg",TRUE,""))</f>
        <v/>
      </c>
      <c r="DH41" s="66"/>
      <c r="DI41" s="126">
        <f>DI40</f>
        <v>1</v>
      </c>
      <c r="DJ41" s="120" t="str">
        <f>LEFT(DM41)</f>
        <v/>
      </c>
      <c r="DK41" s="121" t="str">
        <f>MID(DM41,2,1)</f>
        <v/>
      </c>
      <c r="DL41" s="122" t="str">
        <f>RIGHT(DM41)</f>
        <v/>
      </c>
      <c r="DM41" s="123" t="str">
        <f>IF(DK40="","",OFFSET(Biblioteca!$I$2,MATCH(DK40,Biblioteca!$A$3:$A$200,0),0))</f>
        <v/>
      </c>
      <c r="DN41" s="124"/>
      <c r="DO41" s="125"/>
      <c r="DP41" s="57"/>
      <c r="DQ41" s="56"/>
      <c r="DR41" s="56"/>
      <c r="DS41" s="56"/>
      <c r="DT41" s="56"/>
      <c r="DU41" s="56"/>
      <c r="DV41" s="56"/>
      <c r="DW41" s="56"/>
      <c r="DX41" s="56"/>
      <c r="DY41" s="56"/>
    </row>
    <row r="42">
      <c r="A42" s="102" t="str">
        <f>IF(M42="","",HYPERLINK(OFFSET(Biblioteca!$B$2,MATCH(M42,Biblioteca!$A$3:$A$200,0),0),M42))</f>
        <v>Lat PullDown</v>
      </c>
      <c r="D42" s="103" t="str">
        <f>Montagem!Q29</f>
        <v>Bi-SET</v>
      </c>
      <c r="E42" s="104">
        <f>Montagem!R29</f>
        <v>4</v>
      </c>
      <c r="F42" s="104">
        <f>Montagem!S29</f>
        <v>10</v>
      </c>
      <c r="G42" s="104" t="str">
        <f>Montagem!T29</f>
        <v/>
      </c>
      <c r="H42" s="104">
        <f>Montagem!U29</f>
        <v>1</v>
      </c>
      <c r="I42" s="132">
        <f>Montagem!V29</f>
        <v>2</v>
      </c>
      <c r="J42" s="105"/>
      <c r="K42" s="106">
        <f>Montagem!K29</f>
        <v>5</v>
      </c>
      <c r="L42" s="128">
        <f>Montagem!W29</f>
        <v>8.379</v>
      </c>
      <c r="M42" s="111" t="str">
        <f>Montagem!L29</f>
        <v>Lat PullDown</v>
      </c>
      <c r="N42" s="111" t="str">
        <f>Montagem!X29</f>
        <v/>
      </c>
      <c r="O42" s="106">
        <f>IF(N42="",L42,N42)</f>
        <v>8.379</v>
      </c>
      <c r="P42" s="106">
        <f>IF(L43="C",'Dados de Base'!$D$5*0.1,IF(L43="E",5,IF(J42="",O42,J42)))</f>
        <v>8.379</v>
      </c>
      <c r="Q42" s="108"/>
      <c r="R42" s="102" t="str">
        <f>IF(AD42="","",HYPERLINK(OFFSET(Biblioteca!$B$2,MATCH(AD42,Biblioteca!$A$3:$A$200,0),0),AD42))</f>
        <v>Crucifixo</v>
      </c>
      <c r="U42" s="109" t="str">
        <f>Montagem!AF29</f>
        <v>Bi-SET</v>
      </c>
      <c r="V42" s="110">
        <f>Montagem!AG29</f>
        <v>4</v>
      </c>
      <c r="W42" s="110">
        <f>Montagem!AH29</f>
        <v>10</v>
      </c>
      <c r="X42" s="110" t="str">
        <f>Montagem!AI29</f>
        <v/>
      </c>
      <c r="Y42" s="110">
        <f>Montagem!AJ29</f>
        <v>1</v>
      </c>
      <c r="Z42" s="110">
        <f>Montagem!AK29</f>
        <v>2</v>
      </c>
      <c r="AA42" s="105"/>
      <c r="AB42" s="111">
        <f>Montagem!Z29</f>
        <v>5</v>
      </c>
      <c r="AC42" s="111">
        <f>Montagem!AL29</f>
        <v>19</v>
      </c>
      <c r="AD42" s="129" t="str">
        <f>Montagem!AA29</f>
        <v>Crucifixo</v>
      </c>
      <c r="AE42" s="111" t="str">
        <f>Montagem!AM29</f>
        <v/>
      </c>
      <c r="AF42" s="106">
        <f>IF(AE42="",AC42,AE42)</f>
        <v>19</v>
      </c>
      <c r="AG42" s="106">
        <f>IF(AC43="C",'Dados de Base'!$D$5*0.1,IF(AC43="E",5,IF(AA42="",AF42,AA42)))</f>
        <v>19</v>
      </c>
      <c r="AH42" s="108"/>
      <c r="AI42" s="115" t="str">
        <f>IF(AU42="","",HYPERLINK(OFFSET(Biblioteca!$B$2,MATCH(AU42,Biblioteca!$A$3:$A$200,0),0),AU42))</f>
        <v/>
      </c>
      <c r="AL42" s="109" t="str">
        <f>Montagem!AU29</f>
        <v/>
      </c>
      <c r="AM42" s="110" t="str">
        <f>Montagem!AV29</f>
        <v/>
      </c>
      <c r="AN42" s="110" t="str">
        <f>Montagem!AW29</f>
        <v/>
      </c>
      <c r="AO42" s="110" t="str">
        <f>Montagem!AX29</f>
        <v/>
      </c>
      <c r="AP42" s="110" t="str">
        <f>Montagem!AY29</f>
        <v/>
      </c>
      <c r="AQ42" s="110" t="str">
        <f>Montagem!AZ29</f>
        <v/>
      </c>
      <c r="AR42" s="114"/>
      <c r="AS42" s="111">
        <f>Montagem!AO29</f>
        <v>1</v>
      </c>
      <c r="AT42" s="111" t="str">
        <f>Montagem!BA29</f>
        <v/>
      </c>
      <c r="AU42" s="111" t="str">
        <f>Montagem!AP29</f>
        <v/>
      </c>
      <c r="AV42" s="111" t="str">
        <f>Montagem!BB29</f>
        <v/>
      </c>
      <c r="AW42" s="106" t="str">
        <f>IF(AV42="",AT42,AV42)</f>
        <v/>
      </c>
      <c r="AX42" s="106" t="str">
        <f>IF(AT43="C",'Dados de Base'!$D$5*0.1,IF(AT43="E",5,IF(AR42="",AW42,AR42)))</f>
        <v/>
      </c>
      <c r="AY42" s="108"/>
      <c r="AZ42" s="102" t="str">
        <f>IF(BL42="","",HYPERLINK(OFFSET(Biblioteca!$B$2,MATCH(BL42,Biblioteca!$A$3:$A$200,0),0),BL42))</f>
        <v>Tríceps Polia</v>
      </c>
      <c r="BC42" s="109" t="str">
        <f>Montagem!BJ29</f>
        <v>Bi-SET</v>
      </c>
      <c r="BD42" s="110">
        <f>Montagem!BK29</f>
        <v>4</v>
      </c>
      <c r="BE42" s="110">
        <f>Montagem!BL29</f>
        <v>10</v>
      </c>
      <c r="BF42" s="110">
        <f>Montagem!BM29</f>
        <v>45</v>
      </c>
      <c r="BG42" s="110">
        <f>Montagem!BN29</f>
        <v>1</v>
      </c>
      <c r="BH42" s="110">
        <f>Montagem!BO29</f>
        <v>2</v>
      </c>
      <c r="BI42" s="113"/>
      <c r="BJ42" s="111">
        <f>Montagem!BD29</f>
        <v>5</v>
      </c>
      <c r="BK42" s="111">
        <f>Montagem!BP29</f>
        <v>8.041155691</v>
      </c>
      <c r="BL42" s="111" t="str">
        <f>Montagem!BE29</f>
        <v>Tríceps Polia</v>
      </c>
      <c r="BM42" s="111" t="str">
        <f>Montagem!BQ29</f>
        <v/>
      </c>
      <c r="BN42" s="106">
        <f>IF(BM42="",BK42,BM42)</f>
        <v>8.041155691</v>
      </c>
      <c r="BO42" s="106">
        <f>IF(BK43="C",'Dados de Base'!$D$5*0.1,IF(BK43="E",5,IF(BI42="",BN42,BI42)))</f>
        <v>8.041155691</v>
      </c>
      <c r="BP42" s="108"/>
      <c r="BQ42" s="102" t="str">
        <f>IF(CC42="","",HYPERLINK(OFFSET(Biblioteca!$B$2,MATCH(CC42,Biblioteca!$A$3:$A$200,0),0),CC42))</f>
        <v>Arremesso</v>
      </c>
      <c r="BT42" s="109" t="str">
        <f>Montagem!BY29</f>
        <v>Bi-SET</v>
      </c>
      <c r="BU42" s="110">
        <f>Montagem!BZ29</f>
        <v>4</v>
      </c>
      <c r="BV42" s="110">
        <f>Montagem!CA29</f>
        <v>10</v>
      </c>
      <c r="BW42" s="110" t="str">
        <f>Montagem!CB29</f>
        <v/>
      </c>
      <c r="BX42" s="110">
        <f>Montagem!CC29</f>
        <v>1</v>
      </c>
      <c r="BY42" s="110">
        <f>Montagem!CD29</f>
        <v>2</v>
      </c>
      <c r="BZ42" s="113"/>
      <c r="CA42" s="111">
        <f>Montagem!BS29</f>
        <v>5</v>
      </c>
      <c r="CB42" s="111">
        <f>Montagem!CE29</f>
        <v>7.053645343</v>
      </c>
      <c r="CC42" s="111" t="str">
        <f>Montagem!BT29</f>
        <v>Arremesso</v>
      </c>
      <c r="CD42" s="111" t="str">
        <f>Montagem!CF29</f>
        <v/>
      </c>
      <c r="CE42" s="106">
        <f>IF(CD42="",CB42,CD42)</f>
        <v>7.053645343</v>
      </c>
      <c r="CF42" s="106">
        <f>IF(CB43="C",'Dados de Base'!$D$5*0.1,IF(CB43="E",5,IF(BZ42="",CE42,BZ42)))</f>
        <v>7.053645343</v>
      </c>
      <c r="CG42" s="108"/>
      <c r="CH42" s="115" t="str">
        <f>IF(CT42="","",HYPERLINK(OFFSET(Biblioteca!$B$2,MATCH(CT42,Biblioteca!$A$3:$A$200,0),0),CT42))</f>
        <v/>
      </c>
      <c r="CK42" s="109" t="str">
        <f>Montagem!CN29</f>
        <v/>
      </c>
      <c r="CL42" s="110" t="str">
        <f>Montagem!CO29</f>
        <v/>
      </c>
      <c r="CM42" s="110" t="str">
        <f>Montagem!CP29</f>
        <v/>
      </c>
      <c r="CN42" s="110" t="str">
        <f>Montagem!CQ29</f>
        <v/>
      </c>
      <c r="CO42" s="110" t="str">
        <f>Montagem!CR29</f>
        <v/>
      </c>
      <c r="CP42" s="110" t="str">
        <f>Montagem!CS29</f>
        <v/>
      </c>
      <c r="CQ42" s="114"/>
      <c r="CR42" s="111">
        <f>Montagem!CH29</f>
        <v>1</v>
      </c>
      <c r="CS42" s="111" t="str">
        <f>Montagem!CT29</f>
        <v/>
      </c>
      <c r="CT42" s="111" t="str">
        <f>Montagem!CI29</f>
        <v/>
      </c>
      <c r="CU42" s="111" t="str">
        <f>Montagem!CU29</f>
        <v/>
      </c>
      <c r="CV42" s="106" t="str">
        <f>IF(CU42="",CS42,CU42)</f>
        <v/>
      </c>
      <c r="CW42" s="106" t="str">
        <f>IF(CS43="C",'Dados de Base'!$D$5*0.1,IF(CS43="E",5,IF(CQ42="",CV42,CQ42)))</f>
        <v/>
      </c>
      <c r="CX42" s="108"/>
      <c r="CY42" s="115" t="str">
        <f>IF(DK42="","",HYPERLINK(OFFSET(Biblioteca!$B$2,MATCH(DK42,Biblioteca!$A$3:$A$200,0),0),DK42))</f>
        <v/>
      </c>
      <c r="DB42" s="130" t="str">
        <f>Montagem!DC29</f>
        <v/>
      </c>
      <c r="DC42" s="131" t="str">
        <f>Montagem!DD29</f>
        <v/>
      </c>
      <c r="DD42" s="131" t="str">
        <f>Montagem!DE29</f>
        <v/>
      </c>
      <c r="DE42" s="131" t="str">
        <f>Montagem!DF29</f>
        <v/>
      </c>
      <c r="DF42" s="131" t="str">
        <f>Montagem!DG29</f>
        <v/>
      </c>
      <c r="DG42" s="131" t="str">
        <f>Montagem!DH29</f>
        <v/>
      </c>
      <c r="DH42" s="114"/>
      <c r="DI42" s="111">
        <f>Montagem!CW29</f>
        <v>1</v>
      </c>
      <c r="DJ42" s="111" t="str">
        <f>Montagem!DI29</f>
        <v/>
      </c>
      <c r="DK42" s="111" t="str">
        <f>Montagem!CX29</f>
        <v/>
      </c>
      <c r="DL42" s="111" t="str">
        <f>Montagem!DJ29</f>
        <v/>
      </c>
      <c r="DM42" s="106" t="str">
        <f>IF(DL42="",DJ42,DL42)</f>
        <v/>
      </c>
      <c r="DN42" s="106" t="str">
        <f>IF(DJ43="C",'Dados de Base'!$D$5*0.1,IF(DJ43="E",5,IF(DH42="",DM42,DH42)))</f>
        <v/>
      </c>
      <c r="DO42" s="108"/>
      <c r="DP42" s="106"/>
      <c r="DQ42" s="106"/>
      <c r="DR42" s="106"/>
      <c r="DS42" s="106"/>
      <c r="DT42" s="106"/>
      <c r="DU42" s="106"/>
      <c r="DV42" s="106"/>
      <c r="DW42" s="106"/>
      <c r="DX42" s="106"/>
      <c r="DY42" s="106"/>
    </row>
    <row r="43">
      <c r="A43" s="117" t="str">
        <f>IF(A42="","",IFS(L43="A",Montagem!$C$30,N43="T","Realizar a maior quantidade de repetições por "&amp;F42&amp;" segundos | ",N43="I",IF(M43="U","Manter a posição por "&amp;F42&amp;" segundos de um lado e trocar para o outro na sequência | ","Manter a posição por "&amp;F42&amp;" segundos | "),M43="A","Realizar alternadamente "&amp;F42&amp;" repetições cada lado | ",M43="U","Realizar "&amp;F42&amp;" repetições de um lado e trocar para o outro na sequência | ",L43="P",OFFSET(Biblioteca!$H$2,MATCH(M42,Biblioteca!$A$3:$A$200,0),0),TRUE,"")&amp;IF(N43="R","Ajuste a carga para que tenha "&amp;$K$2&amp;" repetições de reserva",""))</f>
        <v>Ajuste a carga para que tenha 0 a 2 repetições de reserva</v>
      </c>
      <c r="E43" s="118" t="str">
        <f>IF(A42="","",IFS(L43="H","Carga Sugerida: "&amp;ROUNDUP(O42/2,0)&amp;" kg de cada lado (Total: "&amp;ROUNDUP(O42/2,0)*2&amp;" kg)",L43="C","Este exercício usa o Peso Corporal como carga",L43="E","Este exercício usa a resistência da banda elástica como carga",L43="O","Carga Sugerida: "&amp;INT(O42)&amp;" kg",TRUE,""))</f>
        <v>Carga Sugerida: 8 kg</v>
      </c>
      <c r="J43" s="66"/>
      <c r="K43" s="106">
        <f>K42</f>
        <v>5</v>
      </c>
      <c r="L43" s="120" t="str">
        <f>LEFT(O43)</f>
        <v>O</v>
      </c>
      <c r="M43" s="121" t="str">
        <f>MID(O43,2,1)</f>
        <v>O</v>
      </c>
      <c r="N43" s="122" t="str">
        <f>RIGHT(O43)</f>
        <v>R</v>
      </c>
      <c r="O43" s="123" t="str">
        <f>IF(M42="","",OFFSET(Biblioteca!$I$2,MATCH(M42,Biblioteca!$A$3:$A$200,0),0))</f>
        <v>OOR</v>
      </c>
      <c r="P43" s="124"/>
      <c r="Q43" s="125"/>
      <c r="R43" s="117" t="str">
        <f>IF(R42="","",IFS(AC43="A",Montagem!$D$30,AE43="T","Realizar a maior quantidade de repetições por "&amp;W42&amp;" segundos | ",AE43="I",IF(AD43="U","Manter a posição por "&amp;W42&amp;" segundos de um lado e trocar para o outro na sequência | ","Manter a posição por "&amp;W42&amp;" segundos | "),AD43="A","Realizar alternadamente "&amp;W42&amp;" repetições cada lado | ",AD43="U","Realizar "&amp;W42&amp;" repetições de um lado e trocar para o outro na sequência | ",AC43="P",OFFSET(Biblioteca!$H$2,MATCH(AD42,Biblioteca!$A$3:$A$200,0),0),TRUE,"")&amp;IF(AE43="R","Ajuste a carga para que tenha "&amp;$K$2&amp;" repetições de reserva",""))</f>
        <v>Ajuste a carga para que tenha 0 a 2 repetições de reserva</v>
      </c>
      <c r="V43" s="118" t="str">
        <f>IF(R42="","",IFS(AC43="H","Carga Sugerida: "&amp;ROUNDUP(AF42/2,0)&amp;" kg de cada lado (Total: "&amp;ROUNDUP(AF42/2,0)*2&amp;" kg)",AC43="C","Este exercício usa o Peso Corporal como carga",AC43="E","Este exercício usa a resistência da banda elástica como carga",AC43="O","Carga Sugerida: "&amp;INT(AF42)&amp;" kg",TRUE,""))</f>
        <v>Carga Sugerida: 10 kg de cada lado (Total: 20 kg)</v>
      </c>
      <c r="AA43" s="66"/>
      <c r="AB43" s="126">
        <f>AB42</f>
        <v>5</v>
      </c>
      <c r="AC43" s="120" t="str">
        <f>LEFT(AF43)</f>
        <v>H</v>
      </c>
      <c r="AD43" s="121" t="str">
        <f>MID(AF43,2,1)</f>
        <v>O</v>
      </c>
      <c r="AE43" s="122" t="str">
        <f>RIGHT(AF43)</f>
        <v>R</v>
      </c>
      <c r="AF43" s="123" t="str">
        <f>IF(AD42="","",OFFSET(Biblioteca!$I$2,MATCH(AD42,Biblioteca!$A$3:$A$200,0),0))</f>
        <v>HOR</v>
      </c>
      <c r="AG43" s="124"/>
      <c r="AH43" s="125"/>
      <c r="AI43" s="117" t="str">
        <f>IF(AI42="","",IFS(AT43="A",Montagem!$E$30,AV43="T","Realizar a maior quantidade de repetições por "&amp;AN42&amp;" segundos | ",AV43="I",IF(AU43="U","Manter a posição por "&amp;AN42&amp;" segundos de um lado e trocar para o outro na sequência | ","Manter a posição por "&amp;AN42&amp;" segundos | "),AU43="A","Realizar alternadamente "&amp;AN42&amp;" repetições cada lado | ",AU43="U","Realizar "&amp;AN42&amp;" repetições de um lado e trocar para o outro na sequência | ",AT43="P",OFFSET(Biblioteca!$H$2,MATCH(AU42,Biblioteca!$A$3:$A$200,0),0),TRUE,"")&amp;IF(AV43="R","Ajuste a carga para que tenha "&amp;$K$2&amp;" repetições de reserva",""))</f>
        <v/>
      </c>
      <c r="AM43" s="118" t="str">
        <f>IF(AI42="","",IFS(AT43="H","Carga Sugerida: "&amp;ROUNDUP(AW42/2,0)&amp;" kg de cada lado (Total: "&amp;ROUNDUP(AW42/2,0)*2&amp;" kg)",AT43="C","Este exercício usa o Peso Corporal como carga",AT43="E","Este exercício usa a resistência da banda elástica como carga",AT43="O","Carga Sugerida: "&amp;INT(AW42)&amp;" kg",TRUE,""))</f>
        <v/>
      </c>
      <c r="AR43" s="66"/>
      <c r="AS43" s="126">
        <f>AS42</f>
        <v>1</v>
      </c>
      <c r="AT43" s="120" t="str">
        <f>LEFT(AW43)</f>
        <v/>
      </c>
      <c r="AU43" s="121" t="str">
        <f>MID(AW43,2,1)</f>
        <v/>
      </c>
      <c r="AV43" s="122" t="str">
        <f>RIGHT(AW43)</f>
        <v/>
      </c>
      <c r="AW43" s="123" t="str">
        <f>IF(AU42="","",OFFSET(Biblioteca!$I$2,MATCH(AU42,Biblioteca!$A$3:$A$200,0),0))</f>
        <v/>
      </c>
      <c r="AX43" s="124"/>
      <c r="AY43" s="125"/>
      <c r="AZ43" s="117" t="str">
        <f>IF(AZ42="","",IFS(BK43="A",Montagem!$F$30,BM43="T","Realizar a maior quantidade de repetições por "&amp;BE42&amp;" segundos | ",BM43="I",IF(BL43="U","Manter a posição por "&amp;BE42&amp;" segundos de um lado e trocar para o outro na sequência | ","Manter a posição por "&amp;BE42&amp;" segundos | "),BL43="A","Realizar alternadamente "&amp;BE42&amp;" repetições cada lado | ",BL43="U","Realizar "&amp;BE42&amp;" repetições de um lado e trocar para o outro na sequência | ",BK43="P",OFFSET(Biblioteca!$H$2,MATCH(BL42,Biblioteca!$A$3:$A$200,0),0),TRUE,"")&amp;IF(BM43="R","Ajuste a carga para que tenha "&amp;$K$2&amp;" repetições de reserva",""))</f>
        <v>Ajuste a carga para que tenha 0 a 2 repetições de reserva</v>
      </c>
      <c r="BD43" s="118" t="str">
        <f>IF(AZ42="","",IFS(BK43="H","Carga Sugerida: "&amp;ROUNDUP(BN42/2,0)&amp;" kg de cada lado (Total: "&amp;ROUNDUP(BN42/2,0)*2&amp;" kg)",BK43="C","Este exercício usa o Peso Corporal como carga",BK43="E","Este exercício usa a resistência da banda elástica como carga",BK43="O","Carga Sugerida: "&amp;INT(BN42)&amp;" kg",TRUE,""))</f>
        <v>Carga Sugerida: 8 kg</v>
      </c>
      <c r="BI43" s="66"/>
      <c r="BJ43" s="126">
        <f>BJ42</f>
        <v>5</v>
      </c>
      <c r="BK43" s="120" t="str">
        <f>LEFT(BN43)</f>
        <v>O</v>
      </c>
      <c r="BL43" s="121" t="str">
        <f>MID(BN43,2,1)</f>
        <v>O</v>
      </c>
      <c r="BM43" s="122" t="str">
        <f>RIGHT(BN43)</f>
        <v>R</v>
      </c>
      <c r="BN43" s="123" t="str">
        <f>IF(BL42="","",OFFSET(Biblioteca!$I$2,MATCH(BL42,Biblioteca!$A$3:$A$200,0),0))</f>
        <v>OOR</v>
      </c>
      <c r="BO43" s="124"/>
      <c r="BP43" s="125"/>
      <c r="BQ43" s="117" t="str">
        <f>IF(BQ42="","",IFS(CB43="A",Montagem!$G$30,CD43="T","Realizar a maior quantidade de repetições por "&amp;BV42&amp;" segundos | ",CD43="I",IF(CC43="U","Manter a posição por "&amp;BV42&amp;" segundos de um lado e trocar para o outro na sequência | ","Manter a posição por "&amp;BV42&amp;" segundos | "),CC43="A","Realizar alternadamente "&amp;BV42&amp;" repetições cada lado | ",CC43="U","Realizar "&amp;BV42&amp;" repetições de um lado e trocar para o outro na sequência | ",CB43="P",OFFSET(Biblioteca!$H$2,MATCH(CC42,Biblioteca!$A$3:$A$200,0),0),TRUE,"")&amp;IF(CD43="R","Ajuste a carga para que tenha "&amp;$K$2&amp;" repetições de reserva",""))</f>
        <v>Ajuste a carga para que tenha 0 a 2 repetições de reserva</v>
      </c>
      <c r="BU43" s="118" t="str">
        <f>IF(BQ42="","",IFS(CB43="H","Carga Sugerida: "&amp;ROUNDUP(CE42/2,0)&amp;" kg de cada lado (Total: "&amp;ROUNDUP(CE42/2,0)*2&amp;" kg)",CB43="C","Este exercício usa o Peso Corporal como carga",CB43="E","Este exercício usa a resistência da banda elástica como carga",CB43="O","Carga Sugerida: "&amp;INT(CE42)&amp;" kg",TRUE,""))</f>
        <v>Carga Sugerida: 7 kg</v>
      </c>
      <c r="BZ43" s="66"/>
      <c r="CA43" s="126">
        <f>CA42</f>
        <v>5</v>
      </c>
      <c r="CB43" s="120" t="str">
        <f>LEFT(CE43)</f>
        <v>O</v>
      </c>
      <c r="CC43" s="121" t="str">
        <f>MID(CE43,2,1)</f>
        <v>O</v>
      </c>
      <c r="CD43" s="122" t="str">
        <f>RIGHT(CE43)</f>
        <v>R</v>
      </c>
      <c r="CE43" s="123" t="str">
        <f>IF(CC42="","",OFFSET(Biblioteca!$I$2,MATCH(CC42,Biblioteca!$A$3:$A$200,0),0))</f>
        <v>OOR</v>
      </c>
      <c r="CF43" s="124"/>
      <c r="CG43" s="125"/>
      <c r="CH43" s="117" t="str">
        <f>IF(CH42="","",IFS(CS43="A",Montagem!$H$30,CU43="T","Realizar a maior quantidade de repetições por "&amp;CM42&amp;" segundos | ",CU43="I",IF(CT43="U","Manter a posição por "&amp;CM42&amp;" segundos de um lado e trocar para o outro na sequência | ","Manter a posição por "&amp;CM42&amp;" segundos | "),CT43="A","Realizar alternadamente "&amp;CM42&amp;" repetições cada lado | ",CT43="U","Realizar "&amp;CM42&amp;" repetições de um lado e trocar para o outro na sequência | ",CS43="P",OFFSET(Biblioteca!$H$2,MATCH(CT42,Biblioteca!$A$3:$A$200,0),0),TRUE,"")&amp;IF(CU43="R","Ajuste a carga para que tenha "&amp;$K$2&amp;" repetições de reserva",""))</f>
        <v/>
      </c>
      <c r="CL43" s="118" t="str">
        <f>IF(CH42="","",IFS(CS43="H","Carga Sugerida: "&amp;ROUNDUP(CV42/2,0)&amp;" kg de cada lado (Total: "&amp;ROUNDUP(CV42/2,0)*2&amp;" kg)",CS43="C","Este exercício usa o Peso Corporal como carga",CS43="E","Este exercício usa a resistência da banda elástica como carga",CS43="O","Carga Sugerida: "&amp;INT(CV42)&amp;" kg",TRUE,""))</f>
        <v/>
      </c>
      <c r="CQ43" s="66"/>
      <c r="CR43" s="126">
        <f>CR42</f>
        <v>1</v>
      </c>
      <c r="CS43" s="120" t="str">
        <f>LEFT(CV43)</f>
        <v/>
      </c>
      <c r="CT43" s="121" t="str">
        <f>MID(CV43,2,1)</f>
        <v/>
      </c>
      <c r="CU43" s="122" t="str">
        <f>RIGHT(CV43)</f>
        <v/>
      </c>
      <c r="CV43" s="123" t="str">
        <f>IF(CT42="","",OFFSET(Biblioteca!$I$2,MATCH(CT42,Biblioteca!$A$3:$A$200,0),0))</f>
        <v/>
      </c>
      <c r="CW43" s="124"/>
      <c r="CX43" s="125"/>
      <c r="CY43" s="117" t="str">
        <f>IF(CY42="","",IFS(DJ43="A",Montagem!$I$30,DL43="T","Realizar a maior quantidade de repetições por "&amp;DD42&amp;" segundos | ",DL43="I",IF(DK43="U","Manter a posição por "&amp;DD42&amp;" segundos de um lado e trocar para o outro na sequência | ","Manter a posição por "&amp;DD42&amp;" segundos | "),DK43="A","Realizar alternadamente "&amp;DD42&amp;" repetições cada lado | ",DK43="U","Realizar "&amp;DD42&amp;" repetições de um lado e trocar para o outro na sequência | ",DJ43="P",OFFSET(Biblioteca!$H$2,MATCH(DK42,Biblioteca!$A$3:$A$200,0),0),TRUE,"")&amp;IF(DL43="R","Ajuste a carga para que tenha "&amp;$K$2&amp;" repetições de reserva",""))</f>
        <v/>
      </c>
      <c r="DC43" s="118" t="str">
        <f>IF(CY42="","",IFS(DJ43="H","Carga Sugerida: "&amp;ROUNDUP(DM42/2,0)&amp;" kg de cada lado (Total: "&amp;ROUNDUP(DM42/2,0)*2&amp;" kg)",DJ43="C","Este exercício usa o Peso Corporal como carga",DJ43="E","Este exercício usa a resistência da banda elástica como carga",DJ43="O","Carga Sugerida: "&amp;INT(DM42)&amp;" kg",TRUE,""))</f>
        <v/>
      </c>
      <c r="DH43" s="66"/>
      <c r="DI43" s="126">
        <f>DI42</f>
        <v>1</v>
      </c>
      <c r="DJ43" s="120" t="str">
        <f>LEFT(DM43)</f>
        <v/>
      </c>
      <c r="DK43" s="121" t="str">
        <f>MID(DM43,2,1)</f>
        <v/>
      </c>
      <c r="DL43" s="122" t="str">
        <f>RIGHT(DM43)</f>
        <v/>
      </c>
      <c r="DM43" s="123" t="str">
        <f>IF(DK42="","",OFFSET(Biblioteca!$I$2,MATCH(DK42,Biblioteca!$A$3:$A$200,0),0))</f>
        <v/>
      </c>
      <c r="DN43" s="124"/>
      <c r="DO43" s="125"/>
      <c r="DP43" s="57"/>
      <c r="DQ43" s="56"/>
      <c r="DR43" s="56"/>
      <c r="DS43" s="56"/>
      <c r="DT43" s="56"/>
      <c r="DU43" s="56"/>
      <c r="DV43" s="56"/>
      <c r="DW43" s="56"/>
      <c r="DX43" s="56"/>
      <c r="DY43" s="56"/>
    </row>
    <row r="44">
      <c r="A44" s="102" t="str">
        <f>IF(M44="","",HYPERLINK(OFFSET(Biblioteca!$B$2,MATCH(M44,Biblioteca!$A$3:$A$200,0),0),M44))</f>
        <v>Rosca Direta</v>
      </c>
      <c r="D44" s="103" t="str">
        <f>Montagem!Q30</f>
        <v>Bi-SET</v>
      </c>
      <c r="E44" s="104">
        <f>Montagem!R30</f>
        <v>4</v>
      </c>
      <c r="F44" s="104">
        <f>Montagem!S30</f>
        <v>10</v>
      </c>
      <c r="G44" s="104">
        <f>Montagem!T30</f>
        <v>60</v>
      </c>
      <c r="H44" s="104">
        <f>Montagem!U30</f>
        <v>1</v>
      </c>
      <c r="I44" s="132">
        <f>Montagem!V30</f>
        <v>2</v>
      </c>
      <c r="J44" s="105"/>
      <c r="K44" s="106">
        <f>Montagem!K30</f>
        <v>5</v>
      </c>
      <c r="L44" s="128">
        <f>Montagem!W30</f>
        <v>20</v>
      </c>
      <c r="M44" s="111" t="str">
        <f>Montagem!L30</f>
        <v>Rosca Direta</v>
      </c>
      <c r="N44" s="111" t="str">
        <f>Montagem!X30</f>
        <v/>
      </c>
      <c r="O44" s="106">
        <f>IF(N44="",L44,N44)</f>
        <v>20</v>
      </c>
      <c r="P44" s="106">
        <f>IF(L45="C",'Dados de Base'!$D$5*0.1,IF(L45="E",5,IF(J44="",O44,J44)))</f>
        <v>20</v>
      </c>
      <c r="Q44" s="108"/>
      <c r="R44" s="102" t="str">
        <f>IF(AD44="","",HYPERLINK(OFFSET(Biblioteca!$B$2,MATCH(AD44,Biblioteca!$A$3:$A$200,0),0),AD44))</f>
        <v>Tríceps Testa polia</v>
      </c>
      <c r="U44" s="109" t="str">
        <f>Montagem!AF30</f>
        <v>Bi-SET</v>
      </c>
      <c r="V44" s="110">
        <f>Montagem!AG30</f>
        <v>4</v>
      </c>
      <c r="W44" s="110">
        <f>Montagem!AH30</f>
        <v>10</v>
      </c>
      <c r="X44" s="110">
        <f>Montagem!AI30</f>
        <v>60</v>
      </c>
      <c r="Y44" s="110">
        <f>Montagem!AJ30</f>
        <v>1</v>
      </c>
      <c r="Z44" s="110">
        <f>Montagem!AK30</f>
        <v>2</v>
      </c>
      <c r="AA44" s="113"/>
      <c r="AB44" s="111">
        <f>Montagem!Z30</f>
        <v>5</v>
      </c>
      <c r="AC44" s="111">
        <f>Montagem!AL30</f>
        <v>7.6</v>
      </c>
      <c r="AD44" s="129" t="str">
        <f>Montagem!AA30</f>
        <v>Tríceps Testa polia</v>
      </c>
      <c r="AE44" s="111" t="str">
        <f>Montagem!AM30</f>
        <v/>
      </c>
      <c r="AF44" s="106">
        <f>IF(AE44="",AC44,AE44)</f>
        <v>7.6</v>
      </c>
      <c r="AG44" s="106">
        <f>IF(AC45="C",'Dados de Base'!$D$5*0.1,IF(AC45="E",5,IF(AA44="",AF44,AA44)))</f>
        <v>7.6</v>
      </c>
      <c r="AH44" s="108"/>
      <c r="AI44" s="115" t="str">
        <f>IF(AU44="","",HYPERLINK(OFFSET(Biblioteca!$B$2,MATCH(AU44,Biblioteca!$A$3:$A$200,0),0),AU44))</f>
        <v/>
      </c>
      <c r="AL44" s="109" t="str">
        <f>Montagem!AU30</f>
        <v/>
      </c>
      <c r="AM44" s="110" t="str">
        <f>Montagem!AV30</f>
        <v/>
      </c>
      <c r="AN44" s="110" t="str">
        <f>Montagem!AW30</f>
        <v/>
      </c>
      <c r="AO44" s="110" t="str">
        <f>Montagem!AX30</f>
        <v/>
      </c>
      <c r="AP44" s="110" t="str">
        <f>Montagem!AY30</f>
        <v/>
      </c>
      <c r="AQ44" s="110" t="str">
        <f>Montagem!AZ30</f>
        <v/>
      </c>
      <c r="AR44" s="114"/>
      <c r="AS44" s="111">
        <f>Montagem!AO30</f>
        <v>1</v>
      </c>
      <c r="AT44" s="111" t="str">
        <f>Montagem!BA30</f>
        <v/>
      </c>
      <c r="AU44" s="111" t="str">
        <f>Montagem!AP30</f>
        <v/>
      </c>
      <c r="AV44" s="111" t="str">
        <f>Montagem!BB30</f>
        <v/>
      </c>
      <c r="AW44" s="106" t="str">
        <f>IF(AV44="",AT44,AV44)</f>
        <v/>
      </c>
      <c r="AX44" s="106" t="str">
        <f>IF(AT45="C",'Dados de Base'!$D$5*0.1,IF(AT45="E",5,IF(AR44="",AW44,AR44)))</f>
        <v/>
      </c>
      <c r="AY44" s="108"/>
      <c r="AZ44" s="102" t="str">
        <f>IF(BL44="","",HYPERLINK(OFFSET(Biblioteca!$B$2,MATCH(BL44,Biblioteca!$A$3:$A$200,0),0),BL44))</f>
        <v>Flexão de braço na bola</v>
      </c>
      <c r="BC44" s="109" t="str">
        <f>Montagem!BJ30</f>
        <v>Bi-SET</v>
      </c>
      <c r="BD44" s="110">
        <f>Montagem!BK30</f>
        <v>4</v>
      </c>
      <c r="BE44" s="110">
        <f>Montagem!BL30</f>
        <v>14</v>
      </c>
      <c r="BF44" s="110" t="str">
        <f>Montagem!BM30</f>
        <v/>
      </c>
      <c r="BG44" s="110">
        <f>Montagem!BN30</f>
        <v>1</v>
      </c>
      <c r="BH44" s="110">
        <f>Montagem!BO30</f>
        <v>2</v>
      </c>
      <c r="BI44" s="113"/>
      <c r="BJ44" s="111">
        <f>Montagem!BD30</f>
        <v>6</v>
      </c>
      <c r="BK44" s="111">
        <f>Montagem!BP30</f>
        <v>0</v>
      </c>
      <c r="BL44" s="111" t="str">
        <f>Montagem!BE30</f>
        <v>Flexão de braço na bola</v>
      </c>
      <c r="BM44" s="111" t="str">
        <f>Montagem!BQ30</f>
        <v/>
      </c>
      <c r="BN44" s="106">
        <f>IF(BM44="",BK44,BM44)</f>
        <v>0</v>
      </c>
      <c r="BO44" s="106">
        <f>IF(BK45="C",'Dados de Base'!$D$5*0.1,IF(BK45="E",5,IF(BI44="",BN44,BI44)))</f>
        <v>6.3</v>
      </c>
      <c r="BP44" s="108"/>
      <c r="BQ44" s="102" t="str">
        <f>IF(CC44="","",HYPERLINK(OFFSET(Biblioteca!$B$2,MATCH(CC44,Biblioteca!$A$3:$A$200,0),0),CC44))</f>
        <v>Rosca Direta</v>
      </c>
      <c r="BT44" s="109" t="str">
        <f>Montagem!BY30</f>
        <v>Bi-SET</v>
      </c>
      <c r="BU44" s="110">
        <f>Montagem!BZ30</f>
        <v>4</v>
      </c>
      <c r="BV44" s="110">
        <f>Montagem!CA30</f>
        <v>10</v>
      </c>
      <c r="BW44" s="110">
        <f>Montagem!CB30</f>
        <v>60</v>
      </c>
      <c r="BX44" s="110">
        <f>Montagem!CC30</f>
        <v>1</v>
      </c>
      <c r="BY44" s="110">
        <f>Montagem!CD30</f>
        <v>2</v>
      </c>
      <c r="BZ44" s="113"/>
      <c r="CA44" s="111">
        <f>Montagem!BS30</f>
        <v>5</v>
      </c>
      <c r="CB44" s="111">
        <f>Montagem!CE30</f>
        <v>20</v>
      </c>
      <c r="CC44" s="111" t="str">
        <f>Montagem!BT30</f>
        <v>Rosca Direta</v>
      </c>
      <c r="CD44" s="111" t="str">
        <f>Montagem!CF30</f>
        <v/>
      </c>
      <c r="CE44" s="106">
        <f>IF(CD44="",CB44,CD44)</f>
        <v>20</v>
      </c>
      <c r="CF44" s="106">
        <f>IF(CB45="C",'Dados de Base'!$D$5*0.1,IF(CB45="E",5,IF(BZ44="",CE44,BZ44)))</f>
        <v>20</v>
      </c>
      <c r="CG44" s="108"/>
      <c r="CH44" s="115" t="str">
        <f>IF(CT44="","",HYPERLINK(OFFSET(Biblioteca!$B$2,MATCH(CT44,Biblioteca!$A$3:$A$200,0),0),CT44))</f>
        <v/>
      </c>
      <c r="CK44" s="109" t="str">
        <f>Montagem!CN30</f>
        <v/>
      </c>
      <c r="CL44" s="110" t="str">
        <f>Montagem!CO30</f>
        <v/>
      </c>
      <c r="CM44" s="110" t="str">
        <f>Montagem!CP30</f>
        <v/>
      </c>
      <c r="CN44" s="110" t="str">
        <f>Montagem!CQ30</f>
        <v/>
      </c>
      <c r="CO44" s="110" t="str">
        <f>Montagem!CR30</f>
        <v/>
      </c>
      <c r="CP44" s="110" t="str">
        <f>Montagem!CS30</f>
        <v/>
      </c>
      <c r="CQ44" s="114"/>
      <c r="CR44" s="111">
        <f>Montagem!CH30</f>
        <v>1</v>
      </c>
      <c r="CS44" s="111" t="str">
        <f>Montagem!CT30</f>
        <v/>
      </c>
      <c r="CT44" s="111" t="str">
        <f>Montagem!CI30</f>
        <v/>
      </c>
      <c r="CU44" s="111" t="str">
        <f>Montagem!CU30</f>
        <v/>
      </c>
      <c r="CV44" s="106" t="str">
        <f>IF(CU44="",CS44,CU44)</f>
        <v/>
      </c>
      <c r="CW44" s="106" t="str">
        <f>IF(CS45="C",'Dados de Base'!$D$5*0.1,IF(CS45="E",5,IF(CQ44="",CV44,CQ44)))</f>
        <v/>
      </c>
      <c r="CX44" s="108"/>
      <c r="CY44" s="115" t="str">
        <f>IF(DK44="","",HYPERLINK(OFFSET(Biblioteca!$B$2,MATCH(DK44,Biblioteca!$A$3:$A$200,0),0),DK44))</f>
        <v/>
      </c>
      <c r="DB44" s="130" t="str">
        <f>Montagem!DC30</f>
        <v/>
      </c>
      <c r="DC44" s="131" t="str">
        <f>Montagem!DD30</f>
        <v/>
      </c>
      <c r="DD44" s="131" t="str">
        <f>Montagem!DE30</f>
        <v/>
      </c>
      <c r="DE44" s="131" t="str">
        <f>Montagem!DF30</f>
        <v/>
      </c>
      <c r="DF44" s="131" t="str">
        <f>Montagem!DG30</f>
        <v/>
      </c>
      <c r="DG44" s="131" t="str">
        <f>Montagem!DH30</f>
        <v/>
      </c>
      <c r="DH44" s="114"/>
      <c r="DI44" s="111">
        <f>Montagem!CW30</f>
        <v>1</v>
      </c>
      <c r="DJ44" s="111" t="str">
        <f>Montagem!DI30</f>
        <v/>
      </c>
      <c r="DK44" s="111" t="str">
        <f>Montagem!CX30</f>
        <v/>
      </c>
      <c r="DL44" s="111" t="str">
        <f>Montagem!DJ30</f>
        <v/>
      </c>
      <c r="DM44" s="106" t="str">
        <f>IF(DL44="",DJ44,DL44)</f>
        <v/>
      </c>
      <c r="DN44" s="106" t="str">
        <f>IF(DJ45="C",'Dados de Base'!$D$5*0.1,IF(DJ45="E",5,IF(DH44="",DM44,DH44)))</f>
        <v/>
      </c>
      <c r="DO44" s="108"/>
      <c r="DP44" s="106"/>
      <c r="DQ44" s="106"/>
      <c r="DR44" s="106"/>
      <c r="DS44" s="106"/>
      <c r="DT44" s="106"/>
      <c r="DU44" s="106"/>
      <c r="DV44" s="106"/>
      <c r="DW44" s="106"/>
      <c r="DX44" s="106"/>
      <c r="DY44" s="106"/>
    </row>
    <row r="45">
      <c r="A45" s="117" t="str">
        <f>IF(A44="","",IFS(L45="A",Montagem!$C$30,N45="T","Realizar a maior quantidade de repetições por "&amp;F44&amp;" segundos | ",N45="I",IF(M45="U","Manter a posição por "&amp;F44&amp;" segundos de um lado e trocar para o outro na sequência | ","Manter a posição por "&amp;F44&amp;" segundos | "),M45="A","Realizar alternadamente "&amp;F44&amp;" repetições cada lado | ",M45="U","Realizar "&amp;F44&amp;" repetições de um lado e trocar para o outro na sequência | ",L45="P",OFFSET(Biblioteca!$H$2,MATCH(M44,Biblioteca!$A$3:$A$200,0),0),TRUE,"")&amp;IF(N45="R","Ajuste a carga para que tenha "&amp;$K$2&amp;" repetições de reserva",""))</f>
        <v>Ajuste a carga para que tenha 0 a 2 repetições de reserva</v>
      </c>
      <c r="E45" s="118" t="str">
        <f>IF(A44="","",IFS(L45="H","Carga Sugerida: "&amp;ROUNDUP(O44/2,0)&amp;" kg de cada lado (Total: "&amp;ROUNDUP(O44/2,0)*2&amp;" kg)",L45="C","Este exercício usa o Peso Corporal como carga",L45="E","Este exercício usa a resistência da banda elástica como carga",L45="O","Carga Sugerida: "&amp;INT(O44)&amp;" kg",TRUE,""))</f>
        <v>Carga Sugerida: 20 kg</v>
      </c>
      <c r="J45" s="66"/>
      <c r="K45" s="106">
        <f>K44</f>
        <v>5</v>
      </c>
      <c r="L45" s="120" t="str">
        <f>LEFT(O45)</f>
        <v>O</v>
      </c>
      <c r="M45" s="121" t="str">
        <f>MID(O45,2,1)</f>
        <v>O</v>
      </c>
      <c r="N45" s="122" t="str">
        <f>RIGHT(O45)</f>
        <v>R</v>
      </c>
      <c r="O45" s="123" t="str">
        <f>IF(M44="","",OFFSET(Biblioteca!$I$2,MATCH(M44,Biblioteca!$A$3:$A$200,0),0))</f>
        <v>OOR</v>
      </c>
      <c r="P45" s="124"/>
      <c r="Q45" s="125"/>
      <c r="R45" s="117" t="str">
        <f>IF(R44="","",IFS(AC45="A",Montagem!$D$30,AE45="T","Realizar a maior quantidade de repetições por "&amp;W44&amp;" segundos | ",AE45="I",IF(AD45="U","Manter a posição por "&amp;W44&amp;" segundos de um lado e trocar para o outro na sequência | ","Manter a posição por "&amp;W44&amp;" segundos | "),AD45="A","Realizar alternadamente "&amp;W44&amp;" repetições cada lado | ",AD45="U","Realizar "&amp;W44&amp;" repetições de um lado e trocar para o outro na sequência | ",AC45="P",OFFSET(Biblioteca!$H$2,MATCH(AD44,Biblioteca!$A$3:$A$200,0),0),TRUE,"")&amp;IF(AE45="R","Ajuste a carga para que tenha "&amp;$K$2&amp;" repetições de reserva",""))</f>
        <v>Ajuste a carga para que tenha 0 a 2 repetições de reserva</v>
      </c>
      <c r="V45" s="118" t="str">
        <f>IF(R44="","",IFS(AC45="H","Carga Sugerida: "&amp;ROUNDUP(AF44/2,0)&amp;" kg de cada lado (Total: "&amp;ROUNDUP(AF44/2,0)*2&amp;" kg)",AC45="C","Este exercício usa o Peso Corporal como carga",AC45="E","Este exercício usa a resistência da banda elástica como carga",AC45="O","Carga Sugerida: "&amp;INT(AF44)&amp;" kg",TRUE,""))</f>
        <v>Carga Sugerida: 7 kg</v>
      </c>
      <c r="AA45" s="66"/>
      <c r="AB45" s="126">
        <f>AB44</f>
        <v>5</v>
      </c>
      <c r="AC45" s="120" t="str">
        <f>LEFT(AF45)</f>
        <v>O</v>
      </c>
      <c r="AD45" s="121" t="str">
        <f>MID(AF45,2,1)</f>
        <v>O</v>
      </c>
      <c r="AE45" s="122" t="str">
        <f>RIGHT(AF45)</f>
        <v>R</v>
      </c>
      <c r="AF45" s="123" t="str">
        <f>IF(AD44="","",OFFSET(Biblioteca!$I$2,MATCH(AD44,Biblioteca!$A$3:$A$200,0),0))</f>
        <v>OOR</v>
      </c>
      <c r="AG45" s="124"/>
      <c r="AH45" s="125"/>
      <c r="AI45" s="117" t="str">
        <f>IF(AI44="","",IFS(AT45="A",Montagem!$E$30,AV45="T","Realizar a maior quantidade de repetições por "&amp;AN44&amp;" segundos | ",AV45="I",IF(AU45="U","Manter a posição por "&amp;AN44&amp;" segundos de um lado e trocar para o outro na sequência | ","Manter a posição por "&amp;AN44&amp;" segundos | "),AU45="A","Realizar alternadamente "&amp;AN44&amp;" repetições cada lado | ",AU45="U","Realizar "&amp;AN44&amp;" repetições de um lado e trocar para o outro na sequência | ",AT45="P",OFFSET(Biblioteca!$H$2,MATCH(AU44,Biblioteca!$A$3:$A$200,0),0),TRUE,"")&amp;IF(AV45="R","Ajuste a carga para que tenha "&amp;$K$2&amp;" repetições de reserva",""))</f>
        <v/>
      </c>
      <c r="AM45" s="118" t="str">
        <f>IF(AI44="","",IFS(AT45="H","Carga Sugerida: "&amp;ROUNDUP(AW44/2,0)&amp;" kg de cada lado (Total: "&amp;ROUNDUP(AW44/2,0)*2&amp;" kg)",AT45="C","Este exercício usa o Peso Corporal como carga",AT45="E","Este exercício usa a resistência da banda elástica como carga",AT45="O","Carga Sugerida: "&amp;INT(AW44)&amp;" kg",TRUE,""))</f>
        <v/>
      </c>
      <c r="AR45" s="66"/>
      <c r="AS45" s="126">
        <f>AS44</f>
        <v>1</v>
      </c>
      <c r="AT45" s="120" t="str">
        <f>LEFT(AW45)</f>
        <v/>
      </c>
      <c r="AU45" s="121" t="str">
        <f>MID(AW45,2,1)</f>
        <v/>
      </c>
      <c r="AV45" s="122" t="str">
        <f>RIGHT(AW45)</f>
        <v/>
      </c>
      <c r="AW45" s="123" t="str">
        <f>IF(AU44="","",OFFSET(Biblioteca!$I$2,MATCH(AU44,Biblioteca!$A$3:$A$200,0),0))</f>
        <v/>
      </c>
      <c r="AX45" s="124"/>
      <c r="AY45" s="125"/>
      <c r="AZ45" s="117" t="str">
        <f>IF(AZ44="","",IFS(BK45="A",Montagem!$F$30,BM45="T","Realizar a maior quantidade de repetições por "&amp;BE44&amp;" segundos | ",BM45="I",IF(BL45="U","Manter a posição por "&amp;BE44&amp;" segundos de um lado e trocar para o outro na sequência | ","Manter a posição por "&amp;BE44&amp;" segundos | "),BL45="A","Realizar alternadamente "&amp;BE44&amp;" repetições cada lado | ",BL45="U","Realizar "&amp;BE44&amp;" repetições de um lado e trocar para o outro na sequência | ",BK45="P",OFFSET(Biblioteca!$H$2,MATCH(BL44,Biblioteca!$A$3:$A$200,0),0),TRUE,"")&amp;IF(BM45="R","Ajuste a carga para que tenha "&amp;$K$2&amp;" repetições de reserva",""))</f>
        <v>Ajuste a carga para que tenha 0 a 2 repetições de reserva</v>
      </c>
      <c r="BD45" s="118" t="str">
        <f>IF(AZ44="","",IFS(BK45="H","Carga Sugerida: "&amp;ROUNDUP(BN44/2,0)&amp;" kg de cada lado (Total: "&amp;ROUNDUP(BN44/2,0)*2&amp;" kg)",BK45="C","Este exercício usa o Peso Corporal como carga",BK45="E","Este exercício usa a resistência da banda elástica como carga",BK45="O","Carga Sugerida: "&amp;INT(BN44)&amp;" kg",TRUE,""))</f>
        <v>Este exercício usa o Peso Corporal como carga</v>
      </c>
      <c r="BI45" s="66"/>
      <c r="BJ45" s="126">
        <f>BJ44</f>
        <v>6</v>
      </c>
      <c r="BK45" s="120" t="str">
        <f>LEFT(BN45)</f>
        <v>C</v>
      </c>
      <c r="BL45" s="121" t="str">
        <f>MID(BN45,2,1)</f>
        <v>O</v>
      </c>
      <c r="BM45" s="122" t="str">
        <f>RIGHT(BN45)</f>
        <v>R</v>
      </c>
      <c r="BN45" s="123" t="str">
        <f>IF(BL44="","",OFFSET(Biblioteca!$I$2,MATCH(BL44,Biblioteca!$A$3:$A$200,0),0))</f>
        <v>COR</v>
      </c>
      <c r="BO45" s="124"/>
      <c r="BP45" s="125"/>
      <c r="BQ45" s="117" t="str">
        <f>IF(BQ44="","",IFS(CB45="A",Montagem!$G$30,CD45="T","Realizar a maior quantidade de repetições por "&amp;BV44&amp;" segundos | ",CD45="I",IF(CC45="U","Manter a posição por "&amp;BV44&amp;" segundos de um lado e trocar para o outro na sequência | ","Manter a posição por "&amp;BV44&amp;" segundos | "),CC45="A","Realizar alternadamente "&amp;BV44&amp;" repetições cada lado | ",CC45="U","Realizar "&amp;BV44&amp;" repetições de um lado e trocar para o outro na sequência | ",CB45="P",OFFSET(Biblioteca!$H$2,MATCH(CC44,Biblioteca!$A$3:$A$200,0),0),TRUE,"")&amp;IF(CD45="R","Ajuste a carga para que tenha "&amp;$K$2&amp;" repetições de reserva",""))</f>
        <v>Ajuste a carga para que tenha 0 a 2 repetições de reserva</v>
      </c>
      <c r="BU45" s="118" t="str">
        <f>IF(BQ44="","",IFS(CB45="H","Carga Sugerida: "&amp;ROUNDUP(CE44/2,0)&amp;" kg de cada lado (Total: "&amp;ROUNDUP(CE44/2,0)*2&amp;" kg)",CB45="C","Este exercício usa o Peso Corporal como carga",CB45="E","Este exercício usa a resistência da banda elástica como carga",CB45="O","Carga Sugerida: "&amp;INT(CE44)&amp;" kg",TRUE,""))</f>
        <v>Carga Sugerida: 20 kg</v>
      </c>
      <c r="BZ45" s="66"/>
      <c r="CA45" s="126">
        <f>CA44</f>
        <v>5</v>
      </c>
      <c r="CB45" s="120" t="str">
        <f>LEFT(CE45)</f>
        <v>O</v>
      </c>
      <c r="CC45" s="121" t="str">
        <f>MID(CE45,2,1)</f>
        <v>O</v>
      </c>
      <c r="CD45" s="122" t="str">
        <f>RIGHT(CE45)</f>
        <v>R</v>
      </c>
      <c r="CE45" s="123" t="str">
        <f>IF(CC44="","",OFFSET(Biblioteca!$I$2,MATCH(CC44,Biblioteca!$A$3:$A$200,0),0))</f>
        <v>OOR</v>
      </c>
      <c r="CF45" s="124"/>
      <c r="CG45" s="125"/>
      <c r="CH45" s="117" t="str">
        <f>IF(CH44="","",IFS(CS45="A",Montagem!$H$30,CU45="T","Realizar a maior quantidade de repetições por "&amp;CM44&amp;" segundos | ",CU45="I",IF(CT45="U","Manter a posição por "&amp;CM44&amp;" segundos de um lado e trocar para o outro na sequência | ","Manter a posição por "&amp;CM44&amp;" segundos | "),CT45="A","Realizar alternadamente "&amp;CM44&amp;" repetições cada lado | ",CT45="U","Realizar "&amp;CM44&amp;" repetições de um lado e trocar para o outro na sequência | ",CS45="P",OFFSET(Biblioteca!$H$2,MATCH(CT44,Biblioteca!$A$3:$A$200,0),0),TRUE,"")&amp;IF(CU45="R","Ajuste a carga para que tenha "&amp;$K$2&amp;" repetições de reserva",""))</f>
        <v/>
      </c>
      <c r="CL45" s="118" t="str">
        <f>IF(CH44="","",IFS(CS45="H","Carga Sugerida: "&amp;ROUNDUP(CV44/2,0)&amp;" kg de cada lado (Total: "&amp;ROUNDUP(CV44/2,0)*2&amp;" kg)",CS45="C","Este exercício usa o Peso Corporal como carga",CS45="E","Este exercício usa a resistência da banda elástica como carga",CS45="O","Carga Sugerida: "&amp;INT(CV44)&amp;" kg",TRUE,""))</f>
        <v/>
      </c>
      <c r="CQ45" s="66"/>
      <c r="CR45" s="126">
        <f>CR44</f>
        <v>1</v>
      </c>
      <c r="CS45" s="120" t="str">
        <f>LEFT(CV45)</f>
        <v/>
      </c>
      <c r="CT45" s="121" t="str">
        <f>MID(CV45,2,1)</f>
        <v/>
      </c>
      <c r="CU45" s="122" t="str">
        <f>RIGHT(CV45)</f>
        <v/>
      </c>
      <c r="CV45" s="123" t="str">
        <f>IF(CT44="","",OFFSET(Biblioteca!$I$2,MATCH(CT44,Biblioteca!$A$3:$A$200,0),0))</f>
        <v/>
      </c>
      <c r="CW45" s="124"/>
      <c r="CX45" s="125"/>
      <c r="CY45" s="117" t="str">
        <f>IF(CY44="","",IFS(DJ45="A",Montagem!$I$30,DL45="T","Realizar a maior quantidade de repetições por "&amp;DD44&amp;" segundos | ",DL45="I",IF(DK45="U","Manter a posição por "&amp;DD44&amp;" segundos de um lado e trocar para o outro na sequência | ","Manter a posição por "&amp;DD44&amp;" segundos | "),DK45="A","Realizar alternadamente "&amp;DD44&amp;" repetições cada lado | ",DK45="U","Realizar "&amp;DD44&amp;" repetições de um lado e trocar para o outro na sequência | ",DJ45="P",OFFSET(Biblioteca!$H$2,MATCH(DK44,Biblioteca!$A$3:$A$200,0),0),TRUE,"")&amp;IF(DL45="R","Ajuste a carga para que tenha "&amp;$K$2&amp;" repetições de reserva",""))</f>
        <v/>
      </c>
      <c r="DC45" s="118" t="str">
        <f>IF(CY44="","",IFS(DJ45="H","Carga Sugerida: "&amp;ROUNDUP(DM44/2,0)&amp;" kg de cada lado (Total: "&amp;ROUNDUP(DM44/2,0)*2&amp;" kg)",DJ45="C","Este exercício usa o Peso Corporal como carga",DJ45="E","Este exercício usa a resistência da banda elástica como carga",DJ45="O","Carga Sugerida: "&amp;INT(DM44)&amp;" kg",TRUE,""))</f>
        <v/>
      </c>
      <c r="DH45" s="66"/>
      <c r="DI45" s="126">
        <f>DI44</f>
        <v>1</v>
      </c>
      <c r="DJ45" s="120" t="str">
        <f>LEFT(DM45)</f>
        <v/>
      </c>
      <c r="DK45" s="121" t="str">
        <f>MID(DM45,2,1)</f>
        <v/>
      </c>
      <c r="DL45" s="122" t="str">
        <f>RIGHT(DM45)</f>
        <v/>
      </c>
      <c r="DM45" s="123" t="str">
        <f>IF(DK44="","",OFFSET(Biblioteca!$I$2,MATCH(DK44,Biblioteca!$A$3:$A$200,0),0))</f>
        <v/>
      </c>
      <c r="DN45" s="124"/>
      <c r="DO45" s="125"/>
      <c r="DP45" s="57"/>
      <c r="DQ45" s="56"/>
      <c r="DR45" s="56"/>
      <c r="DS45" s="56"/>
      <c r="DT45" s="56"/>
      <c r="DU45" s="56"/>
      <c r="DV45" s="56"/>
      <c r="DW45" s="56"/>
      <c r="DX45" s="56"/>
      <c r="DY45" s="56"/>
    </row>
    <row r="46">
      <c r="A46" s="115" t="str">
        <f>IF(M46="","",HYPERLINK(OFFSET(Biblioteca!$B$2,MATCH(M46,Biblioteca!$A$3:$A$200,0),0),M46))</f>
        <v>Esteira</v>
      </c>
      <c r="D46" s="103" t="str">
        <f>Montagem!Q31</f>
        <v/>
      </c>
      <c r="E46" s="104" t="str">
        <f>Montagem!R31</f>
        <v/>
      </c>
      <c r="F46" s="104" t="str">
        <f>Montagem!S31</f>
        <v/>
      </c>
      <c r="G46" s="104" t="str">
        <f>Montagem!T31</f>
        <v/>
      </c>
      <c r="H46" s="104" t="str">
        <f>Montagem!U31</f>
        <v/>
      </c>
      <c r="I46" s="132" t="str">
        <f>Montagem!V31</f>
        <v/>
      </c>
      <c r="J46" s="144"/>
      <c r="K46" s="106">
        <f>Montagem!K31</f>
        <v>6</v>
      </c>
      <c r="L46" s="128">
        <f>Montagem!W31</f>
        <v>0</v>
      </c>
      <c r="M46" s="111" t="str">
        <f>Montagem!L31</f>
        <v>Esteira</v>
      </c>
      <c r="N46" s="111" t="str">
        <f>Montagem!X31</f>
        <v/>
      </c>
      <c r="O46" s="106">
        <f>IF(N46="",L46,N46)</f>
        <v>0</v>
      </c>
      <c r="P46" s="106">
        <f>IF(L47="C",'Dados de Base'!$D$5*0.1,IF(L47="E",5,IF(J46="",O46,J46)))</f>
        <v>0</v>
      </c>
      <c r="Q46" s="108"/>
      <c r="R46" s="115" t="str">
        <f>IF(AD46="","",HYPERLINK(OFFSET(Biblioteca!$B$2,MATCH(AD46,Biblioteca!$A$3:$A$200,0),0),AD46))</f>
        <v>Bicicleta</v>
      </c>
      <c r="U46" s="109" t="str">
        <f>Montagem!AF31</f>
        <v/>
      </c>
      <c r="V46" s="110" t="str">
        <f>Montagem!AG31</f>
        <v/>
      </c>
      <c r="W46" s="110" t="str">
        <f>Montagem!AH31</f>
        <v/>
      </c>
      <c r="X46" s="110" t="str">
        <f>Montagem!AI31</f>
        <v/>
      </c>
      <c r="Y46" s="110" t="str">
        <f>Montagem!AJ31</f>
        <v/>
      </c>
      <c r="Z46" s="110" t="str">
        <f>Montagem!AK31</f>
        <v/>
      </c>
      <c r="AA46" s="114"/>
      <c r="AB46" s="111">
        <f>Montagem!Z31</f>
        <v>6</v>
      </c>
      <c r="AC46" s="111">
        <f>Montagem!AL31</f>
        <v>0</v>
      </c>
      <c r="AD46" s="129" t="str">
        <f>Montagem!AA31</f>
        <v>Bicicleta</v>
      </c>
      <c r="AE46" s="111" t="str">
        <f>Montagem!AM31</f>
        <v/>
      </c>
      <c r="AF46" s="106">
        <f>IF(AE46="",AC46,AE46)</f>
        <v>0</v>
      </c>
      <c r="AG46" s="106">
        <f>IF(AC47="C",'Dados de Base'!$D$5*0.1,IF(AC47="E",5,IF(AA46="",AF46,AA46)))</f>
        <v>0</v>
      </c>
      <c r="AH46" s="108"/>
      <c r="AI46" s="115" t="str">
        <f>IF(AU46="","",HYPERLINK(OFFSET(Biblioteca!$B$2,MATCH(AU46,Biblioteca!$A$3:$A$200,0),0),AU46))</f>
        <v/>
      </c>
      <c r="AL46" s="109" t="str">
        <f>Montagem!AU31</f>
        <v/>
      </c>
      <c r="AM46" s="110" t="str">
        <f>Montagem!AV31</f>
        <v/>
      </c>
      <c r="AN46" s="110" t="str">
        <f>Montagem!AW31</f>
        <v/>
      </c>
      <c r="AO46" s="110" t="str">
        <f>Montagem!AX31</f>
        <v/>
      </c>
      <c r="AP46" s="110" t="str">
        <f>Montagem!AY31</f>
        <v/>
      </c>
      <c r="AQ46" s="110" t="str">
        <f>Montagem!AZ31</f>
        <v/>
      </c>
      <c r="AR46" s="114"/>
      <c r="AS46" s="111">
        <f>Montagem!AO31</f>
        <v>1</v>
      </c>
      <c r="AT46" s="111" t="str">
        <f>Montagem!BA31</f>
        <v/>
      </c>
      <c r="AU46" s="111" t="str">
        <f>Montagem!AP31</f>
        <v/>
      </c>
      <c r="AV46" s="111" t="str">
        <f>Montagem!BB31</f>
        <v/>
      </c>
      <c r="AW46" s="106" t="str">
        <f>IF(AV46="",AT46,AV46)</f>
        <v/>
      </c>
      <c r="AX46" s="106" t="str">
        <f>IF(AT47="C",'Dados de Base'!$D$5*0.1,IF(AT47="E",5,IF(AR46="",AW46,AR46)))</f>
        <v/>
      </c>
      <c r="AY46" s="108"/>
      <c r="AZ46" s="102" t="str">
        <f>IF(BL46="","",HYPERLINK(OFFSET(Biblioteca!$B$2,MATCH(BL46,Biblioteca!$A$3:$A$200,0),0),BL46))</f>
        <v>Remada Horizontal com Movimentação do Tronco</v>
      </c>
      <c r="BC46" s="109" t="str">
        <f>Montagem!BJ31</f>
        <v>Bi-SET</v>
      </c>
      <c r="BD46" s="110">
        <f>Montagem!BK31</f>
        <v>4</v>
      </c>
      <c r="BE46" s="110">
        <f>Montagem!BL31</f>
        <v>10</v>
      </c>
      <c r="BF46" s="110">
        <f>Montagem!BM31</f>
        <v>45</v>
      </c>
      <c r="BG46" s="110">
        <f>Montagem!BN31</f>
        <v>1</v>
      </c>
      <c r="BH46" s="110">
        <f>Montagem!BO31</f>
        <v>2</v>
      </c>
      <c r="BI46" s="114"/>
      <c r="BJ46" s="111">
        <f>Montagem!BD31</f>
        <v>6</v>
      </c>
      <c r="BK46" s="111">
        <f>Montagem!BP31</f>
        <v>11.025</v>
      </c>
      <c r="BL46" s="111" t="str">
        <f>Montagem!BE31</f>
        <v>Remada Horizontal com Movimentação do Tronco</v>
      </c>
      <c r="BM46" s="111" t="str">
        <f>Montagem!BQ31</f>
        <v/>
      </c>
      <c r="BN46" s="106">
        <f>IF(BM46="",BK46,BM46)</f>
        <v>11.025</v>
      </c>
      <c r="BO46" s="106">
        <f>IF(BK47="C",'Dados de Base'!$D$5*0.1,IF(BK47="E",5,IF(BI46="",BN46,BI46)))</f>
        <v>11.025</v>
      </c>
      <c r="BP46" s="108"/>
      <c r="BQ46" s="115" t="str">
        <f>IF(CC46="","",HYPERLINK(OFFSET(Biblioteca!$B$2,MATCH(CC46,Biblioteca!$A$3:$A$200,0),0),CC46))</f>
        <v>Esteira</v>
      </c>
      <c r="BT46" s="109" t="str">
        <f>Montagem!BY31</f>
        <v/>
      </c>
      <c r="BU46" s="110" t="str">
        <f>Montagem!BZ31</f>
        <v/>
      </c>
      <c r="BV46" s="110" t="str">
        <f>Montagem!CA31</f>
        <v/>
      </c>
      <c r="BW46" s="110" t="str">
        <f>Montagem!CB31</f>
        <v/>
      </c>
      <c r="BX46" s="110" t="str">
        <f>Montagem!CC31</f>
        <v/>
      </c>
      <c r="BY46" s="110" t="str">
        <f>Montagem!CD31</f>
        <v/>
      </c>
      <c r="BZ46" s="114"/>
      <c r="CA46" s="111">
        <f>Montagem!BS31</f>
        <v>6</v>
      </c>
      <c r="CB46" s="111">
        <f>Montagem!CE31</f>
        <v>0</v>
      </c>
      <c r="CC46" s="111" t="str">
        <f>Montagem!BT31</f>
        <v>Esteira</v>
      </c>
      <c r="CD46" s="111" t="str">
        <f>Montagem!CF31</f>
        <v/>
      </c>
      <c r="CE46" s="106">
        <f>IF(CD46="",CB46,CD46)</f>
        <v>0</v>
      </c>
      <c r="CF46" s="106">
        <f>IF(CB47="C",'Dados de Base'!$D$5*0.1,IF(CB47="E",5,IF(BZ46="",CE46,BZ46)))</f>
        <v>0</v>
      </c>
      <c r="CG46" s="108"/>
      <c r="CH46" s="115" t="str">
        <f>IF(CT46="","",HYPERLINK(OFFSET(Biblioteca!$B$2,MATCH(CT46,Biblioteca!$A$3:$A$200,0),0),CT46))</f>
        <v/>
      </c>
      <c r="CK46" s="109" t="str">
        <f>Montagem!CN31</f>
        <v/>
      </c>
      <c r="CL46" s="110" t="str">
        <f>Montagem!CO31</f>
        <v/>
      </c>
      <c r="CM46" s="110" t="str">
        <f>Montagem!CP31</f>
        <v/>
      </c>
      <c r="CN46" s="110" t="str">
        <f>Montagem!CQ31</f>
        <v/>
      </c>
      <c r="CO46" s="110" t="str">
        <f>Montagem!CR31</f>
        <v/>
      </c>
      <c r="CP46" s="110" t="str">
        <f>Montagem!CS31</f>
        <v/>
      </c>
      <c r="CQ46" s="114"/>
      <c r="CR46" s="111">
        <f>Montagem!CH31</f>
        <v>1</v>
      </c>
      <c r="CS46" s="111" t="str">
        <f>Montagem!CT31</f>
        <v/>
      </c>
      <c r="CT46" s="111" t="str">
        <f>Montagem!CI31</f>
        <v/>
      </c>
      <c r="CU46" s="145" t="str">
        <f>Montagem!CU31</f>
        <v/>
      </c>
      <c r="CV46" s="106" t="str">
        <f>IF(CU46="",CS46,CU46)</f>
        <v/>
      </c>
      <c r="CW46" s="106" t="str">
        <f>IF(CS47="C",'Dados de Base'!$D$5*0.1,IF(CS47="E",5,IF(CQ46="",CV46,CQ46)))</f>
        <v/>
      </c>
      <c r="CX46" s="108"/>
      <c r="CY46" s="115" t="str">
        <f>IF(DK46="","",HYPERLINK(OFFSET(Biblioteca!$B$2,MATCH(DK46,Biblioteca!$A$3:$A$200,0),0),DK46))</f>
        <v/>
      </c>
      <c r="DB46" s="130" t="str">
        <f>Montagem!DC31</f>
        <v/>
      </c>
      <c r="DC46" s="131" t="str">
        <f>Montagem!DD31</f>
        <v/>
      </c>
      <c r="DD46" s="131" t="str">
        <f>Montagem!DE31</f>
        <v/>
      </c>
      <c r="DE46" s="131" t="str">
        <f>Montagem!DF31</f>
        <v/>
      </c>
      <c r="DF46" s="131" t="str">
        <f>Montagem!DG31</f>
        <v/>
      </c>
      <c r="DG46" s="131" t="str">
        <f>Montagem!DH31</f>
        <v/>
      </c>
      <c r="DH46" s="114"/>
      <c r="DI46" s="111">
        <f>Montagem!CW31</f>
        <v>1</v>
      </c>
      <c r="DJ46" s="111" t="str">
        <f>Montagem!DI31</f>
        <v/>
      </c>
      <c r="DK46" s="111" t="str">
        <f>Montagem!CX31</f>
        <v/>
      </c>
      <c r="DL46" s="145" t="str">
        <f>Montagem!DJ31</f>
        <v/>
      </c>
      <c r="DM46" s="106" t="str">
        <f>IF(DL46="",DJ46,DL46)</f>
        <v/>
      </c>
      <c r="DN46" s="106" t="str">
        <f>IF(DJ47="C",'Dados de Base'!$D$5*0.1,IF(DJ47="E",5,IF(DH46="",DM46,DH46)))</f>
        <v/>
      </c>
      <c r="DO46" s="108"/>
      <c r="DP46" s="106"/>
      <c r="DQ46" s="106"/>
      <c r="DR46" s="106"/>
      <c r="DS46" s="106"/>
      <c r="DT46" s="106"/>
      <c r="DU46" s="106"/>
      <c r="DV46" s="106"/>
      <c r="DW46" s="106"/>
      <c r="DX46" s="106"/>
      <c r="DY46" s="106"/>
    </row>
    <row r="47">
      <c r="A47" s="117" t="str">
        <f>IF(A46="","",IFS(L47="A",Montagem!$C$30,N47="T","Realizar a maior quantidade de repetições por "&amp;F46&amp;" segundos | ",N47="I",IF(M47="U","Manter a posição por "&amp;F46&amp;" segundos de um lado e trocar para o outro na sequência | ","Manter a posição por "&amp;F46&amp;" segundos | "),M47="A","Realizar alternadamente "&amp;F46&amp;" repetições cada lado | ",M47="U","Realizar "&amp;F46&amp;" repetições de um lado e trocar para o outro na sequência | ",L47="P",OFFSET(Biblioteca!$H$2,MATCH(M46,Biblioteca!$A$3:$A$200,0),0),TRUE,"")&amp;IF(N47="R","Ajuste a carga para que tenha "&amp;$K$2&amp;" repetições de reserva",""))</f>
        <v>Mantenha 22-25min em intensidade constante com frequência cardíaca entre 105,5 - 116,2 bpm (50 - 60% VO2Máx -&gt; 8,5 - 10,9km/h)</v>
      </c>
      <c r="E47" s="118" t="str">
        <f>IF(A46="","",IFS(L47="H","Carga Sugerida: "&amp;ROUNDUP(O46/2,0)&amp;" kg de cada lado (Total: "&amp;ROUNDUP(O46/2,0)*2&amp;" kg)",L47="C","Este exercício usa o Peso Corporal como carga",L47="E","Este exercício usa a resistência da banda elástica como carga",L47="O","Carga Sugerida: "&amp;INT(O46)&amp;" kg",TRUE,""))</f>
        <v/>
      </c>
      <c r="J47" s="66"/>
      <c r="K47" s="106">
        <f>K46</f>
        <v>6</v>
      </c>
      <c r="L47" s="120" t="str">
        <f>LEFT(O47)</f>
        <v>A</v>
      </c>
      <c r="M47" s="121" t="str">
        <f>MID(O47,2,1)</f>
        <v>-</v>
      </c>
      <c r="N47" s="122" t="str">
        <f>RIGHT(O47)</f>
        <v>-</v>
      </c>
      <c r="O47" s="123" t="str">
        <f>IF(M46="","",OFFSET(Biblioteca!$I$2,MATCH(M46,Biblioteca!$A$3:$A$200,0),0))</f>
        <v>A--</v>
      </c>
      <c r="P47" s="124"/>
      <c r="Q47" s="125"/>
      <c r="R47" s="117" t="str">
        <f>IF(R46="","",IFS(AC47="A",Montagem!$D$30,AE47="T","Realizar a maior quantidade de repetições por "&amp;W46&amp;" segundos | ",AE47="I",IF(AD47="U","Manter a posição por "&amp;W46&amp;" segundos de um lado e trocar para o outro na sequência | ","Manter a posição por "&amp;W46&amp;" segundos | "),AD47="A","Realizar alternadamente "&amp;W46&amp;" repetições cada lado | ",AD47="U","Realizar "&amp;W46&amp;" repetições de um lado e trocar para o outro na sequência | ",AC47="P",OFFSET(Biblioteca!$H$2,MATCH(AD46,Biblioteca!$A$3:$A$200,0),0),TRUE,"")&amp;IF(AE47="R","Ajuste a carga para que tenha "&amp;$K$2&amp;" repetições de reserva",""))</f>
        <v>5x (45s all out + 15s  repouso)</v>
      </c>
      <c r="V47" s="118" t="str">
        <f>IF(R46="","",IFS(AC47="H","Carga Sugerida: "&amp;ROUNDUP(AF46/2,0)&amp;" kg de cada lado (Total: "&amp;ROUNDUP(AF46/2,0)*2&amp;" kg)",AC47="C","Este exercício usa o Peso Corporal como carga",AC47="E","Este exercício usa a resistência da banda elástica como carga",AC47="O","Carga Sugerida: "&amp;INT(AF46)&amp;" kg",TRUE,""))</f>
        <v/>
      </c>
      <c r="AA47" s="66"/>
      <c r="AB47" s="126">
        <f>AB46</f>
        <v>6</v>
      </c>
      <c r="AC47" s="120" t="str">
        <f>LEFT(AF47)</f>
        <v>A</v>
      </c>
      <c r="AD47" s="121" t="str">
        <f>MID(AF47,2,1)</f>
        <v>-</v>
      </c>
      <c r="AE47" s="122" t="str">
        <f>RIGHT(AF47)</f>
        <v>-</v>
      </c>
      <c r="AF47" s="123" t="str">
        <f>IF(AD46="","",OFFSET(Biblioteca!$I$2,MATCH(AD46,Biblioteca!$A$3:$A$200,0),0))</f>
        <v>A--</v>
      </c>
      <c r="AG47" s="124"/>
      <c r="AH47" s="125"/>
      <c r="AI47" s="117" t="str">
        <f>IF(AI46="","",IFS(AT47="A",Montagem!$E$30,AV47="T","Realizar a maior quantidade de repetições por "&amp;AN46&amp;" segundos | ",AV47="I",IF(AU47="U","Manter a posição por "&amp;AN46&amp;" segundos de um lado e trocar para o outro na sequência | ","Manter a posição por "&amp;AN46&amp;" segundos | "),AU47="A","Realizar alternadamente "&amp;AN46&amp;" repetições cada lado | ",AU47="U","Realizar "&amp;AN46&amp;" repetições de um lado e trocar para o outro na sequência | ",AT47="P",OFFSET(Biblioteca!$H$2,MATCH(AU46,Biblioteca!$A$3:$A$200,0),0),TRUE,"")&amp;IF(AV47="R","Ajuste a carga para que tenha "&amp;$K$2&amp;" repetições de reserva",""))</f>
        <v/>
      </c>
      <c r="AM47" s="118" t="str">
        <f>IF(AI46="","",IFS(AT47="H","Carga Sugerida: "&amp;ROUNDUP(AW46/2,0)&amp;" kg de cada lado (Total: "&amp;ROUNDUP(AW46/2,0)*2&amp;" kg)",AT47="C","Este exercício usa o Peso Corporal como carga",AT47="E","Este exercício usa a resistência da banda elástica como carga",AT47="O","Carga Sugerida: "&amp;INT(AW46)&amp;" kg",TRUE,""))</f>
        <v/>
      </c>
      <c r="AR47" s="66"/>
      <c r="AS47" s="126">
        <f>AS46</f>
        <v>1</v>
      </c>
      <c r="AT47" s="120" t="str">
        <f>LEFT(AW47)</f>
        <v/>
      </c>
      <c r="AU47" s="121" t="str">
        <f>MID(AW47,2,1)</f>
        <v/>
      </c>
      <c r="AV47" s="122" t="str">
        <f>RIGHT(AW47)</f>
        <v/>
      </c>
      <c r="AW47" s="123" t="str">
        <f>IF(AU46="","",OFFSET(Biblioteca!$I$2,MATCH(AU46,Biblioteca!$A$3:$A$200,0),0))</f>
        <v/>
      </c>
      <c r="AX47" s="124"/>
      <c r="AY47" s="125"/>
      <c r="AZ47" s="117" t="str">
        <f>IF(AZ46="","",IFS(BK47="A",Montagem!$F$30,BM47="T","Realizar a maior quantidade de repetições por "&amp;BE46&amp;" segundos | ",BM47="I",IF(BL47="U","Manter a posição por "&amp;BE46&amp;" segundos de um lado e trocar para o outro na sequência | ","Manter a posição por "&amp;BE46&amp;" segundos | "),BL47="A","Realizar alternadamente "&amp;BE46&amp;" repetições cada lado | ",BL47="U","Realizar "&amp;BE46&amp;" repetições de um lado e trocar para o outro na sequência | ",BK47="P",OFFSET(Biblioteca!$H$2,MATCH(BL46,Biblioteca!$A$3:$A$200,0),0),TRUE,"")&amp;IF(BM47="R","Ajuste a carga para que tenha "&amp;$K$2&amp;" repetições de reserva",""))</f>
        <v>Ajuste a carga para que tenha 0 a 2 repetições de reserva</v>
      </c>
      <c r="BD47" s="118" t="str">
        <f>IF(AZ46="","",IFS(BK47="H","Carga Sugerida: "&amp;ROUNDUP(BN46/2,0)&amp;" kg de cada lado (Total: "&amp;ROUNDUP(BN46/2,0)*2&amp;" kg)",BK47="C","Este exercício usa o Peso Corporal como carga",BK47="E","Este exercício usa a resistência da banda elástica como carga",BK47="O","Carga Sugerida: "&amp;INT(BN46)&amp;" kg",TRUE,""))</f>
        <v>Carga Sugerida: 11 kg</v>
      </c>
      <c r="BI47" s="66"/>
      <c r="BJ47" s="126">
        <f>BJ46</f>
        <v>6</v>
      </c>
      <c r="BK47" s="120" t="str">
        <f>LEFT(BN47)</f>
        <v>O</v>
      </c>
      <c r="BL47" s="121" t="str">
        <f>MID(BN47,2,1)</f>
        <v>O</v>
      </c>
      <c r="BM47" s="122" t="str">
        <f>RIGHT(BN47)</f>
        <v>R</v>
      </c>
      <c r="BN47" s="123" t="str">
        <f>IF(BL46="","",OFFSET(Biblioteca!$I$2,MATCH(BL46,Biblioteca!$A$3:$A$200,0),0))</f>
        <v>OOR</v>
      </c>
      <c r="BO47" s="124"/>
      <c r="BP47" s="125"/>
      <c r="BQ47" s="117" t="str">
        <f>IF(BQ46="","",IFS(CB47="A",Montagem!$G$30,CD47="T","Realizar a maior quantidade de repetições por "&amp;BV46&amp;" segundos | ",CD47="I",IF(CC47="U","Manter a posição por "&amp;BV46&amp;" segundos de um lado e trocar para o outro na sequência | ","Manter a posição por "&amp;BV46&amp;" segundos | "),CC47="A","Realizar alternadamente "&amp;BV46&amp;" repetições cada lado | ",CC47="U","Realizar "&amp;BV46&amp;" repetições de um lado e trocar para o outro na sequência | ",CB47="P",OFFSET(Biblioteca!$H$2,MATCH(CC46,Biblioteca!$A$3:$A$200,0),0),TRUE,"")&amp;IF(CD47="R","Ajuste a carga para que tenha "&amp;$K$2&amp;" repetições de reserva",""))</f>
        <v>Mantenha 32-35min em intensidade constante com frequência cardíaca entre 105,5 - 116,2 bpm (50 - 60% VO2Máx -&gt; 8,5 - 10,9km/h)</v>
      </c>
      <c r="BU47" s="118" t="str">
        <f>IF(BQ46="","",IFS(CB47="H","Carga Sugerida: "&amp;ROUNDUP(CE46/2,0)&amp;" kg de cada lado (Total: "&amp;ROUNDUP(CE46/2,0)*2&amp;" kg)",CB47="C","Este exercício usa o Peso Corporal como carga",CB47="E","Este exercício usa a resistência da banda elástica como carga",CB47="O","Carga Sugerida: "&amp;INT(CE46)&amp;" kg",TRUE,""))</f>
        <v/>
      </c>
      <c r="BZ47" s="66"/>
      <c r="CA47" s="126">
        <f>CA46</f>
        <v>6</v>
      </c>
      <c r="CB47" s="120" t="str">
        <f>LEFT(CE47)</f>
        <v>A</v>
      </c>
      <c r="CC47" s="121" t="str">
        <f>MID(CE47,2,1)</f>
        <v>-</v>
      </c>
      <c r="CD47" s="122" t="str">
        <f>RIGHT(CE47)</f>
        <v>-</v>
      </c>
      <c r="CE47" s="123" t="str">
        <f>IF(CC46="","",OFFSET(Biblioteca!$I$2,MATCH(CC46,Biblioteca!$A$3:$A$200,0),0))</f>
        <v>A--</v>
      </c>
      <c r="CF47" s="124"/>
      <c r="CG47" s="125"/>
      <c r="CH47" s="117" t="str">
        <f>IF(CH46="","",IFS(CS47="A",Montagem!$H$30,CU47="T","Realizar a maior quantidade de repetições por "&amp;CM46&amp;" segundos | ",CU47="I",IF(CT47="U","Manter a posição por "&amp;CM46&amp;" segundos de um lado e trocar para o outro na sequência | ","Manter a posição por "&amp;CM46&amp;" segundos | "),CT47="A","Realizar alternadamente "&amp;CM46&amp;" repetições cada lado | ",CT47="U","Realizar "&amp;CM46&amp;" repetições de um lado e trocar para o outro na sequência | ",CS47="P",OFFSET(Biblioteca!$H$2,MATCH(CT46,Biblioteca!$A$3:$A$200,0),0),TRUE,"")&amp;IF(CU47="R","Ajuste a carga para que tenha "&amp;$K$2&amp;" repetições de reserva",""))</f>
        <v/>
      </c>
      <c r="CL47" s="118" t="str">
        <f>IF(CH46="","",IFS(CS47="H","Carga Sugerida: "&amp;ROUNDUP(CV46/2,0)&amp;" kg de cada lado (Total: "&amp;ROUNDUP(CV46/2,0)*2&amp;" kg)",CS47="C","Este exercício usa o Peso Corporal como carga",CS47="E","Este exercício usa a resistência da banda elástica como carga",CS47="O","Carga Sugerida: "&amp;INT(CV46)&amp;" kg",TRUE,""))</f>
        <v/>
      </c>
      <c r="CQ47" s="66"/>
      <c r="CR47" s="126">
        <f>CR46</f>
        <v>1</v>
      </c>
      <c r="CS47" s="120" t="str">
        <f>LEFT(CV47)</f>
        <v/>
      </c>
      <c r="CT47" s="121" t="str">
        <f>MID(CV47,2,1)</f>
        <v/>
      </c>
      <c r="CU47" s="122" t="str">
        <f>RIGHT(CV47)</f>
        <v/>
      </c>
      <c r="CV47" s="123" t="str">
        <f>IF(CT46="","",OFFSET(Biblioteca!$I$2,MATCH(CT46,Biblioteca!$A$3:$A$200,0),0))</f>
        <v/>
      </c>
      <c r="CW47" s="124"/>
      <c r="CX47" s="125"/>
      <c r="CY47" s="117" t="str">
        <f>IF(CY46="","",IFS(DJ47="A",Montagem!$I$30,DL47="T","Realizar a maior quantidade de repetições por "&amp;DD46&amp;" segundos | ",DL47="I",IF(DK47="U","Manter a posição por "&amp;DD46&amp;" segundos de um lado e trocar para o outro na sequência | ","Manter a posição por "&amp;DD46&amp;" segundos | "),DK47="A","Realizar alternadamente "&amp;DD46&amp;" repetições cada lado | ",DK47="U","Realizar "&amp;DD46&amp;" repetições de um lado e trocar para o outro na sequência | ",DJ47="P",OFFSET(Biblioteca!$H$2,MATCH(DK46,Biblioteca!$A$3:$A$200,0),0),TRUE,"")&amp;IF(DL47="R","Ajuste a carga para que tenha "&amp;$K$2&amp;" repetições de reserva",""))</f>
        <v/>
      </c>
      <c r="DC47" s="118" t="str">
        <f>IF(CY46="","",IFS(DJ47="H","Carga Sugerida: "&amp;ROUNDUP(DM46/2,0)&amp;" kg de cada lado (Total: "&amp;ROUNDUP(DM46/2,0)*2&amp;" kg)",DJ47="C","Este exercício usa o Peso Corporal como carga",DJ47="E","Este exercício usa a resistência da banda elástica como carga",DJ47="O","Carga Sugerida: "&amp;INT(DM46)&amp;" kg",TRUE,""))</f>
        <v/>
      </c>
      <c r="DH47" s="66"/>
      <c r="DI47" s="126">
        <f>DI46</f>
        <v>1</v>
      </c>
      <c r="DJ47" s="120" t="str">
        <f>LEFT(DM47)</f>
        <v/>
      </c>
      <c r="DK47" s="121" t="str">
        <f>MID(DM47,2,1)</f>
        <v/>
      </c>
      <c r="DL47" s="122" t="str">
        <f>RIGHT(DM47)</f>
        <v/>
      </c>
      <c r="DM47" s="123" t="str">
        <f>IF(DK46="","",OFFSET(Biblioteca!$I$2,MATCH(DK46,Biblioteca!$A$3:$A$200,0),0))</f>
        <v/>
      </c>
      <c r="DN47" s="124"/>
      <c r="DO47" s="125"/>
      <c r="DP47" s="57"/>
      <c r="DQ47" s="56"/>
      <c r="DR47" s="56"/>
      <c r="DS47" s="56"/>
      <c r="DT47" s="56"/>
      <c r="DU47" s="56"/>
      <c r="DV47" s="56"/>
      <c r="DW47" s="56"/>
      <c r="DX47" s="56"/>
      <c r="DY47" s="56"/>
    </row>
    <row r="48">
      <c r="A48" s="115" t="str">
        <f>IF(M48="","",HYPERLINK(OFFSET(Biblioteca!$B$2,MATCH(M48,Biblioteca!$A$3:$A$200,0),0),M48))</f>
        <v/>
      </c>
      <c r="D48" s="103" t="str">
        <f>Montagem!Q32</f>
        <v/>
      </c>
      <c r="E48" s="104" t="str">
        <f>Montagem!R32</f>
        <v/>
      </c>
      <c r="F48" s="104" t="str">
        <f>Montagem!S32</f>
        <v/>
      </c>
      <c r="G48" s="104" t="str">
        <f>Montagem!T32</f>
        <v/>
      </c>
      <c r="H48" s="104" t="str">
        <f>Montagem!U32</f>
        <v/>
      </c>
      <c r="I48" s="132" t="str">
        <f>Montagem!V32</f>
        <v/>
      </c>
      <c r="J48" s="144"/>
      <c r="K48" s="106">
        <f>Montagem!K32</f>
        <v>6</v>
      </c>
      <c r="L48" s="128" t="str">
        <f>Montagem!W32</f>
        <v/>
      </c>
      <c r="M48" s="111" t="str">
        <f>Montagem!L32</f>
        <v/>
      </c>
      <c r="N48" s="111" t="str">
        <f>Montagem!X32</f>
        <v/>
      </c>
      <c r="O48" s="106" t="str">
        <f>IF(N48="",L48,N48)</f>
        <v/>
      </c>
      <c r="P48" s="106" t="str">
        <f>IF(L49="C",'Dados de Base'!$D$5*0.1,IF(L49="E",5,IF(J48="",O48,J48)))</f>
        <v/>
      </c>
      <c r="Q48" s="108"/>
      <c r="R48" s="115" t="str">
        <f>IF(AD48="","",HYPERLINK(OFFSET(Biblioteca!$B$2,MATCH(AD48,Biblioteca!$A$3:$A$200,0),0),AD48))</f>
        <v/>
      </c>
      <c r="U48" s="109" t="str">
        <f>Montagem!AF32</f>
        <v/>
      </c>
      <c r="V48" s="110" t="str">
        <f>Montagem!AG32</f>
        <v/>
      </c>
      <c r="W48" s="110" t="str">
        <f>Montagem!AH32</f>
        <v/>
      </c>
      <c r="X48" s="110" t="str">
        <f>Montagem!AI32</f>
        <v/>
      </c>
      <c r="Y48" s="110" t="str">
        <f>Montagem!AJ32</f>
        <v/>
      </c>
      <c r="Z48" s="110" t="str">
        <f>Montagem!AK32</f>
        <v/>
      </c>
      <c r="AA48" s="114"/>
      <c r="AB48" s="111">
        <f>Montagem!Z32</f>
        <v>6</v>
      </c>
      <c r="AC48" s="111" t="str">
        <f>Montagem!AL32</f>
        <v/>
      </c>
      <c r="AD48" s="129" t="str">
        <f>Montagem!AA32</f>
        <v/>
      </c>
      <c r="AE48" s="111" t="str">
        <f>Montagem!AM32</f>
        <v/>
      </c>
      <c r="AF48" s="106" t="str">
        <f>IF(AE48="",AC48,AE48)</f>
        <v/>
      </c>
      <c r="AG48" s="106" t="str">
        <f>IF(AC49="C",'Dados de Base'!$D$5*0.1,IF(AC49="E",5,IF(AA48="",AF48,AA48)))</f>
        <v/>
      </c>
      <c r="AH48" s="108"/>
      <c r="AI48" s="115" t="str">
        <f>IF(AU48="","",HYPERLINK(OFFSET(Biblioteca!$B$2,MATCH(AU48,Biblioteca!$A$3:$A$200,0),0),AU48))</f>
        <v/>
      </c>
      <c r="AL48" s="109" t="str">
        <f>Montagem!AU32</f>
        <v/>
      </c>
      <c r="AM48" s="110" t="str">
        <f>Montagem!AV32</f>
        <v/>
      </c>
      <c r="AN48" s="110" t="str">
        <f>Montagem!AW32</f>
        <v/>
      </c>
      <c r="AO48" s="110" t="str">
        <f>Montagem!AX32</f>
        <v/>
      </c>
      <c r="AP48" s="110" t="str">
        <f>Montagem!AY32</f>
        <v/>
      </c>
      <c r="AQ48" s="110" t="str">
        <f>Montagem!AZ32</f>
        <v/>
      </c>
      <c r="AR48" s="114"/>
      <c r="AS48" s="111">
        <f>Montagem!AO32</f>
        <v>1</v>
      </c>
      <c r="AT48" s="111" t="str">
        <f>Montagem!BA32</f>
        <v/>
      </c>
      <c r="AU48" s="111" t="str">
        <f>Montagem!AP32</f>
        <v/>
      </c>
      <c r="AV48" s="111" t="str">
        <f>Montagem!BB32</f>
        <v/>
      </c>
      <c r="AW48" s="106" t="str">
        <f>IF(AV48="",AT48,AV48)</f>
        <v/>
      </c>
      <c r="AX48" s="106" t="str">
        <f>IF(AT49="C",'Dados de Base'!$D$5*0.1,IF(AT49="E",5,IF(AR48="",AW48,AR48)))</f>
        <v/>
      </c>
      <c r="AY48" s="108"/>
      <c r="AZ48" s="102" t="str">
        <f>IF(BL48="","",HYPERLINK(OFFSET(Biblioteca!$B$2,MATCH(BL48,Biblioteca!$A$3:$A$200,0),0),BL48))</f>
        <v>Corda</v>
      </c>
      <c r="BC48" s="109" t="str">
        <f>Montagem!BJ32</f>
        <v/>
      </c>
      <c r="BD48" s="110" t="str">
        <f>Montagem!BK32</f>
        <v/>
      </c>
      <c r="BE48" s="110" t="str">
        <f>Montagem!BL32</f>
        <v/>
      </c>
      <c r="BF48" s="110" t="str">
        <f>Montagem!BM32</f>
        <v/>
      </c>
      <c r="BG48" s="110" t="str">
        <f>Montagem!BN32</f>
        <v/>
      </c>
      <c r="BH48" s="110" t="str">
        <f>Montagem!BO32</f>
        <v/>
      </c>
      <c r="BI48" s="114"/>
      <c r="BJ48" s="111">
        <f>Montagem!BD32</f>
        <v>7</v>
      </c>
      <c r="BK48" s="111">
        <f>Montagem!BP32</f>
        <v>0</v>
      </c>
      <c r="BL48" s="111" t="str">
        <f>Montagem!BE32</f>
        <v>Corda</v>
      </c>
      <c r="BM48" s="111" t="str">
        <f>Montagem!BQ32</f>
        <v/>
      </c>
      <c r="BN48" s="106">
        <f>IF(BM48="",BK48,BM48)</f>
        <v>0</v>
      </c>
      <c r="BO48" s="106">
        <f>IF(BK49="C",'Dados de Base'!$D$5*0.1,IF(BK49="E",5,IF(BI48="",BN48,BI48)))</f>
        <v>0</v>
      </c>
      <c r="BP48" s="108"/>
      <c r="BQ48" s="115" t="str">
        <f>IF(CC48="","",HYPERLINK(OFFSET(Biblioteca!$B$2,MATCH(CC48,Biblioteca!$A$3:$A$200,0),0),CC48))</f>
        <v/>
      </c>
      <c r="BT48" s="109" t="str">
        <f>Montagem!BY32</f>
        <v/>
      </c>
      <c r="BU48" s="110" t="str">
        <f>Montagem!BZ32</f>
        <v/>
      </c>
      <c r="BV48" s="110" t="str">
        <f>Montagem!CA32</f>
        <v/>
      </c>
      <c r="BW48" s="110" t="str">
        <f>Montagem!CB32</f>
        <v/>
      </c>
      <c r="BX48" s="110" t="str">
        <f>Montagem!CC32</f>
        <v/>
      </c>
      <c r="BY48" s="110" t="str">
        <f>Montagem!CD32</f>
        <v/>
      </c>
      <c r="BZ48" s="114"/>
      <c r="CA48" s="111">
        <f>Montagem!BS32</f>
        <v>6</v>
      </c>
      <c r="CB48" s="111" t="str">
        <f>Montagem!CE32</f>
        <v/>
      </c>
      <c r="CC48" s="111" t="str">
        <f>Montagem!BT32</f>
        <v/>
      </c>
      <c r="CD48" s="111" t="str">
        <f>Montagem!CF32</f>
        <v/>
      </c>
      <c r="CE48" s="106" t="str">
        <f>IF(CD48="",CB48,CD48)</f>
        <v/>
      </c>
      <c r="CF48" s="106" t="str">
        <f>IF(CB49="C",'Dados de Base'!$D$5*0.1,IF(CB49="E",5,IF(BZ48="",CE48,BZ48)))</f>
        <v/>
      </c>
      <c r="CG48" s="108"/>
      <c r="CH48" s="115" t="str">
        <f>IF(CT48="","",HYPERLINK(OFFSET(Biblioteca!$B$2,MATCH(CT48,Biblioteca!$A$3:$A$200,0),0),CT48))</f>
        <v/>
      </c>
      <c r="CK48" s="109" t="str">
        <f>Montagem!CN32</f>
        <v/>
      </c>
      <c r="CL48" s="110" t="str">
        <f>Montagem!CO32</f>
        <v/>
      </c>
      <c r="CM48" s="110" t="str">
        <f>Montagem!CP32</f>
        <v/>
      </c>
      <c r="CN48" s="110" t="str">
        <f>Montagem!CQ32</f>
        <v/>
      </c>
      <c r="CO48" s="110" t="str">
        <f>Montagem!CR32</f>
        <v/>
      </c>
      <c r="CP48" s="110" t="str">
        <f>Montagem!CS32</f>
        <v/>
      </c>
      <c r="CQ48" s="114"/>
      <c r="CR48" s="111">
        <f>Montagem!CH32</f>
        <v>1</v>
      </c>
      <c r="CS48" s="111" t="str">
        <f>Montagem!CT32</f>
        <v/>
      </c>
      <c r="CT48" s="111" t="str">
        <f>Montagem!CI32</f>
        <v/>
      </c>
      <c r="CU48" s="145" t="str">
        <f>Montagem!CU32</f>
        <v/>
      </c>
      <c r="CV48" s="106" t="str">
        <f>IF(CU48="",CS48,CU48)</f>
        <v/>
      </c>
      <c r="CW48" s="106" t="str">
        <f>IF(CS49="C",'Dados de Base'!$D$5*0.1,IF(CS49="E",5,IF(CQ48="",CV48,CQ48)))</f>
        <v/>
      </c>
      <c r="CX48" s="108"/>
      <c r="CY48" s="115" t="str">
        <f>IF(DK48="","",HYPERLINK(OFFSET(Biblioteca!$B$2,MATCH(DK48,Biblioteca!$A$3:$A$200,0),0),DK48))</f>
        <v/>
      </c>
      <c r="DB48" s="130" t="str">
        <f>Montagem!DC32</f>
        <v/>
      </c>
      <c r="DC48" s="131" t="str">
        <f>Montagem!DD32</f>
        <v/>
      </c>
      <c r="DD48" s="131" t="str">
        <f>Montagem!DE32</f>
        <v/>
      </c>
      <c r="DE48" s="131" t="str">
        <f>Montagem!DF32</f>
        <v/>
      </c>
      <c r="DF48" s="131" t="str">
        <f>Montagem!DG32</f>
        <v/>
      </c>
      <c r="DG48" s="131" t="str">
        <f>Montagem!DH32</f>
        <v/>
      </c>
      <c r="DH48" s="114"/>
      <c r="DI48" s="111">
        <f>Montagem!CW32</f>
        <v>1</v>
      </c>
      <c r="DJ48" s="111" t="str">
        <f>Montagem!DI32</f>
        <v/>
      </c>
      <c r="DK48" s="111" t="str">
        <f>Montagem!CX32</f>
        <v/>
      </c>
      <c r="DL48" s="145" t="str">
        <f>Montagem!DJ32</f>
        <v/>
      </c>
      <c r="DM48" s="106" t="str">
        <f>IF(DL48="",DJ48,DL48)</f>
        <v/>
      </c>
      <c r="DN48" s="106" t="str">
        <f>IF(DJ49="C",'Dados de Base'!$D$5*0.1,IF(DJ49="E",5,IF(DH48="",DM48,DH48)))</f>
        <v/>
      </c>
      <c r="DO48" s="108"/>
      <c r="DP48" s="106"/>
      <c r="DQ48" s="106"/>
      <c r="DR48" s="106"/>
      <c r="DS48" s="106"/>
      <c r="DT48" s="106"/>
      <c r="DU48" s="106"/>
      <c r="DV48" s="106"/>
      <c r="DW48" s="106"/>
      <c r="DX48" s="106"/>
      <c r="DY48" s="106"/>
    </row>
    <row r="49">
      <c r="A49" s="117" t="str">
        <f>IF(A48="","",IFS(L49="A",Montagem!$C$30,N49="T","Realizar a maior quantidade de repetições por "&amp;F48&amp;" segundos | ",N49="I",IF(M49="U","Manter a posição por "&amp;F48&amp;" segundos de um lado e trocar para o outro na sequência | ","Manter a posição por "&amp;F48&amp;" segundos | "),M49="A","Realizar alternadamente "&amp;F48&amp;" repetições cada lado | ",M49="U","Realizar "&amp;F48&amp;" repetições de um lado e trocar para o outro na sequência | ",L49="P",OFFSET(Biblioteca!$H$2,MATCH(M48,Biblioteca!$A$3:$A$200,0),0),TRUE,"")&amp;IF(N49="R","Ajuste a carga para que tenha "&amp;$K$2&amp;" repetições de reserva",""))</f>
        <v/>
      </c>
      <c r="E49" s="118" t="str">
        <f>IF(A48="","",IFS(L49="H","Carga Sugerida: "&amp;ROUNDUP(O48/2,0)&amp;" kg de cada lado (Total: "&amp;ROUNDUP(O48/2,0)*2&amp;" kg)",L49="C","Este exercício usa o Peso Corporal como carga",L49="E","Este exercício usa a resistência da banda elástica como carga",L49="O","Carga Sugerida: "&amp;INT(O48)&amp;" kg",TRUE,""))</f>
        <v/>
      </c>
      <c r="J49" s="66"/>
      <c r="K49" s="106">
        <f>K48</f>
        <v>6</v>
      </c>
      <c r="L49" s="120" t="str">
        <f>LEFT(O49)</f>
        <v/>
      </c>
      <c r="M49" s="121" t="str">
        <f>MID(O49,2,1)</f>
        <v/>
      </c>
      <c r="N49" s="122" t="str">
        <f>RIGHT(O49)</f>
        <v/>
      </c>
      <c r="O49" s="123" t="str">
        <f>IF(M48="","",OFFSET(Biblioteca!$I$2,MATCH(M48,Biblioteca!$A$3:$A$200,0),0))</f>
        <v/>
      </c>
      <c r="P49" s="57"/>
      <c r="Q49" s="125"/>
      <c r="R49" s="117" t="str">
        <f>IF(R48="","",IFS(AC49="A",Montagem!$D$30,AE49="T","Realizar a maior quantidade de repetições por "&amp;W48&amp;" segundos | ",AE49="I",IF(AD49="U","Manter a posição por "&amp;W48&amp;" segundos de um lado e trocar para o outro na sequência | ","Manter a posição por "&amp;W48&amp;" segundos | "),AD49="A","Realizar alternadamente "&amp;W48&amp;" repetições cada lado | ",AD49="U","Realizar "&amp;W48&amp;" repetições de um lado e trocar para o outro na sequência | ",AC49="P",OFFSET(Biblioteca!$H$2,MATCH(AD48,Biblioteca!$A$3:$A$200,0),0),TRUE,"")&amp;IF(AE49="R","Ajuste a carga para que tenha "&amp;$K$2&amp;" repetições de reserva",""))</f>
        <v/>
      </c>
      <c r="V49" s="118" t="str">
        <f>IF(R48="","",IFS(AC49="H","Carga Sugerida: "&amp;ROUNDUP(AF48/2,0)&amp;" kg de cada lado (Total: "&amp;ROUNDUP(AF48/2,0)*2&amp;" kg)",AC49="C","Este exercício usa o Peso Corporal como carga",AC49="E","Este exercício usa a resistência da banda elástica como carga",AC49="O","Carga Sugerida: "&amp;INT(AF48)&amp;" kg",TRUE,""))</f>
        <v/>
      </c>
      <c r="AA49" s="66"/>
      <c r="AB49" s="126">
        <f>AB48</f>
        <v>6</v>
      </c>
      <c r="AC49" s="120" t="str">
        <f>LEFT(AF49)</f>
        <v/>
      </c>
      <c r="AD49" s="121" t="str">
        <f>MID(AF49,2,1)</f>
        <v/>
      </c>
      <c r="AE49" s="122" t="str">
        <f>RIGHT(AF49)</f>
        <v/>
      </c>
      <c r="AF49" s="123" t="str">
        <f>IF(AD48="","",OFFSET(Biblioteca!$I$2,MATCH(AD48,Biblioteca!$A$3:$A$200,0),0))</f>
        <v/>
      </c>
      <c r="AG49" s="57"/>
      <c r="AH49" s="125"/>
      <c r="AI49" s="117" t="str">
        <f>IF(AI48="","",IFS(AT49="A",Montagem!$E$30,AV49="T","Realizar a maior quantidade de repetições por "&amp;AN48&amp;" segundos | ",AV49="I",IF(AU49="U","Manter a posição por "&amp;AN48&amp;" segundos de um lado e trocar para o outro na sequência | ","Manter a posição por "&amp;AN48&amp;" segundos | "),AU49="A","Realizar alternadamente "&amp;AN48&amp;" repetições cada lado | ",AU49="U","Realizar "&amp;AN48&amp;" repetições de um lado e trocar para o outro na sequência | ",AT49="P",OFFSET(Biblioteca!$H$2,MATCH(AU48,Biblioteca!$A$3:$A$200,0),0),TRUE,"")&amp;IF(AV49="R","Ajuste a carga para que tenha "&amp;$K$2&amp;" repetições de reserva",""))</f>
        <v/>
      </c>
      <c r="AM49" s="118" t="str">
        <f>IF(AI48="","",IFS(AT49="H","Carga Sugerida: "&amp;ROUNDUP(AW48/2,0)&amp;" kg de cada lado (Total: "&amp;ROUNDUP(AW48/2,0)*2&amp;" kg)",AT49="C","Este exercício usa o Peso Corporal como carga",AT49="E","Este exercício usa a resistência da banda elástica como carga",AT49="O","Carga Sugerida: "&amp;INT(AW48)&amp;" kg",TRUE,""))</f>
        <v/>
      </c>
      <c r="AR49" s="66"/>
      <c r="AS49" s="126">
        <f>AS48</f>
        <v>1</v>
      </c>
      <c r="AT49" s="120" t="str">
        <f>LEFT(AW49)</f>
        <v/>
      </c>
      <c r="AU49" s="121" t="str">
        <f>MID(AW49,2,1)</f>
        <v/>
      </c>
      <c r="AV49" s="122" t="str">
        <f>RIGHT(AW49)</f>
        <v/>
      </c>
      <c r="AW49" s="123" t="str">
        <f>IF(AU48="","",OFFSET(Biblioteca!$I$2,MATCH(AU48,Biblioteca!$A$3:$A$200,0),0))</f>
        <v/>
      </c>
      <c r="AX49" s="57"/>
      <c r="AY49" s="125"/>
      <c r="AZ49" s="117" t="str">
        <f>IF(AZ48="","",IFS(BK49="A",Montagem!$F$30,BM49="T","Realizar a maior quantidade de repetições por "&amp;BE48&amp;" segundos | ",BM49="I",IF(BL49="U","Manter a posição por "&amp;BE48&amp;" segundos de um lado e trocar para o outro na sequência | ","Manter a posição por "&amp;BE48&amp;" segundos | "),BL49="A","Realizar alternadamente "&amp;BE48&amp;" repetições cada lado | ",BL49="U","Realizar "&amp;BE48&amp;" repetições de um lado e trocar para o outro na sequência | ",BK49="P",OFFSET(Biblioteca!$H$2,MATCH(BL48,Biblioteca!$A$3:$A$200,0),0),TRUE,"")&amp;IF(BM49="R","Ajuste a carga para que tenha "&amp;$K$2&amp;" repetições de reserva",""))</f>
        <v>1x (3m all out)</v>
      </c>
      <c r="BD49" s="118" t="str">
        <f>IF(AZ48="","",IFS(BK49="H","Carga Sugerida: "&amp;ROUNDUP(BN48/2,0)&amp;" kg de cada lado (Total: "&amp;ROUNDUP(BN48/2,0)*2&amp;" kg)",BK49="C","Este exercício usa o Peso Corporal como carga",BK49="E","Este exercício usa a resistência da banda elástica como carga",BK49="O","Carga Sugerida: "&amp;INT(BN48)&amp;" kg",TRUE,""))</f>
        <v/>
      </c>
      <c r="BI49" s="66"/>
      <c r="BJ49" s="126">
        <f>BJ48</f>
        <v>7</v>
      </c>
      <c r="BK49" s="120" t="str">
        <f>LEFT(BN49)</f>
        <v>A</v>
      </c>
      <c r="BL49" s="121" t="str">
        <f>MID(BN49,2,1)</f>
        <v>T</v>
      </c>
      <c r="BM49" s="122" t="str">
        <f>RIGHT(BN49)</f>
        <v>T</v>
      </c>
      <c r="BN49" s="123" t="str">
        <f>IF(BL48="","",OFFSET(Biblioteca!$I$2,MATCH(BL48,Biblioteca!$A$3:$A$200,0),0))</f>
        <v>AT</v>
      </c>
      <c r="BO49" s="57"/>
      <c r="BP49" s="125"/>
      <c r="BQ49" s="117" t="str">
        <f>IF(BQ48="","",IFS(CB49="A",Montagem!$G$30,CD49="T","Realizar a maior quantidade de repetições por "&amp;BV48&amp;" segundos | ",CD49="I",IF(CC49="U","Manter a posição por "&amp;BV48&amp;" segundos de um lado e trocar para o outro na sequência | ","Manter a posição por "&amp;BV48&amp;" segundos | "),CC49="A","Realizar alternadamente "&amp;BV48&amp;" repetições cada lado | ",CC49="U","Realizar "&amp;BV48&amp;" repetições de um lado e trocar para o outro na sequência | ",CB49="P",OFFSET(Biblioteca!$H$2,MATCH(CC48,Biblioteca!$A$3:$A$200,0),0),TRUE,"")&amp;IF(CD49="R","Ajuste a carga para que tenha "&amp;$K$2&amp;" repetições de reserva",""))</f>
        <v/>
      </c>
      <c r="BU49" s="118" t="str">
        <f>IF(BQ48="","",IFS(CB49="H","Carga Sugerida: "&amp;ROUNDUP(CE48/2,0)&amp;" kg de cada lado (Total: "&amp;ROUNDUP(CE48/2,0)*2&amp;" kg)",CB49="C","Este exercício usa o Peso Corporal como carga",CB49="E","Este exercício usa a resistência da banda elástica como carga",CB49="O","Carga Sugerida: "&amp;INT(CE48)&amp;" kg",TRUE,""))</f>
        <v/>
      </c>
      <c r="BZ49" s="66"/>
      <c r="CA49" s="126">
        <f>CA48</f>
        <v>6</v>
      </c>
      <c r="CB49" s="120" t="str">
        <f>LEFT(CE49)</f>
        <v/>
      </c>
      <c r="CC49" s="121" t="str">
        <f>MID(CE49,2,1)</f>
        <v/>
      </c>
      <c r="CD49" s="122" t="str">
        <f>RIGHT(CE49)</f>
        <v/>
      </c>
      <c r="CE49" s="123" t="str">
        <f>IF(CC48="","",OFFSET(Biblioteca!$I$2,MATCH(CC48,Biblioteca!$A$3:$A$200,0),0))</f>
        <v/>
      </c>
      <c r="CF49" s="57"/>
      <c r="CG49" s="125"/>
      <c r="CH49" s="117" t="str">
        <f>IF(CH48="","",IFS(CS49="A",Montagem!$H$30,CU49="T","Realizar a maior quantidade de repetições por "&amp;CM48&amp;" segundos | ",CU49="I",IF(CT49="U","Manter a posição por "&amp;CM48&amp;" segundos de um lado e trocar para o outro na sequência | ","Manter a posição por "&amp;CM48&amp;" segundos | "),CT49="A","Realizar alternadamente "&amp;CM48&amp;" repetições cada lado | ",CT49="U","Realizar "&amp;CM48&amp;" repetições de um lado e trocar para o outro na sequência | ",CS49="P",OFFSET(Biblioteca!$H$2,MATCH(CT48,Biblioteca!$A$3:$A$200,0),0),TRUE,"")&amp;IF(CU49="R","Ajuste a carga para que tenha "&amp;$K$2&amp;" repetições de reserva",""))</f>
        <v/>
      </c>
      <c r="CL49" s="118" t="str">
        <f>IF(CH48="","",IFS(CS49="H","Carga Sugerida: "&amp;ROUNDUP(CV48/2,0)&amp;" kg de cada lado (Total: "&amp;ROUNDUP(CV48/2,0)*2&amp;" kg)",CS49="C","Este exercício usa o Peso Corporal como carga",CS49="E","Este exercício usa a resistência da banda elástica como carga",CS49="O","Carga Sugerida: "&amp;INT(CV48)&amp;" kg",TRUE,""))</f>
        <v/>
      </c>
      <c r="CQ49" s="66"/>
      <c r="CR49" s="126">
        <f>CR48</f>
        <v>1</v>
      </c>
      <c r="CS49" s="120" t="str">
        <f>LEFT(CV49)</f>
        <v/>
      </c>
      <c r="CT49" s="121" t="str">
        <f>MID(CV49,2,1)</f>
        <v/>
      </c>
      <c r="CU49" s="122" t="str">
        <f>RIGHT(CV49)</f>
        <v/>
      </c>
      <c r="CV49" s="123" t="str">
        <f>IF(CT48="","",OFFSET(Biblioteca!$I$2,MATCH(CT48,Biblioteca!$A$3:$A$200,0),0))</f>
        <v/>
      </c>
      <c r="CW49" s="57"/>
      <c r="CX49" s="125"/>
      <c r="CY49" s="117" t="str">
        <f>IF(CY48="","",IFS(DJ49="A",Montagem!$I$30,DL49="T","Realizar a maior quantidade de repetições por "&amp;DD48&amp;" segundos | ",DL49="I",IF(DK49="U","Manter a posição por "&amp;DD48&amp;" segundos de um lado e trocar para o outro na sequência | ","Manter a posição por "&amp;DD48&amp;" segundos | "),DK49="A","Realizar alternadamente "&amp;DD48&amp;" repetições cada lado | ",DK49="U","Realizar "&amp;DD48&amp;" repetições de um lado e trocar para o outro na sequência | ",DJ49="P",OFFSET(Biblioteca!$H$2,MATCH(DK48,Biblioteca!$A$3:$A$200,0),0),TRUE,"")&amp;IF(DL49="R","Ajuste a carga para que tenha "&amp;$K$2&amp;" repetições de reserva",""))</f>
        <v/>
      </c>
      <c r="DC49" s="118" t="str">
        <f>IF(CY48="","",IFS(DJ49="H","Carga Sugerida: "&amp;ROUNDUP(DM48/2,0)&amp;" kg de cada lado (Total: "&amp;ROUNDUP(DM48/2,0)*2&amp;" kg)",DJ49="C","Este exercício usa o Peso Corporal como carga",DJ49="E","Este exercício usa a resistência da banda elástica como carga",DJ49="O","Carga Sugerida: "&amp;INT(DM48)&amp;" kg",TRUE,""))</f>
        <v/>
      </c>
      <c r="DH49" s="66"/>
      <c r="DI49" s="126">
        <f>DI48</f>
        <v>1</v>
      </c>
      <c r="DJ49" s="120" t="str">
        <f>LEFT(DM49)</f>
        <v/>
      </c>
      <c r="DK49" s="121" t="str">
        <f>MID(DM49,2,1)</f>
        <v/>
      </c>
      <c r="DL49" s="122" t="str">
        <f>RIGHT(DM49)</f>
        <v/>
      </c>
      <c r="DM49" s="123" t="str">
        <f>IF(DK48="","",OFFSET(Biblioteca!$I$2,MATCH(DK48,Biblioteca!$A$3:$A$200,0),0))</f>
        <v/>
      </c>
      <c r="DN49" s="57"/>
      <c r="DO49" s="125"/>
      <c r="DP49" s="57"/>
      <c r="DQ49" s="56"/>
      <c r="DR49" s="56"/>
      <c r="DS49" s="56"/>
      <c r="DT49" s="56"/>
      <c r="DU49" s="56"/>
      <c r="DV49" s="56"/>
      <c r="DW49" s="56"/>
      <c r="DX49" s="56"/>
      <c r="DY49" s="56"/>
    </row>
    <row r="50">
      <c r="A50" s="115" t="str">
        <f>IF(M50="","",HYPERLINK(OFFSET(Biblioteca!$B$2,MATCH(M50,Biblioteca!$A$3:$A$200,0),0),M50))</f>
        <v/>
      </c>
      <c r="D50" s="103" t="str">
        <f>Montagem!Q33</f>
        <v/>
      </c>
      <c r="E50" s="104" t="str">
        <f>Montagem!R33</f>
        <v/>
      </c>
      <c r="F50" s="104" t="str">
        <f>Montagem!S33</f>
        <v/>
      </c>
      <c r="G50" s="104" t="str">
        <f>Montagem!T33</f>
        <v/>
      </c>
      <c r="H50" s="104" t="str">
        <f>Montagem!U33</f>
        <v/>
      </c>
      <c r="I50" s="132" t="str">
        <f>Montagem!V33</f>
        <v/>
      </c>
      <c r="J50" s="144"/>
      <c r="K50" s="106">
        <f>Montagem!K33</f>
        <v>6</v>
      </c>
      <c r="L50" s="128" t="str">
        <f>Montagem!W33</f>
        <v/>
      </c>
      <c r="M50" s="111" t="str">
        <f>Montagem!L33</f>
        <v/>
      </c>
      <c r="N50" s="111" t="str">
        <f>Montagem!X33</f>
        <v/>
      </c>
      <c r="O50" s="106" t="str">
        <f>IF(N50="",L50,N50)</f>
        <v/>
      </c>
      <c r="P50" s="106" t="str">
        <f>IF(L51="C",'Dados de Base'!$D$5*0.1,IF(L51="E",5,IF(J50="",O50,J50)))</f>
        <v/>
      </c>
      <c r="Q50" s="108"/>
      <c r="R50" s="115" t="str">
        <f>IF(AD50="","",HYPERLINK(OFFSET(Biblioteca!$B$2,MATCH(AD50,Biblioteca!$A$3:$A$200,0),0),AD50))</f>
        <v/>
      </c>
      <c r="U50" s="109" t="str">
        <f>Montagem!AF33</f>
        <v/>
      </c>
      <c r="V50" s="110" t="str">
        <f>Montagem!AG33</f>
        <v/>
      </c>
      <c r="W50" s="110" t="str">
        <f>Montagem!AH33</f>
        <v/>
      </c>
      <c r="X50" s="110" t="str">
        <f>Montagem!AI33</f>
        <v/>
      </c>
      <c r="Y50" s="110" t="str">
        <f>Montagem!AJ33</f>
        <v/>
      </c>
      <c r="Z50" s="110" t="str">
        <f>Montagem!AK33</f>
        <v/>
      </c>
      <c r="AA50" s="114"/>
      <c r="AB50" s="111">
        <f>Montagem!Z33</f>
        <v>6</v>
      </c>
      <c r="AC50" s="111" t="str">
        <f>Montagem!AL33</f>
        <v/>
      </c>
      <c r="AD50" s="129" t="str">
        <f>Montagem!AA33</f>
        <v/>
      </c>
      <c r="AE50" s="111" t="str">
        <f>Montagem!AM33</f>
        <v/>
      </c>
      <c r="AF50" s="106" t="str">
        <f>IF(AE50="",AC50,AE50)</f>
        <v/>
      </c>
      <c r="AG50" s="106" t="str">
        <f>IF(AC51="C",'Dados de Base'!$D$5*0.1,IF(AC51="E",5,IF(AA50="",AF50,AA50)))</f>
        <v/>
      </c>
      <c r="AH50" s="108"/>
      <c r="AI50" s="115" t="str">
        <f>IF(AU50="","",HYPERLINK(OFFSET(Biblioteca!$B$2,MATCH(AU50,Biblioteca!$A$3:$A$200,0),0),AU50))</f>
        <v/>
      </c>
      <c r="AL50" s="109" t="str">
        <f>Montagem!AU33</f>
        <v/>
      </c>
      <c r="AM50" s="110" t="str">
        <f>Montagem!AV33</f>
        <v/>
      </c>
      <c r="AN50" s="110" t="str">
        <f>Montagem!AW33</f>
        <v/>
      </c>
      <c r="AO50" s="110" t="str">
        <f>Montagem!AX33</f>
        <v/>
      </c>
      <c r="AP50" s="110" t="str">
        <f>Montagem!AY33</f>
        <v/>
      </c>
      <c r="AQ50" s="110" t="str">
        <f>Montagem!AZ33</f>
        <v/>
      </c>
      <c r="AR50" s="114"/>
      <c r="AS50" s="111">
        <f>Montagem!AO33</f>
        <v>1</v>
      </c>
      <c r="AT50" s="111" t="str">
        <f>Montagem!BA33</f>
        <v/>
      </c>
      <c r="AU50" s="111" t="str">
        <f>Montagem!AP33</f>
        <v/>
      </c>
      <c r="AV50" s="111" t="str">
        <f>Montagem!BB33</f>
        <v/>
      </c>
      <c r="AW50" s="106" t="str">
        <f>IF(AV50="",AT50,AV50)</f>
        <v/>
      </c>
      <c r="AX50" s="106" t="str">
        <f>IF(AT51="C",'Dados de Base'!$D$5*0.1,IF(AT51="E",5,IF(AR50="",AW50,AR50)))</f>
        <v/>
      </c>
      <c r="AY50" s="108"/>
      <c r="AZ50" s="115" t="str">
        <f>IF(BL50="","",HYPERLINK(OFFSET(Biblioteca!$B$2,MATCH(BL50,Biblioteca!$A$3:$A$200,0),0),BL50))</f>
        <v/>
      </c>
      <c r="BC50" s="109" t="str">
        <f>Montagem!BJ33</f>
        <v/>
      </c>
      <c r="BD50" s="110" t="str">
        <f>Montagem!BK33</f>
        <v/>
      </c>
      <c r="BE50" s="110" t="str">
        <f>Montagem!BL33</f>
        <v/>
      </c>
      <c r="BF50" s="110" t="str">
        <f>Montagem!BM33</f>
        <v/>
      </c>
      <c r="BG50" s="110" t="str">
        <f>Montagem!BN33</f>
        <v/>
      </c>
      <c r="BH50" s="110" t="str">
        <f>Montagem!BO33</f>
        <v/>
      </c>
      <c r="BI50" s="114"/>
      <c r="BJ50" s="111">
        <f>Montagem!BD33</f>
        <v>7</v>
      </c>
      <c r="BK50" s="111" t="str">
        <f>Montagem!BP33</f>
        <v/>
      </c>
      <c r="BL50" s="111" t="str">
        <f>Montagem!BE33</f>
        <v/>
      </c>
      <c r="BM50" s="111" t="str">
        <f>Montagem!BQ33</f>
        <v/>
      </c>
      <c r="BN50" s="106" t="str">
        <f>IF(BM50="",BK50,BM50)</f>
        <v/>
      </c>
      <c r="BO50" s="106" t="str">
        <f>IF(BK51="C",'Dados de Base'!$D$5*0.1,IF(BK51="E",5,IF(BI50="",BN50,BI50)))</f>
        <v/>
      </c>
      <c r="BP50" s="108"/>
      <c r="BQ50" s="115" t="str">
        <f>IF(CC50="","",HYPERLINK(OFFSET(Biblioteca!$B$2,MATCH(CC50,Biblioteca!$A$3:$A$200,0),0),CC50))</f>
        <v/>
      </c>
      <c r="BT50" s="109" t="str">
        <f>Montagem!BY33</f>
        <v/>
      </c>
      <c r="BU50" s="110" t="str">
        <f>Montagem!BZ33</f>
        <v/>
      </c>
      <c r="BV50" s="110" t="str">
        <f>Montagem!CA33</f>
        <v/>
      </c>
      <c r="BW50" s="110" t="str">
        <f>Montagem!CB33</f>
        <v/>
      </c>
      <c r="BX50" s="110" t="str">
        <f>Montagem!CC33</f>
        <v/>
      </c>
      <c r="BY50" s="110" t="str">
        <f>Montagem!CD33</f>
        <v/>
      </c>
      <c r="BZ50" s="114"/>
      <c r="CA50" s="111">
        <f>Montagem!BS33</f>
        <v>6</v>
      </c>
      <c r="CB50" s="111" t="str">
        <f>Montagem!CE33</f>
        <v/>
      </c>
      <c r="CC50" s="111" t="str">
        <f>Montagem!BT33</f>
        <v/>
      </c>
      <c r="CD50" s="111" t="str">
        <f>Montagem!CF33</f>
        <v/>
      </c>
      <c r="CE50" s="106" t="str">
        <f>IF(CD50="",CB50,CD50)</f>
        <v/>
      </c>
      <c r="CF50" s="106" t="str">
        <f>IF(CB51="C",'Dados de Base'!$D$5*0.1,IF(CB51="E",5,IF(BZ50="",CE50,BZ50)))</f>
        <v/>
      </c>
      <c r="CG50" s="108"/>
      <c r="CH50" s="115" t="str">
        <f>IF(CT50="","",HYPERLINK(OFFSET(Biblioteca!$B$2,MATCH(CT50,Biblioteca!$A$3:$A$200,0),0),CT50))</f>
        <v/>
      </c>
      <c r="CK50" s="109" t="str">
        <f>Montagem!CN33</f>
        <v/>
      </c>
      <c r="CL50" s="110" t="str">
        <f>Montagem!CO33</f>
        <v/>
      </c>
      <c r="CM50" s="110" t="str">
        <f>Montagem!CP33</f>
        <v/>
      </c>
      <c r="CN50" s="110" t="str">
        <f>Montagem!CQ33</f>
        <v/>
      </c>
      <c r="CO50" s="110" t="str">
        <f>Montagem!CR33</f>
        <v/>
      </c>
      <c r="CP50" s="110" t="str">
        <f>Montagem!CS33</f>
        <v/>
      </c>
      <c r="CQ50" s="114"/>
      <c r="CR50" s="111">
        <f>Montagem!CH33</f>
        <v>1</v>
      </c>
      <c r="CS50" s="111" t="str">
        <f>Montagem!CT33</f>
        <v/>
      </c>
      <c r="CT50" s="111" t="str">
        <f>Montagem!CI33</f>
        <v/>
      </c>
      <c r="CU50" s="145" t="str">
        <f>Montagem!CU33</f>
        <v/>
      </c>
      <c r="CV50" s="106" t="str">
        <f>IF(CU50="",CS50,CU50)</f>
        <v/>
      </c>
      <c r="CW50" s="106" t="str">
        <f>IF(CS51="C",'Dados de Base'!$D$5*0.1,IF(CS51="E",5,IF(CQ50="",CV50,CQ50)))</f>
        <v/>
      </c>
      <c r="CX50" s="108"/>
      <c r="CY50" s="115" t="str">
        <f>IF(DK50="","",HYPERLINK(OFFSET(Biblioteca!$B$2,MATCH(DK50,Biblioteca!$A$3:$A$200,0),0),DK50))</f>
        <v/>
      </c>
      <c r="DB50" s="130" t="str">
        <f>Montagem!DC33</f>
        <v/>
      </c>
      <c r="DC50" s="131" t="str">
        <f>Montagem!DD33</f>
        <v/>
      </c>
      <c r="DD50" s="131" t="str">
        <f>Montagem!DE33</f>
        <v/>
      </c>
      <c r="DE50" s="131" t="str">
        <f>Montagem!DF33</f>
        <v/>
      </c>
      <c r="DF50" s="131" t="str">
        <f>Montagem!DG33</f>
        <v/>
      </c>
      <c r="DG50" s="131" t="str">
        <f>Montagem!DH33</f>
        <v/>
      </c>
      <c r="DH50" s="114"/>
      <c r="DI50" s="111">
        <f>Montagem!CW33</f>
        <v>1</v>
      </c>
      <c r="DJ50" s="111" t="str">
        <f>Montagem!DI33</f>
        <v/>
      </c>
      <c r="DK50" s="111" t="str">
        <f>Montagem!CX33</f>
        <v/>
      </c>
      <c r="DL50" s="145" t="str">
        <f>Montagem!DJ33</f>
        <v/>
      </c>
      <c r="DM50" s="106" t="str">
        <f>IF(DL50="",DJ50,DL50)</f>
        <v/>
      </c>
      <c r="DN50" s="106" t="str">
        <f>IF(DJ51="C",'Dados de Base'!$D$5*0.1,IF(DJ51="E",5,IF(DH50="",DM50,DH50)))</f>
        <v/>
      </c>
      <c r="DO50" s="108"/>
      <c r="DP50" s="106"/>
      <c r="DQ50" s="106"/>
      <c r="DR50" s="106"/>
      <c r="DS50" s="106"/>
      <c r="DT50" s="106"/>
      <c r="DU50" s="106"/>
      <c r="DV50" s="106"/>
      <c r="DW50" s="106"/>
      <c r="DX50" s="106"/>
      <c r="DY50" s="106"/>
    </row>
    <row r="51">
      <c r="A51" s="117" t="str">
        <f>IF(A50="","",IFS(L51="A",Montagem!$C$30,N51="T","Realizar a maior quantidade de repetições por "&amp;F50&amp;" segundos | ",N51="I",IF(M51="U","Manter a posição por "&amp;F50&amp;" segundos de um lado e trocar para o outro na sequência | ","Manter a posição por "&amp;F50&amp;" segundos | "),M51="A","Realizar alternadamente "&amp;F50&amp;" repetições cada lado | ",M51="U","Realizar "&amp;F50&amp;" repetições de um lado e trocar para o outro na sequência | ",L51="P",OFFSET(Biblioteca!$H$2,MATCH(M50,Biblioteca!$A$3:$A$200,0),0),TRUE,"")&amp;IF(N51="R","Ajuste a carga para que tenha "&amp;$K$2&amp;" repetições de reserva",""))</f>
        <v/>
      </c>
      <c r="E51" s="118" t="str">
        <f>IF(A50="","",IFS(L51="H","Carga Sugerida: "&amp;ROUNDUP(O50/2,0)&amp;" kg de cada lado (Total: "&amp;ROUNDUP(O50/2,0)*2&amp;" kg)",L51="C","Este exercício usa o Peso Corporal como carga",L51="E","Este exercício usa a resistência da banda elástica como carga",L51="O","Carga Sugerida: "&amp;INT(O50)&amp;" kg",TRUE,""))</f>
        <v/>
      </c>
      <c r="J51" s="66"/>
      <c r="K51" s="106">
        <f>K50</f>
        <v>6</v>
      </c>
      <c r="L51" s="120" t="str">
        <f>LEFT(O51)</f>
        <v/>
      </c>
      <c r="M51" s="121" t="str">
        <f>MID(O51,2,1)</f>
        <v/>
      </c>
      <c r="N51" s="122" t="str">
        <f>RIGHT(O51)</f>
        <v/>
      </c>
      <c r="O51" s="123" t="str">
        <f>IF(M50="","",OFFSET(Biblioteca!$I$2,MATCH(M50,Biblioteca!$A$3:$A$200,0),0))</f>
        <v/>
      </c>
      <c r="P51" s="57"/>
      <c r="Q51" s="125"/>
      <c r="R51" s="117" t="str">
        <f>IF(R50="","",IFS(AC51="A",Montagem!$D$30,AE51="T","Realizar a maior quantidade de repetições por "&amp;W50&amp;" segundos | ",AE51="I",IF(AD51="U","Manter a posição por "&amp;W50&amp;" segundos de um lado e trocar para o outro na sequência | ","Manter a posição por "&amp;W50&amp;" segundos | "),AD51="A","Realizar alternadamente "&amp;W50&amp;" repetições cada lado | ",AD51="U","Realizar "&amp;W50&amp;" repetições de um lado e trocar para o outro na sequência | ",AC51="P",OFFSET(Biblioteca!$H$2,MATCH(AD50,Biblioteca!$A$3:$A$200,0),0),TRUE,"")&amp;IF(AE51="R","Ajuste a carga para que tenha "&amp;$K$2&amp;" repetições de reserva",""))</f>
        <v/>
      </c>
      <c r="V51" s="118" t="str">
        <f>IF(R50="","",IFS(AC51="H","Carga Sugerida: "&amp;ROUNDUP(AF50/2,0)&amp;" kg de cada lado (Total: "&amp;ROUNDUP(AF50/2,0)*2&amp;" kg)",AC51="C","Este exercício usa o Peso Corporal como carga",AC51="E","Este exercício usa a resistência da banda elástica como carga",AC51="O","Carga Sugerida: "&amp;INT(AF50)&amp;" kg",TRUE,""))</f>
        <v/>
      </c>
      <c r="AA51" s="66"/>
      <c r="AB51" s="126">
        <f>AB50</f>
        <v>6</v>
      </c>
      <c r="AC51" s="120" t="str">
        <f>LEFT(AF51)</f>
        <v/>
      </c>
      <c r="AD51" s="121" t="str">
        <f>MID(AF51,2,1)</f>
        <v/>
      </c>
      <c r="AE51" s="122" t="str">
        <f>RIGHT(AF51)</f>
        <v/>
      </c>
      <c r="AF51" s="123" t="str">
        <f>IF(AD50="","",OFFSET(Biblioteca!$I$2,MATCH(AD50,Biblioteca!$A$3:$A$200,0),0))</f>
        <v/>
      </c>
      <c r="AG51" s="57"/>
      <c r="AH51" s="125"/>
      <c r="AI51" s="117" t="str">
        <f>IF(AI50="","",IFS(AT51="A",Montagem!$E$30,AV51="T","Realizar a maior quantidade de repetições por "&amp;AN50&amp;" segundos | ",AV51="I",IF(AU51="U","Manter a posição por "&amp;AN50&amp;" segundos de um lado e trocar para o outro na sequência | ","Manter a posição por "&amp;AN50&amp;" segundos | "),AU51="A","Realizar alternadamente "&amp;AN50&amp;" repetições cada lado | ",AU51="U","Realizar "&amp;AN50&amp;" repetições de um lado e trocar para o outro na sequência | ",AT51="P",OFFSET(Biblioteca!$H$2,MATCH(AU50,Biblioteca!$A$3:$A$200,0),0),TRUE,"")&amp;IF(AV51="R","Ajuste a carga para que tenha "&amp;$K$2&amp;" repetições de reserva",""))</f>
        <v/>
      </c>
      <c r="AM51" s="118" t="str">
        <f>IF(AI50="","",IFS(AT51="H","Carga Sugerida: "&amp;ROUNDUP(AW50/2,0)&amp;" kg de cada lado (Total: "&amp;ROUNDUP(AW50/2,0)*2&amp;" kg)",AT51="C","Este exercício usa o Peso Corporal como carga",AT51="E","Este exercício usa a resistência da banda elástica como carga",AT51="O","Carga Sugerida: "&amp;INT(AW50)&amp;" kg",TRUE,""))</f>
        <v/>
      </c>
      <c r="AR51" s="66"/>
      <c r="AS51" s="126">
        <f>AS50</f>
        <v>1</v>
      </c>
      <c r="AT51" s="120" t="str">
        <f>LEFT(AW51)</f>
        <v/>
      </c>
      <c r="AU51" s="121" t="str">
        <f>MID(AW51,2,1)</f>
        <v/>
      </c>
      <c r="AV51" s="122" t="str">
        <f>RIGHT(AW51)</f>
        <v/>
      </c>
      <c r="AW51" s="123" t="str">
        <f>IF(AU50="","",OFFSET(Biblioteca!$I$2,MATCH(AU50,Biblioteca!$A$3:$A$200,0),0))</f>
        <v/>
      </c>
      <c r="AX51" s="57"/>
      <c r="AY51" s="125"/>
      <c r="AZ51" s="117" t="str">
        <f>IF(AZ50="","",IFS(BK51="A",Montagem!$F$30,BM51="T","Realizar a maior quantidade de repetições por "&amp;BE50&amp;" segundos | ",BM51="I",IF(BL51="U","Manter a posição por "&amp;BE50&amp;" segundos de um lado e trocar para o outro na sequência | ","Manter a posição por "&amp;BE50&amp;" segundos | "),BL51="A","Realizar alternadamente "&amp;BE50&amp;" repetições cada lado | ",BL51="U","Realizar "&amp;BE50&amp;" repetições de um lado e trocar para o outro na sequência | ",BK51="P",OFFSET(Biblioteca!$H$2,MATCH(BL50,Biblioteca!$A$3:$A$200,0),0),TRUE,"")&amp;IF(BM51="R","Ajuste a carga para que tenha "&amp;$K$2&amp;" repetições de reserva",""))</f>
        <v/>
      </c>
      <c r="BD51" s="118" t="str">
        <f>IF(AZ50="","",IFS(BK51="H","Carga Sugerida: "&amp;ROUNDUP(BN50/2,0)&amp;" kg de cada lado (Total: "&amp;ROUNDUP(BN50/2,0)*2&amp;" kg)",BK51="C","Este exercício usa o Peso Corporal como carga",BK51="E","Este exercício usa a resistência da banda elástica como carga",BK51="O","Carga Sugerida: "&amp;INT(BN50)&amp;" kg",TRUE,""))</f>
        <v/>
      </c>
      <c r="BI51" s="66"/>
      <c r="BJ51" s="126">
        <f>BJ50</f>
        <v>7</v>
      </c>
      <c r="BK51" s="120" t="str">
        <f>LEFT(BN51)</f>
        <v/>
      </c>
      <c r="BL51" s="121" t="str">
        <f>MID(BN51,2,1)</f>
        <v/>
      </c>
      <c r="BM51" s="122" t="str">
        <f>RIGHT(BN51)</f>
        <v/>
      </c>
      <c r="BN51" s="123" t="str">
        <f>IF(BL50="","",OFFSET(Biblioteca!$I$2,MATCH(BL50,Biblioteca!$A$3:$A$200,0),0))</f>
        <v/>
      </c>
      <c r="BO51" s="57"/>
      <c r="BP51" s="125"/>
      <c r="BQ51" s="117" t="str">
        <f>IF(BQ50="","",IFS(CB51="A",Montagem!$G$30,CD51="T","Realizar a maior quantidade de repetições por "&amp;BV50&amp;" segundos | ",CD51="I",IF(CC51="U","Manter a posição por "&amp;BV50&amp;" segundos de um lado e trocar para o outro na sequência | ","Manter a posição por "&amp;BV50&amp;" segundos | "),CC51="A","Realizar alternadamente "&amp;BV50&amp;" repetições cada lado | ",CC51="U","Realizar "&amp;BV50&amp;" repetições de um lado e trocar para o outro na sequência | ",CB51="P",OFFSET(Biblioteca!$H$2,MATCH(CC50,Biblioteca!$A$3:$A$200,0),0),TRUE,"")&amp;IF(CD51="R","Ajuste a carga para que tenha "&amp;$K$2&amp;" repetições de reserva",""))</f>
        <v/>
      </c>
      <c r="BU51" s="118" t="str">
        <f>IF(BQ50="","",IFS(CB51="H","Carga Sugerida: "&amp;ROUNDUP(CE50/2,0)&amp;" kg de cada lado (Total: "&amp;ROUNDUP(CE50/2,0)*2&amp;" kg)",CB51="C","Este exercício usa o Peso Corporal como carga",CB51="E","Este exercício usa a resistência da banda elástica como carga",CB51="O","Carga Sugerida: "&amp;INT(CE50)&amp;" kg",TRUE,""))</f>
        <v/>
      </c>
      <c r="BZ51" s="66"/>
      <c r="CA51" s="126">
        <f>CA50</f>
        <v>6</v>
      </c>
      <c r="CB51" s="120" t="str">
        <f>LEFT(CE51)</f>
        <v/>
      </c>
      <c r="CC51" s="121" t="str">
        <f>MID(CE51,2,1)</f>
        <v/>
      </c>
      <c r="CD51" s="122" t="str">
        <f>RIGHT(CE51)</f>
        <v/>
      </c>
      <c r="CE51" s="123" t="str">
        <f>IF(CC50="","",OFFSET(Biblioteca!$I$2,MATCH(CC50,Biblioteca!$A$3:$A$200,0),0))</f>
        <v/>
      </c>
      <c r="CF51" s="57"/>
      <c r="CG51" s="125"/>
      <c r="CH51" s="117" t="str">
        <f>IF(CH50="","",IFS(CS51="A",Montagem!$H$30,CU51="T","Realizar a maior quantidade de repetições por "&amp;CM50&amp;" segundos | ",CU51="I",IF(CT51="U","Manter a posição por "&amp;CM50&amp;" segundos de um lado e trocar para o outro na sequência | ","Manter a posição por "&amp;CM50&amp;" segundos | "),CT51="A","Realizar alternadamente "&amp;CM50&amp;" repetições cada lado | ",CT51="U","Realizar "&amp;CM50&amp;" repetições de um lado e trocar para o outro na sequência | ",CS51="P",OFFSET(Biblioteca!$H$2,MATCH(CT50,Biblioteca!$A$3:$A$200,0),0),TRUE,"")&amp;IF(CU51="R","Ajuste a carga para que tenha "&amp;$K$2&amp;" repetições de reserva",""))</f>
        <v/>
      </c>
      <c r="CL51" s="118" t="str">
        <f>IF(CH50="","",IFS(CS51="H","Carga Sugerida: "&amp;ROUNDUP(CV50/2,0)&amp;" kg de cada lado (Total: "&amp;ROUNDUP(CV50/2,0)*2&amp;" kg)",CS51="C","Este exercício usa o Peso Corporal como carga",CS51="E","Este exercício usa a resistência da banda elástica como carga",CS51="O","Carga Sugerida: "&amp;INT(CV50)&amp;" kg",TRUE,""))</f>
        <v/>
      </c>
      <c r="CQ51" s="66"/>
      <c r="CR51" s="126">
        <f>CR50</f>
        <v>1</v>
      </c>
      <c r="CS51" s="120" t="str">
        <f>LEFT(CV51)</f>
        <v/>
      </c>
      <c r="CT51" s="121" t="str">
        <f>MID(CV51,2,1)</f>
        <v/>
      </c>
      <c r="CU51" s="122" t="str">
        <f>RIGHT(CV51)</f>
        <v/>
      </c>
      <c r="CV51" s="123" t="str">
        <f>IF(CT50="","",OFFSET(Biblioteca!$I$2,MATCH(CT50,Biblioteca!$A$3:$A$200,0),0))</f>
        <v/>
      </c>
      <c r="CW51" s="57"/>
      <c r="CX51" s="125"/>
      <c r="CY51" s="117" t="str">
        <f>IF(CY50="","",IFS(DJ51="A",Montagem!$I$30,DL51="T","Realizar a maior quantidade de repetições por "&amp;DD50&amp;" segundos | ",DL51="I",IF(DK51="U","Manter a posição por "&amp;DD50&amp;" segundos de um lado e trocar para o outro na sequência | ","Manter a posição por "&amp;DD50&amp;" segundos | "),DK51="A","Realizar alternadamente "&amp;DD50&amp;" repetições cada lado | ",DK51="U","Realizar "&amp;DD50&amp;" repetições de um lado e trocar para o outro na sequência | ",DJ51="P",OFFSET(Biblioteca!$H$2,MATCH(DK50,Biblioteca!$A$3:$A$200,0),0),TRUE,"")&amp;IF(DL51="R","Ajuste a carga para que tenha "&amp;$K$2&amp;" repetições de reserva",""))</f>
        <v/>
      </c>
      <c r="DC51" s="118" t="str">
        <f>IF(CY50="","",IFS(DJ51="H","Carga Sugerida: "&amp;ROUNDUP(DM50/2,0)&amp;" kg de cada lado (Total: "&amp;ROUNDUP(DM50/2,0)*2&amp;" kg)",DJ51="C","Este exercício usa o Peso Corporal como carga",DJ51="E","Este exercício usa a resistência da banda elástica como carga",DJ51="O","Carga Sugerida: "&amp;INT(DM50)&amp;" kg",TRUE,""))</f>
        <v/>
      </c>
      <c r="DH51" s="66"/>
      <c r="DI51" s="126">
        <f>DI50</f>
        <v>1</v>
      </c>
      <c r="DJ51" s="120" t="str">
        <f>LEFT(DM51)</f>
        <v/>
      </c>
      <c r="DK51" s="121" t="str">
        <f>MID(DM51,2,1)</f>
        <v/>
      </c>
      <c r="DL51" s="122" t="str">
        <f>RIGHT(DM51)</f>
        <v/>
      </c>
      <c r="DM51" s="123" t="str">
        <f>IF(DK50="","",OFFSET(Biblioteca!$I$2,MATCH(DK50,Biblioteca!$A$3:$A$200,0),0))</f>
        <v/>
      </c>
      <c r="DN51" s="57"/>
      <c r="DO51" s="125"/>
      <c r="DP51" s="57"/>
      <c r="DQ51" s="56"/>
      <c r="DR51" s="56"/>
      <c r="DS51" s="56"/>
      <c r="DT51" s="56"/>
      <c r="DU51" s="56"/>
      <c r="DV51" s="56"/>
      <c r="DW51" s="56"/>
      <c r="DX51" s="56"/>
      <c r="DY51" s="56"/>
    </row>
    <row r="52">
      <c r="A52" s="115" t="str">
        <f>IF(M52="","",HYPERLINK(OFFSET(Biblioteca!$B$2,MATCH(M52,Biblioteca!$A$3:$A$200,0),0),M52))</f>
        <v/>
      </c>
      <c r="D52" s="103" t="str">
        <f>Montagem!Q34</f>
        <v/>
      </c>
      <c r="E52" s="104" t="str">
        <f>Montagem!R34</f>
        <v/>
      </c>
      <c r="F52" s="104" t="str">
        <f>Montagem!S34</f>
        <v/>
      </c>
      <c r="G52" s="104" t="str">
        <f>Montagem!T34</f>
        <v/>
      </c>
      <c r="H52" s="104" t="str">
        <f>Montagem!U34</f>
        <v/>
      </c>
      <c r="I52" s="132" t="str">
        <f>Montagem!V34</f>
        <v/>
      </c>
      <c r="J52" s="144"/>
      <c r="K52" s="106">
        <f>Montagem!K34</f>
        <v>6</v>
      </c>
      <c r="L52" s="128" t="str">
        <f>Montagem!W34</f>
        <v/>
      </c>
      <c r="M52" s="111" t="str">
        <f>Montagem!L34</f>
        <v/>
      </c>
      <c r="N52" s="111" t="str">
        <f>Montagem!X34</f>
        <v/>
      </c>
      <c r="O52" s="106" t="str">
        <f>IF(N52="",L52,N52)</f>
        <v/>
      </c>
      <c r="P52" s="106" t="str">
        <f>IF(L53="C",'Dados de Base'!$D$5*0.1,IF(L53="E",5,IF(J52="",O52,J52)))</f>
        <v/>
      </c>
      <c r="Q52" s="108"/>
      <c r="R52" s="115" t="str">
        <f>IF(AD52="","",HYPERLINK(OFFSET(Biblioteca!$B$2,MATCH(AD52,Biblioteca!$A$3:$A$200,0),0),AD52))</f>
        <v/>
      </c>
      <c r="U52" s="109" t="str">
        <f>Montagem!AF34</f>
        <v/>
      </c>
      <c r="V52" s="110" t="str">
        <f>Montagem!AG34</f>
        <v/>
      </c>
      <c r="W52" s="110" t="str">
        <f>Montagem!AH34</f>
        <v/>
      </c>
      <c r="X52" s="110" t="str">
        <f>Montagem!AI34</f>
        <v/>
      </c>
      <c r="Y52" s="110" t="str">
        <f>Montagem!AJ34</f>
        <v/>
      </c>
      <c r="Z52" s="110" t="str">
        <f>Montagem!AK34</f>
        <v/>
      </c>
      <c r="AA52" s="114"/>
      <c r="AB52" s="111">
        <f>Montagem!Z34</f>
        <v>6</v>
      </c>
      <c r="AC52" s="111" t="str">
        <f>Montagem!AL34</f>
        <v/>
      </c>
      <c r="AD52" s="129" t="str">
        <f>Montagem!AA34</f>
        <v/>
      </c>
      <c r="AE52" s="111" t="str">
        <f>Montagem!AM34</f>
        <v/>
      </c>
      <c r="AF52" s="106" t="str">
        <f>IF(AE52="",AC52,AE52)</f>
        <v/>
      </c>
      <c r="AG52" s="106" t="str">
        <f>IF(AC53="C",'Dados de Base'!$D$5*0.1,IF(AC53="E",5,IF(AA52="",AF52,AA52)))</f>
        <v/>
      </c>
      <c r="AH52" s="108"/>
      <c r="AI52" s="115" t="str">
        <f>IF(AU52="","",HYPERLINK(OFFSET(Biblioteca!$B$2,MATCH(AU52,Biblioteca!$A$3:$A$200,0),0),AU52))</f>
        <v/>
      </c>
      <c r="AL52" s="109" t="str">
        <f>Montagem!AU34</f>
        <v/>
      </c>
      <c r="AM52" s="110" t="str">
        <f>Montagem!AV34</f>
        <v/>
      </c>
      <c r="AN52" s="110" t="str">
        <f>Montagem!AW34</f>
        <v/>
      </c>
      <c r="AO52" s="110" t="str">
        <f>Montagem!AX34</f>
        <v/>
      </c>
      <c r="AP52" s="110" t="str">
        <f>Montagem!AY34</f>
        <v/>
      </c>
      <c r="AQ52" s="110" t="str">
        <f>Montagem!AZ34</f>
        <v/>
      </c>
      <c r="AR52" s="114"/>
      <c r="AS52" s="111">
        <f>Montagem!AO34</f>
        <v>1</v>
      </c>
      <c r="AT52" s="111" t="str">
        <f>Montagem!BA34</f>
        <v/>
      </c>
      <c r="AU52" s="111" t="str">
        <f>Montagem!AP34</f>
        <v/>
      </c>
      <c r="AV52" s="111" t="str">
        <f>Montagem!BB34</f>
        <v/>
      </c>
      <c r="AW52" s="106" t="str">
        <f>IF(AV52="",AT52,AV52)</f>
        <v/>
      </c>
      <c r="AX52" s="106" t="str">
        <f>IF(AT53="C",'Dados de Base'!$D$5*0.1,IF(AT53="E",5,IF(AR52="",AW52,AR52)))</f>
        <v/>
      </c>
      <c r="AY52" s="108"/>
      <c r="AZ52" s="115" t="str">
        <f>IF(BL52="","",HYPERLINK(OFFSET(Biblioteca!$B$2,MATCH(BL52,Biblioteca!$A$3:$A$200,0),0),BL52))</f>
        <v/>
      </c>
      <c r="BC52" s="109" t="str">
        <f>Montagem!BJ34</f>
        <v/>
      </c>
      <c r="BD52" s="110" t="str">
        <f>Montagem!BK34</f>
        <v/>
      </c>
      <c r="BE52" s="110" t="str">
        <f>Montagem!BL34</f>
        <v/>
      </c>
      <c r="BF52" s="110" t="str">
        <f>Montagem!BM34</f>
        <v/>
      </c>
      <c r="BG52" s="110" t="str">
        <f>Montagem!BN34</f>
        <v/>
      </c>
      <c r="BH52" s="110" t="str">
        <f>Montagem!BO34</f>
        <v/>
      </c>
      <c r="BI52" s="114"/>
      <c r="BJ52" s="111">
        <f>Montagem!BD34</f>
        <v>7</v>
      </c>
      <c r="BK52" s="111" t="str">
        <f>Montagem!BP34</f>
        <v/>
      </c>
      <c r="BL52" s="111" t="str">
        <f>Montagem!BE34</f>
        <v/>
      </c>
      <c r="BM52" s="111" t="str">
        <f>Montagem!BQ34</f>
        <v/>
      </c>
      <c r="BN52" s="106" t="str">
        <f>IF(BM52="",BK52,BM52)</f>
        <v/>
      </c>
      <c r="BO52" s="106" t="str">
        <f>IF(BK53="C",'Dados de Base'!$D$5*0.1,IF(BK53="E",5,IF(BI52="",BN52,BI52)))</f>
        <v/>
      </c>
      <c r="BP52" s="108"/>
      <c r="BQ52" s="115" t="str">
        <f>IF(CC52="","",HYPERLINK(OFFSET(Biblioteca!$B$2,MATCH(CC52,Biblioteca!$A$3:$A$200,0),0),CC52))</f>
        <v/>
      </c>
      <c r="BT52" s="109" t="str">
        <f>Montagem!BY34</f>
        <v/>
      </c>
      <c r="BU52" s="110" t="str">
        <f>Montagem!BZ34</f>
        <v/>
      </c>
      <c r="BV52" s="110" t="str">
        <f>Montagem!CA34</f>
        <v/>
      </c>
      <c r="BW52" s="110" t="str">
        <f>Montagem!CB34</f>
        <v/>
      </c>
      <c r="BX52" s="110" t="str">
        <f>Montagem!CC34</f>
        <v/>
      </c>
      <c r="BY52" s="110" t="str">
        <f>Montagem!CD34</f>
        <v/>
      </c>
      <c r="BZ52" s="114"/>
      <c r="CA52" s="111">
        <f>Montagem!BS34</f>
        <v>6</v>
      </c>
      <c r="CB52" s="111" t="str">
        <f>Montagem!CE34</f>
        <v/>
      </c>
      <c r="CC52" s="111" t="str">
        <f>Montagem!BT34</f>
        <v/>
      </c>
      <c r="CD52" s="111" t="str">
        <f>Montagem!CF34</f>
        <v/>
      </c>
      <c r="CE52" s="106" t="str">
        <f>IF(CD52="",CB52,CD52)</f>
        <v/>
      </c>
      <c r="CF52" s="106" t="str">
        <f>IF(CB53="C",'Dados de Base'!$D$5*0.1,IF(CB53="E",5,IF(BZ52="",CE52,BZ52)))</f>
        <v/>
      </c>
      <c r="CG52" s="108"/>
      <c r="CH52" s="115" t="str">
        <f>IF(CT52="","",HYPERLINK(OFFSET(Biblioteca!$B$2,MATCH(CT52,Biblioteca!$A$3:$A$200,0),0),CT52))</f>
        <v/>
      </c>
      <c r="CK52" s="109" t="str">
        <f>Montagem!CN34</f>
        <v/>
      </c>
      <c r="CL52" s="110" t="str">
        <f>Montagem!CO34</f>
        <v/>
      </c>
      <c r="CM52" s="110" t="str">
        <f>Montagem!CP34</f>
        <v/>
      </c>
      <c r="CN52" s="110" t="str">
        <f>Montagem!CQ34</f>
        <v/>
      </c>
      <c r="CO52" s="110" t="str">
        <f>Montagem!CR34</f>
        <v/>
      </c>
      <c r="CP52" s="110" t="str">
        <f>Montagem!CS34</f>
        <v/>
      </c>
      <c r="CQ52" s="114"/>
      <c r="CR52" s="111">
        <f>Montagem!CH34</f>
        <v>1</v>
      </c>
      <c r="CS52" s="111" t="str">
        <f>Montagem!CT34</f>
        <v/>
      </c>
      <c r="CT52" s="111" t="str">
        <f>Montagem!CI34</f>
        <v/>
      </c>
      <c r="CU52" s="145" t="str">
        <f>Montagem!CU34</f>
        <v/>
      </c>
      <c r="CV52" s="106" t="str">
        <f>IF(CU52="",CS52,CU52)</f>
        <v/>
      </c>
      <c r="CW52" s="106" t="str">
        <f>IF(CS53="C",'Dados de Base'!$D$5*0.1,IF(CS53="E",5,IF(CQ52="",CV52,CQ52)))</f>
        <v/>
      </c>
      <c r="CX52" s="108"/>
      <c r="CY52" s="115" t="str">
        <f>IF(DK52="","",HYPERLINK(OFFSET(Biblioteca!$B$2,MATCH(DK52,Biblioteca!$A$3:$A$200,0),0),DK52))</f>
        <v/>
      </c>
      <c r="DB52" s="130" t="str">
        <f>Montagem!DC34</f>
        <v/>
      </c>
      <c r="DC52" s="131" t="str">
        <f>Montagem!DD34</f>
        <v/>
      </c>
      <c r="DD52" s="131" t="str">
        <f>Montagem!DE34</f>
        <v/>
      </c>
      <c r="DE52" s="131" t="str">
        <f>Montagem!DF34</f>
        <v/>
      </c>
      <c r="DF52" s="131" t="str">
        <f>Montagem!DG34</f>
        <v/>
      </c>
      <c r="DG52" s="131" t="str">
        <f>Montagem!DH34</f>
        <v/>
      </c>
      <c r="DH52" s="114"/>
      <c r="DI52" s="111">
        <f>Montagem!CW34</f>
        <v>1</v>
      </c>
      <c r="DJ52" s="111" t="str">
        <f>Montagem!DI34</f>
        <v/>
      </c>
      <c r="DK52" s="111" t="str">
        <f>Montagem!CX34</f>
        <v/>
      </c>
      <c r="DL52" s="145" t="str">
        <f>Montagem!DJ34</f>
        <v/>
      </c>
      <c r="DM52" s="106" t="str">
        <f>IF(DL52="",DJ52,DL52)</f>
        <v/>
      </c>
      <c r="DN52" s="106" t="str">
        <f>IF(DJ53="C",'Dados de Base'!$D$5*0.1,IF(DJ53="E",5,IF(DH52="",DM52,DH52)))</f>
        <v/>
      </c>
      <c r="DO52" s="108"/>
      <c r="DP52" s="106"/>
      <c r="DQ52" s="106"/>
      <c r="DR52" s="106"/>
      <c r="DS52" s="106"/>
      <c r="DT52" s="106"/>
      <c r="DU52" s="106"/>
      <c r="DV52" s="106"/>
      <c r="DW52" s="106"/>
      <c r="DX52" s="106"/>
      <c r="DY52" s="106"/>
    </row>
    <row r="53">
      <c r="A53" s="117" t="str">
        <f>IF(A52="","",IFS(L53="A",Montagem!$C$30,N53="T","Realizar a maior quantidade de repetições por "&amp;F52&amp;" segundos | ",N53="I",IF(M53="U","Manter a posição por "&amp;F52&amp;" segundos de um lado e trocar para o outro na sequência | ","Manter a posição por "&amp;F52&amp;" segundos | "),M53="A","Realizar alternadamente "&amp;F52&amp;" repetições cada lado | ",M53="U","Realizar "&amp;F52&amp;" repetições de um lado e trocar para o outro na sequência | ",L53="P",OFFSET(Biblioteca!$H$2,MATCH(M52,Biblioteca!$A$3:$A$200,0),0),TRUE,"")&amp;IF(N53="R","Ajuste a carga para que tenha "&amp;$K$2&amp;" repetições de reserva",""))</f>
        <v/>
      </c>
      <c r="E53" s="118" t="str">
        <f>IF(A52="","",IFS(L53="H","Carga Sugerida: "&amp;ROUNDUP(O52/2,0)&amp;" kg de cada lado (Total: "&amp;ROUNDUP(O52/2,0)*2&amp;" kg)",L53="C","Este exercício usa o Peso Corporal como carga",L53="E","Este exercício usa a resistência da banda elástica como carga",L53="O","Carga Sugerida: "&amp;INT(O52)&amp;" kg",TRUE,""))</f>
        <v/>
      </c>
      <c r="J53" s="66"/>
      <c r="K53" s="106">
        <f>K52</f>
        <v>6</v>
      </c>
      <c r="L53" s="120" t="str">
        <f>LEFT(O53)</f>
        <v/>
      </c>
      <c r="M53" s="121" t="str">
        <f>MID(O53,2,1)</f>
        <v/>
      </c>
      <c r="N53" s="122" t="str">
        <f>RIGHT(O53)</f>
        <v/>
      </c>
      <c r="O53" s="123" t="str">
        <f>IF(M52="","",OFFSET(Biblioteca!$I$2,MATCH(M52,Biblioteca!$A$3:$A$200,0),0))</f>
        <v/>
      </c>
      <c r="P53" s="57"/>
      <c r="Q53" s="125"/>
      <c r="R53" s="117" t="str">
        <f>IF(R52="","",IFS(AC53="A",Montagem!$D$30,AE53="T","Realizar a maior quantidade de repetições por "&amp;W52&amp;" segundos | ",AE53="I",IF(AD53="U","Manter a posição por "&amp;W52&amp;" segundos de um lado e trocar para o outro na sequência | ","Manter a posição por "&amp;W52&amp;" segundos | "),AD53="A","Realizar alternadamente "&amp;W52&amp;" repetições cada lado | ",AD53="U","Realizar "&amp;W52&amp;" repetições de um lado e trocar para o outro na sequência | ",AC53="P",OFFSET(Biblioteca!$H$2,MATCH(AD52,Biblioteca!$A$3:$A$200,0),0),TRUE,"")&amp;IF(AE53="R","Ajuste a carga para que tenha "&amp;$K$2&amp;" repetições de reserva",""))</f>
        <v/>
      </c>
      <c r="V53" s="118" t="str">
        <f>IF(R52="","",IFS(AC53="H","Carga Sugerida: "&amp;ROUNDUP(AF52/2,0)&amp;" kg de cada lado (Total: "&amp;ROUNDUP(AF52/2,0)*2&amp;" kg)",AC53="C","Este exercício usa o Peso Corporal como carga",AC53="E","Este exercício usa a resistência da banda elástica como carga",AC53="O","Carga Sugerida: "&amp;INT(AF52)&amp;" kg",TRUE,""))</f>
        <v/>
      </c>
      <c r="AA53" s="66"/>
      <c r="AB53" s="126">
        <f>AB52</f>
        <v>6</v>
      </c>
      <c r="AC53" s="120" t="str">
        <f>LEFT(AF53)</f>
        <v/>
      </c>
      <c r="AD53" s="121" t="str">
        <f>MID(AF53,2,1)</f>
        <v/>
      </c>
      <c r="AE53" s="122" t="str">
        <f>RIGHT(AF53)</f>
        <v/>
      </c>
      <c r="AF53" s="123" t="str">
        <f>IF(AD52="","",OFFSET(Biblioteca!$I$2,MATCH(AD52,Biblioteca!$A$3:$A$200,0),0))</f>
        <v/>
      </c>
      <c r="AG53" s="57"/>
      <c r="AH53" s="125"/>
      <c r="AI53" s="117" t="str">
        <f>IF(AI52="","",IFS(AT53="A",Montagem!$E$30,AV53="T","Realizar a maior quantidade de repetições por "&amp;AN52&amp;" segundos | ",AV53="I",IF(AU53="U","Manter a posição por "&amp;AN52&amp;" segundos de um lado e trocar para o outro na sequência | ","Manter a posição por "&amp;AN52&amp;" segundos | "),AU53="A","Realizar alternadamente "&amp;AN52&amp;" repetições cada lado | ",AU53="U","Realizar "&amp;AN52&amp;" repetições de um lado e trocar para o outro na sequência | ",AT53="P",OFFSET(Biblioteca!$H$2,MATCH(AU52,Biblioteca!$A$3:$A$200,0),0),TRUE,"")&amp;IF(AV53="R","Ajuste a carga para que tenha "&amp;$K$2&amp;" repetições de reserva",""))</f>
        <v/>
      </c>
      <c r="AM53" s="118" t="str">
        <f>IF(AI52="","",IFS(AT53="H","Carga Sugerida: "&amp;ROUNDUP(AW52/2,0)&amp;" kg de cada lado (Total: "&amp;ROUNDUP(AW52/2,0)*2&amp;" kg)",AT53="C","Este exercício usa o Peso Corporal como carga",AT53="E","Este exercício usa a resistência da banda elástica como carga",AT53="O","Carga Sugerida: "&amp;INT(AW52)&amp;" kg",TRUE,""))</f>
        <v/>
      </c>
      <c r="AR53" s="66"/>
      <c r="AS53" s="126">
        <f>AS52</f>
        <v>1</v>
      </c>
      <c r="AT53" s="120" t="str">
        <f>LEFT(AW53)</f>
        <v/>
      </c>
      <c r="AU53" s="121" t="str">
        <f>MID(AW53,2,1)</f>
        <v/>
      </c>
      <c r="AV53" s="122" t="str">
        <f>RIGHT(AW53)</f>
        <v/>
      </c>
      <c r="AW53" s="123" t="str">
        <f>IF(AU52="","",OFFSET(Biblioteca!$I$2,MATCH(AU52,Biblioteca!$A$3:$A$200,0),0))</f>
        <v/>
      </c>
      <c r="AX53" s="57"/>
      <c r="AY53" s="125"/>
      <c r="AZ53" s="117" t="str">
        <f>IF(AZ52="","",IFS(BK53="A",Montagem!$F$30,BM53="T","Realizar a maior quantidade de repetições por "&amp;BE52&amp;" segundos | ",BM53="I",IF(BL53="U","Manter a posição por "&amp;BE52&amp;" segundos de um lado e trocar para o outro na sequência | ","Manter a posição por "&amp;BE52&amp;" segundos | "),BL53="A","Realizar alternadamente "&amp;BE52&amp;" repetições cada lado | ",BL53="U","Realizar "&amp;BE52&amp;" repetições de um lado e trocar para o outro na sequência | ",BK53="P",OFFSET(Biblioteca!$H$2,MATCH(BL52,Biblioteca!$A$3:$A$200,0),0),TRUE,"")&amp;IF(BM53="R","Ajuste a carga para que tenha "&amp;$K$2&amp;" repetições de reserva",""))</f>
        <v/>
      </c>
      <c r="BD53" s="118" t="str">
        <f>IF(AZ52="","",IFS(BK53="H","Carga Sugerida: "&amp;ROUNDUP(BN52/2,0)&amp;" kg de cada lado (Total: "&amp;ROUNDUP(BN52/2,0)*2&amp;" kg)",BK53="C","Este exercício usa o Peso Corporal como carga",BK53="E","Este exercício usa a resistência da banda elástica como carga",BK53="O","Carga Sugerida: "&amp;INT(BN52)&amp;" kg",TRUE,""))</f>
        <v/>
      </c>
      <c r="BI53" s="66"/>
      <c r="BJ53" s="126">
        <f>BJ52</f>
        <v>7</v>
      </c>
      <c r="BK53" s="120" t="str">
        <f>LEFT(BN53)</f>
        <v/>
      </c>
      <c r="BL53" s="121" t="str">
        <f>MID(BN53,2,1)</f>
        <v/>
      </c>
      <c r="BM53" s="122" t="str">
        <f>RIGHT(BN53)</f>
        <v/>
      </c>
      <c r="BN53" s="123" t="str">
        <f>IF(BL52="","",OFFSET(Biblioteca!$I$2,MATCH(BL52,Biblioteca!$A$3:$A$200,0),0))</f>
        <v/>
      </c>
      <c r="BO53" s="57"/>
      <c r="BP53" s="125"/>
      <c r="BQ53" s="117" t="str">
        <f>IF(BQ52="","",IFS(CB53="A",Montagem!$G$30,CD53="T","Realizar a maior quantidade de repetições por "&amp;BV52&amp;" segundos | ",CD53="I",IF(CC53="U","Manter a posição por "&amp;BV52&amp;" segundos de um lado e trocar para o outro na sequência | ","Manter a posição por "&amp;BV52&amp;" segundos | "),CC53="A","Realizar alternadamente "&amp;BV52&amp;" repetições cada lado | ",CC53="U","Realizar "&amp;BV52&amp;" repetições de um lado e trocar para o outro na sequência | ",CB53="P",OFFSET(Biblioteca!$H$2,MATCH(CC52,Biblioteca!$A$3:$A$200,0),0),TRUE,"")&amp;IF(CD53="R","Ajuste a carga para que tenha "&amp;$K$2&amp;" repetições de reserva",""))</f>
        <v/>
      </c>
      <c r="BU53" s="118" t="str">
        <f>IF(BQ52="","",IFS(CB53="H","Carga Sugerida: "&amp;ROUNDUP(CE52/2,0)&amp;" kg de cada lado (Total: "&amp;ROUNDUP(CE52/2,0)*2&amp;" kg)",CB53="C","Este exercício usa o Peso Corporal como carga",CB53="E","Este exercício usa a resistência da banda elástica como carga",CB53="O","Carga Sugerida: "&amp;INT(CE52)&amp;" kg",TRUE,""))</f>
        <v/>
      </c>
      <c r="BZ53" s="66"/>
      <c r="CA53" s="126">
        <f>CA52</f>
        <v>6</v>
      </c>
      <c r="CB53" s="120" t="str">
        <f>LEFT(CE53)</f>
        <v/>
      </c>
      <c r="CC53" s="121" t="str">
        <f>MID(CE53,2,1)</f>
        <v/>
      </c>
      <c r="CD53" s="122" t="str">
        <f>RIGHT(CE53)</f>
        <v/>
      </c>
      <c r="CE53" s="123" t="str">
        <f>IF(CC52="","",OFFSET(Biblioteca!$I$2,MATCH(CC52,Biblioteca!$A$3:$A$200,0),0))</f>
        <v/>
      </c>
      <c r="CF53" s="57"/>
      <c r="CG53" s="125"/>
      <c r="CH53" s="117" t="str">
        <f>IF(CH52="","",IFS(CS53="A",Montagem!$H$30,CU53="T","Realizar a maior quantidade de repetições por "&amp;CM52&amp;" segundos | ",CU53="I",IF(CT53="U","Manter a posição por "&amp;CM52&amp;" segundos de um lado e trocar para o outro na sequência | ","Manter a posição por "&amp;CM52&amp;" segundos | "),CT53="A","Realizar alternadamente "&amp;CM52&amp;" repetições cada lado | ",CT53="U","Realizar "&amp;CM52&amp;" repetições de um lado e trocar para o outro na sequência | ",CS53="P",OFFSET(Biblioteca!$H$2,MATCH(CT52,Biblioteca!$A$3:$A$200,0),0),TRUE,"")&amp;IF(CU53="R","Ajuste a carga para que tenha "&amp;$K$2&amp;" repetições de reserva",""))</f>
        <v/>
      </c>
      <c r="CL53" s="118" t="str">
        <f>IF(CH52="","",IFS(CS53="H","Carga Sugerida: "&amp;ROUNDUP(CV52/2,0)&amp;" kg de cada lado (Total: "&amp;ROUNDUP(CV52/2,0)*2&amp;" kg)",CS53="C","Este exercício usa o Peso Corporal como carga",CS53="E","Este exercício usa a resistência da banda elástica como carga",CS53="O","Carga Sugerida: "&amp;INT(CV52)&amp;" kg",TRUE,""))</f>
        <v/>
      </c>
      <c r="CQ53" s="66"/>
      <c r="CR53" s="126">
        <f>CR52</f>
        <v>1</v>
      </c>
      <c r="CS53" s="120" t="str">
        <f>LEFT(CV53)</f>
        <v/>
      </c>
      <c r="CT53" s="121" t="str">
        <f>MID(CV53,2,1)</f>
        <v/>
      </c>
      <c r="CU53" s="122" t="str">
        <f>RIGHT(CV53)</f>
        <v/>
      </c>
      <c r="CV53" s="123" t="str">
        <f>IF(CT52="","",OFFSET(Biblioteca!$I$2,MATCH(CT52,Biblioteca!$A$3:$A$200,0),0))</f>
        <v/>
      </c>
      <c r="CW53" s="57"/>
      <c r="CX53" s="125"/>
      <c r="CY53" s="117" t="str">
        <f>IF(CY52="","",IFS(DJ53="A",Montagem!$I$30,DL53="T","Realizar a maior quantidade de repetições por "&amp;DD52&amp;" segundos | ",DL53="I",IF(DK53="U","Manter a posição por "&amp;DD52&amp;" segundos de um lado e trocar para o outro na sequência | ","Manter a posição por "&amp;DD52&amp;" segundos | "),DK53="A","Realizar alternadamente "&amp;DD52&amp;" repetições cada lado | ",DK53="U","Realizar "&amp;DD52&amp;" repetições de um lado e trocar para o outro na sequência | ",DJ53="P",OFFSET(Biblioteca!$H$2,MATCH(DK52,Biblioteca!$A$3:$A$200,0),0),TRUE,"")&amp;IF(DL53="R","Ajuste a carga para que tenha "&amp;$K$2&amp;" repetições de reserva",""))</f>
        <v/>
      </c>
      <c r="DC53" s="118" t="str">
        <f>IF(CY52="","",IFS(DJ53="H","Carga Sugerida: "&amp;ROUNDUP(DM52/2,0)&amp;" kg de cada lado (Total: "&amp;ROUNDUP(DM52/2,0)*2&amp;" kg)",DJ53="C","Este exercício usa o Peso Corporal como carga",DJ53="E","Este exercício usa a resistência da banda elástica como carga",DJ53="O","Carga Sugerida: "&amp;INT(DM52)&amp;" kg",TRUE,""))</f>
        <v/>
      </c>
      <c r="DH53" s="66"/>
      <c r="DI53" s="126">
        <f>DI52</f>
        <v>1</v>
      </c>
      <c r="DJ53" s="120" t="str">
        <f>LEFT(DM53)</f>
        <v/>
      </c>
      <c r="DK53" s="121" t="str">
        <f>MID(DM53,2,1)</f>
        <v/>
      </c>
      <c r="DL53" s="122" t="str">
        <f>RIGHT(DM53)</f>
        <v/>
      </c>
      <c r="DM53" s="123" t="str">
        <f>IF(DK52="","",OFFSET(Biblioteca!$I$2,MATCH(DK52,Biblioteca!$A$3:$A$200,0),0))</f>
        <v/>
      </c>
      <c r="DN53" s="57"/>
      <c r="DO53" s="125"/>
      <c r="DP53" s="57"/>
      <c r="DQ53" s="56"/>
      <c r="DR53" s="56"/>
      <c r="DS53" s="56"/>
      <c r="DT53" s="56"/>
      <c r="DU53" s="56"/>
      <c r="DV53" s="56"/>
      <c r="DW53" s="56"/>
      <c r="DX53" s="56"/>
      <c r="DY53" s="56"/>
    </row>
    <row r="54">
      <c r="A54" s="115" t="str">
        <f>IF(M54="","",HYPERLINK(OFFSET(Biblioteca!$B$2,MATCH(M54,Biblioteca!$A$3:$A$200,0),0),M54))</f>
        <v/>
      </c>
      <c r="D54" s="103" t="str">
        <f>Montagem!Q35</f>
        <v/>
      </c>
      <c r="E54" s="104" t="str">
        <f>Montagem!R35</f>
        <v/>
      </c>
      <c r="F54" s="104" t="str">
        <f>Montagem!S35</f>
        <v/>
      </c>
      <c r="G54" s="104" t="str">
        <f>Montagem!T35</f>
        <v/>
      </c>
      <c r="H54" s="104" t="str">
        <f>Montagem!U35</f>
        <v/>
      </c>
      <c r="I54" s="132" t="str">
        <f>Montagem!V35</f>
        <v/>
      </c>
      <c r="J54" s="144"/>
      <c r="K54" s="106">
        <f>Montagem!K35</f>
        <v>6</v>
      </c>
      <c r="L54" s="128" t="str">
        <f>Montagem!W35</f>
        <v/>
      </c>
      <c r="M54" s="111" t="str">
        <f>Montagem!L35</f>
        <v/>
      </c>
      <c r="N54" s="111" t="str">
        <f>Montagem!X35</f>
        <v/>
      </c>
      <c r="O54" s="106" t="str">
        <f>IF(N54="",L54,N54)</f>
        <v/>
      </c>
      <c r="P54" s="106" t="str">
        <f>IF(L55="C",'Dados de Base'!$D$5*0.1,IF(L55="E",5,IF(J54="",O54,J54)))</f>
        <v/>
      </c>
      <c r="Q54" s="108"/>
      <c r="R54" s="115" t="str">
        <f>IF(AD54="","",HYPERLINK(OFFSET(Biblioteca!$B$2,MATCH(AD54,Biblioteca!$A$3:$A$200,0),0),AD54))</f>
        <v/>
      </c>
      <c r="U54" s="109" t="str">
        <f>Montagem!AF35</f>
        <v/>
      </c>
      <c r="V54" s="110" t="str">
        <f>Montagem!AG35</f>
        <v/>
      </c>
      <c r="W54" s="110" t="str">
        <f>Montagem!AH35</f>
        <v/>
      </c>
      <c r="X54" s="110" t="str">
        <f>Montagem!AI35</f>
        <v/>
      </c>
      <c r="Y54" s="110" t="str">
        <f>Montagem!AJ35</f>
        <v/>
      </c>
      <c r="Z54" s="110" t="str">
        <f>Montagem!AK35</f>
        <v/>
      </c>
      <c r="AA54" s="114"/>
      <c r="AB54" s="111">
        <f>Montagem!Z35</f>
        <v>6</v>
      </c>
      <c r="AC54" s="111" t="str">
        <f>Montagem!AL35</f>
        <v/>
      </c>
      <c r="AD54" s="129" t="str">
        <f>Montagem!AA35</f>
        <v/>
      </c>
      <c r="AE54" s="111" t="str">
        <f>Montagem!AM35</f>
        <v/>
      </c>
      <c r="AF54" s="106" t="str">
        <f>IF(AE54="",AC54,AE54)</f>
        <v/>
      </c>
      <c r="AG54" s="106" t="str">
        <f>IF(AC55="C",'Dados de Base'!$D$5*0.1,IF(AC55="E",5,IF(AA54="",AF54,AA54)))</f>
        <v/>
      </c>
      <c r="AH54" s="108"/>
      <c r="AI54" s="115" t="str">
        <f>IF(AU54="","",HYPERLINK(OFFSET(Biblioteca!$B$2,MATCH(AU54,Biblioteca!$A$3:$A$200,0),0),AU54))</f>
        <v/>
      </c>
      <c r="AL54" s="109" t="str">
        <f>Montagem!AU35</f>
        <v/>
      </c>
      <c r="AM54" s="110" t="str">
        <f>Montagem!AV35</f>
        <v/>
      </c>
      <c r="AN54" s="110" t="str">
        <f>Montagem!AW35</f>
        <v/>
      </c>
      <c r="AO54" s="110" t="str">
        <f>Montagem!AX35</f>
        <v/>
      </c>
      <c r="AP54" s="110" t="str">
        <f>Montagem!AY35</f>
        <v/>
      </c>
      <c r="AQ54" s="110" t="str">
        <f>Montagem!AZ35</f>
        <v/>
      </c>
      <c r="AR54" s="114"/>
      <c r="AS54" s="111">
        <f>Montagem!AO35</f>
        <v>1</v>
      </c>
      <c r="AT54" s="111" t="str">
        <f>Montagem!BA35</f>
        <v/>
      </c>
      <c r="AU54" s="111" t="str">
        <f>Montagem!AP35</f>
        <v/>
      </c>
      <c r="AV54" s="111" t="str">
        <f>Montagem!BB35</f>
        <v/>
      </c>
      <c r="AW54" s="106" t="str">
        <f>IF(AV54="",AT54,AV54)</f>
        <v/>
      </c>
      <c r="AX54" s="106" t="str">
        <f>IF(AT55="C",'Dados de Base'!$D$5*0.1,IF(AT55="E",5,IF(AR54="",AW54,AR54)))</f>
        <v/>
      </c>
      <c r="AY54" s="108"/>
      <c r="AZ54" s="115" t="str">
        <f>IF(BL54="","",HYPERLINK(OFFSET(Biblioteca!$B$2,MATCH(BL54,Biblioteca!$A$3:$A$200,0),0),BL54))</f>
        <v/>
      </c>
      <c r="BC54" s="109" t="str">
        <f>Montagem!BJ35</f>
        <v/>
      </c>
      <c r="BD54" s="110" t="str">
        <f>Montagem!BK35</f>
        <v/>
      </c>
      <c r="BE54" s="110" t="str">
        <f>Montagem!BL35</f>
        <v/>
      </c>
      <c r="BF54" s="110" t="str">
        <f>Montagem!BM35</f>
        <v/>
      </c>
      <c r="BG54" s="110" t="str">
        <f>Montagem!BN35</f>
        <v/>
      </c>
      <c r="BH54" s="110" t="str">
        <f>Montagem!BO35</f>
        <v/>
      </c>
      <c r="BI54" s="114"/>
      <c r="BJ54" s="111">
        <f>Montagem!BD35</f>
        <v>7</v>
      </c>
      <c r="BK54" s="111" t="str">
        <f>Montagem!BP35</f>
        <v/>
      </c>
      <c r="BL54" s="111" t="str">
        <f>Montagem!BE35</f>
        <v/>
      </c>
      <c r="BM54" s="111" t="str">
        <f>Montagem!BQ35</f>
        <v/>
      </c>
      <c r="BN54" s="106" t="str">
        <f>IF(BM54="",BK54,BM54)</f>
        <v/>
      </c>
      <c r="BO54" s="106" t="str">
        <f>IF(BK55="C",'Dados de Base'!$D$5*0.1,IF(BK55="E",5,IF(BI54="",BN54,BI54)))</f>
        <v/>
      </c>
      <c r="BP54" s="108"/>
      <c r="BQ54" s="115" t="str">
        <f>IF(CC54="","",HYPERLINK(OFFSET(Biblioteca!$B$2,MATCH(CC54,Biblioteca!$A$3:$A$200,0),0),CC54))</f>
        <v/>
      </c>
      <c r="BT54" s="109" t="str">
        <f>Montagem!BY35</f>
        <v/>
      </c>
      <c r="BU54" s="110" t="str">
        <f>Montagem!BZ35</f>
        <v/>
      </c>
      <c r="BV54" s="110" t="str">
        <f>Montagem!CA35</f>
        <v/>
      </c>
      <c r="BW54" s="110" t="str">
        <f>Montagem!CB35</f>
        <v/>
      </c>
      <c r="BX54" s="110" t="str">
        <f>Montagem!CC35</f>
        <v/>
      </c>
      <c r="BY54" s="110" t="str">
        <f>Montagem!CD35</f>
        <v/>
      </c>
      <c r="BZ54" s="114"/>
      <c r="CA54" s="111">
        <f>Montagem!BS35</f>
        <v>6</v>
      </c>
      <c r="CB54" s="111" t="str">
        <f>Montagem!CE35</f>
        <v/>
      </c>
      <c r="CC54" s="111" t="str">
        <f>Montagem!BT35</f>
        <v/>
      </c>
      <c r="CD54" s="111" t="str">
        <f>Montagem!CF35</f>
        <v/>
      </c>
      <c r="CE54" s="106" t="str">
        <f>IF(CD54="",CB54,CD54)</f>
        <v/>
      </c>
      <c r="CF54" s="106" t="str">
        <f>IF(CB55="C",'Dados de Base'!$D$5*0.1,IF(CB55="E",5,IF(BZ54="",CE54,BZ54)))</f>
        <v/>
      </c>
      <c r="CG54" s="108"/>
      <c r="CH54" s="115" t="str">
        <f>IF(CT54="","",HYPERLINK(OFFSET(Biblioteca!$B$2,MATCH(CT54,Biblioteca!$A$3:$A$200,0),0),CT54))</f>
        <v/>
      </c>
      <c r="CK54" s="109" t="str">
        <f>Montagem!CN35</f>
        <v/>
      </c>
      <c r="CL54" s="110" t="str">
        <f>Montagem!CO35</f>
        <v/>
      </c>
      <c r="CM54" s="110" t="str">
        <f>Montagem!CP35</f>
        <v/>
      </c>
      <c r="CN54" s="110" t="str">
        <f>Montagem!CQ35</f>
        <v/>
      </c>
      <c r="CO54" s="110" t="str">
        <f>Montagem!CR35</f>
        <v/>
      </c>
      <c r="CP54" s="110" t="str">
        <f>Montagem!CS35</f>
        <v/>
      </c>
      <c r="CQ54" s="114"/>
      <c r="CR54" s="111">
        <f>Montagem!CH35</f>
        <v>1</v>
      </c>
      <c r="CS54" s="111" t="str">
        <f>Montagem!CT35</f>
        <v/>
      </c>
      <c r="CT54" s="111" t="str">
        <f>Montagem!CI35</f>
        <v/>
      </c>
      <c r="CU54" s="145" t="str">
        <f>Montagem!CU35</f>
        <v/>
      </c>
      <c r="CV54" s="106" t="str">
        <f>IF(CU54="",CS54,CU54)</f>
        <v/>
      </c>
      <c r="CW54" s="106" t="str">
        <f>IF(CS55="C",'Dados de Base'!$D$5*0.1,IF(CS55="E",5,IF(CQ54="",CV54,CQ54)))</f>
        <v/>
      </c>
      <c r="CX54" s="108"/>
      <c r="CY54" s="115" t="str">
        <f>IF(DK54="","",HYPERLINK(OFFSET(Biblioteca!$B$2,MATCH(DK54,Biblioteca!$A$3:$A$200,0),0),DK54))</f>
        <v/>
      </c>
      <c r="DB54" s="130" t="str">
        <f>Montagem!DC35</f>
        <v/>
      </c>
      <c r="DC54" s="131" t="str">
        <f>Montagem!DD35</f>
        <v/>
      </c>
      <c r="DD54" s="131" t="str">
        <f>Montagem!DE35</f>
        <v/>
      </c>
      <c r="DE54" s="131" t="str">
        <f>Montagem!DF35</f>
        <v/>
      </c>
      <c r="DF54" s="131" t="str">
        <f>Montagem!DG35</f>
        <v/>
      </c>
      <c r="DG54" s="131" t="str">
        <f>Montagem!DH35</f>
        <v/>
      </c>
      <c r="DH54" s="114"/>
      <c r="DI54" s="111">
        <f>Montagem!CW35</f>
        <v>1</v>
      </c>
      <c r="DJ54" s="111" t="str">
        <f>Montagem!DI35</f>
        <v/>
      </c>
      <c r="DK54" s="111" t="str">
        <f>Montagem!CX35</f>
        <v/>
      </c>
      <c r="DL54" s="145" t="str">
        <f>Montagem!DJ35</f>
        <v/>
      </c>
      <c r="DM54" s="106" t="str">
        <f>IF(DL54="",DJ54,DL54)</f>
        <v/>
      </c>
      <c r="DN54" s="106" t="str">
        <f>IF(DJ55="C",'Dados de Base'!$D$5*0.1,IF(DJ55="E",5,IF(DH54="",DM54,DH54)))</f>
        <v/>
      </c>
      <c r="DO54" s="146"/>
      <c r="DP54" s="116">
        <v>2.0</v>
      </c>
      <c r="DQ54" s="116">
        <v>3.0</v>
      </c>
      <c r="DR54" s="116">
        <v>4.0</v>
      </c>
      <c r="DS54" s="116">
        <v>5.0</v>
      </c>
      <c r="DT54" s="106"/>
      <c r="DU54" s="116">
        <v>6.0</v>
      </c>
      <c r="DV54" s="106"/>
      <c r="DW54" s="106"/>
      <c r="DX54" s="116">
        <v>7.0</v>
      </c>
      <c r="DY54" s="106"/>
    </row>
    <row r="55">
      <c r="A55" s="117" t="str">
        <f>IF(A54="","",IFS(L55="A",Montagem!$C$30,N55="T","Realizar a maior quantidade de repetições por "&amp;F54&amp;" segundos | ",N55="I",IF(M55="U","Manter a posição por "&amp;F54&amp;" segundos de um lado e trocar para o outro na sequência | ","Manter a posição por "&amp;F54&amp;" segundos | "),M55="A","Realizar alternadamente "&amp;F54&amp;" repetições cada lado | ",M55="U","Realizar "&amp;F54&amp;" repetições de um lado e trocar para o outro na sequência | ",L55="P",OFFSET(Biblioteca!$H$2,MATCH(M54,Biblioteca!$A$3:$A$200,0),0),TRUE,"")&amp;IF(N55="R","Ajuste a carga para que tenha "&amp;$K$2&amp;" repetições de reserva",""))</f>
        <v/>
      </c>
      <c r="E55" s="118" t="str">
        <f>IF(A54="","",IFS(L55="H","Carga Sugerida: "&amp;ROUNDUP(O54/2,0)&amp;" kg de cada lado (Total: "&amp;ROUNDUP(O54/2,0)*2&amp;" kg)",L55="C","Este exercício usa o Peso Corporal como carga",L55="E","Este exercício usa a resistência da banda elástica como carga",L55="O","Carga Sugerida: "&amp;INT(O54)&amp;" kg",TRUE,""))</f>
        <v/>
      </c>
      <c r="J55" s="66"/>
      <c r="K55" s="106">
        <f>K54</f>
        <v>6</v>
      </c>
      <c r="L55" s="120" t="str">
        <f>LEFT(O55)</f>
        <v/>
      </c>
      <c r="M55" s="121" t="str">
        <f>MID(O55,2,1)</f>
        <v/>
      </c>
      <c r="N55" s="122" t="str">
        <f>RIGHT(O55)</f>
        <v/>
      </c>
      <c r="O55" s="123" t="str">
        <f>IF(M54="","",OFFSET(Biblioteca!$I$2,MATCH(M54,Biblioteca!$A$3:$A$200,0),0))</f>
        <v/>
      </c>
      <c r="P55" s="57"/>
      <c r="Q55" s="125"/>
      <c r="R55" s="117" t="str">
        <f>IF(R54="","",IFS(AC55="A",Montagem!$D$30,AE55="T","Realizar a maior quantidade de repetições por "&amp;W54&amp;" segundos | ",AE55="I",IF(AD55="U","Manter a posição por "&amp;W54&amp;" segundos de um lado e trocar para o outro na sequência | ","Manter a posição por "&amp;W54&amp;" segundos | "),AD55="A","Realizar alternadamente "&amp;W54&amp;" repetições cada lado | ",AD55="U","Realizar "&amp;W54&amp;" repetições de um lado e trocar para o outro na sequência | ",AC55="P",OFFSET(Biblioteca!$H$2,MATCH(AD54,Biblioteca!$A$3:$A$200,0),0),TRUE,"")&amp;IF(AE55="R","Ajuste a carga para que tenha "&amp;$K$2&amp;" repetições de reserva",""))</f>
        <v/>
      </c>
      <c r="V55" s="118" t="str">
        <f>IF(R54="","",IFS(AC55="H","Carga Sugerida: "&amp;ROUNDUP(AF54/2,0)&amp;" kg de cada lado (Total: "&amp;ROUNDUP(AF54/2,0)*2&amp;" kg)",AC55="C","Este exercício usa o Peso Corporal como carga",AC55="E","Este exercício usa a resistência da banda elástica como carga",AC55="O","Carga Sugerida: "&amp;INT(AF54)&amp;" kg",TRUE,""))</f>
        <v/>
      </c>
      <c r="AA55" s="66"/>
      <c r="AB55" s="126">
        <f>AB54</f>
        <v>6</v>
      </c>
      <c r="AC55" s="120" t="str">
        <f>LEFT(AF55)</f>
        <v/>
      </c>
      <c r="AD55" s="121" t="str">
        <f>MID(AF55,2,1)</f>
        <v/>
      </c>
      <c r="AE55" s="122" t="str">
        <f>RIGHT(AF55)</f>
        <v/>
      </c>
      <c r="AF55" s="123" t="str">
        <f>IF(AD54="","",OFFSET(Biblioteca!$I$2,MATCH(AD54,Biblioteca!$A$3:$A$200,0),0))</f>
        <v/>
      </c>
      <c r="AG55" s="57"/>
      <c r="AH55" s="125"/>
      <c r="AI55" s="117" t="str">
        <f>IF(AI54="","",IFS(AT55="A",Montagem!$E$30,AV55="T","Realizar a maior quantidade de repetições por "&amp;AN54&amp;" segundos | ",AV55="I",IF(AU55="U","Manter a posição por "&amp;AN54&amp;" segundos de um lado e trocar para o outro na sequência | ","Manter a posição por "&amp;AN54&amp;" segundos | "),AU55="A","Realizar alternadamente "&amp;AN54&amp;" repetições cada lado | ",AU55="U","Realizar "&amp;AN54&amp;" repetições de um lado e trocar para o outro na sequência | ",AT55="P",OFFSET(Biblioteca!$H$2,MATCH(AU54,Biblioteca!$A$3:$A$200,0),0),TRUE,"")&amp;IF(AV55="R","Ajuste a carga para que tenha "&amp;$K$2&amp;" repetições de reserva",""))</f>
        <v/>
      </c>
      <c r="AM55" s="118" t="str">
        <f>IF(AI54="","",IFS(AT55="H","Carga Sugerida: "&amp;ROUNDUP(AW54/2,0)&amp;" kg de cada lado (Total: "&amp;ROUNDUP(AW54/2,0)*2&amp;" kg)",AT55="C","Este exercício usa o Peso Corporal como carga",AT55="E","Este exercício usa a resistência da banda elástica como carga",AT55="O","Carga Sugerida: "&amp;INT(AW54)&amp;" kg",TRUE,""))</f>
        <v/>
      </c>
      <c r="AR55" s="66"/>
      <c r="AS55" s="126">
        <f>AS54</f>
        <v>1</v>
      </c>
      <c r="AT55" s="120" t="str">
        <f>LEFT(AW55)</f>
        <v/>
      </c>
      <c r="AU55" s="121" t="str">
        <f>MID(AW55,2,1)</f>
        <v/>
      </c>
      <c r="AV55" s="122" t="str">
        <f>RIGHT(AW55)</f>
        <v/>
      </c>
      <c r="AW55" s="123" t="str">
        <f>IF(AU54="","",OFFSET(Biblioteca!$I$2,MATCH(AU54,Biblioteca!$A$3:$A$200,0),0))</f>
        <v/>
      </c>
      <c r="AX55" s="57"/>
      <c r="AY55" s="125"/>
      <c r="AZ55" s="117" t="str">
        <f>IF(AZ54="","",IFS(BK55="A",Montagem!$F$30,BM55="T","Realizar a maior quantidade de repetições por "&amp;BE54&amp;" segundos | ",BM55="I",IF(BL55="U","Manter a posição por "&amp;BE54&amp;" segundos de um lado e trocar para o outro na sequência | ","Manter a posição por "&amp;BE54&amp;" segundos | "),BL55="A","Realizar alternadamente "&amp;BE54&amp;" repetições cada lado | ",BL55="U","Realizar "&amp;BE54&amp;" repetições de um lado e trocar para o outro na sequência | ",BK55="P",OFFSET(Biblioteca!$H$2,MATCH(BL54,Biblioteca!$A$3:$A$200,0),0),TRUE,"")&amp;IF(BM55="R","Ajuste a carga para que tenha "&amp;$K$2&amp;" repetições de reserva",""))</f>
        <v/>
      </c>
      <c r="BD55" s="118" t="str">
        <f>IF(AZ54="","",IFS(BK55="H","Carga Sugerida: "&amp;ROUNDUP(BN54/2,0)&amp;" kg de cada lado (Total: "&amp;ROUNDUP(BN54/2,0)*2&amp;" kg)",BK55="C","Este exercício usa o Peso Corporal como carga",BK55="E","Este exercício usa a resistência da banda elástica como carga",BK55="O","Carga Sugerida: "&amp;INT(BN54)&amp;" kg",TRUE,""))</f>
        <v/>
      </c>
      <c r="BI55" s="66"/>
      <c r="BJ55" s="126">
        <f>BJ54</f>
        <v>7</v>
      </c>
      <c r="BK55" s="120" t="str">
        <f>LEFT(BN55)</f>
        <v/>
      </c>
      <c r="BL55" s="121" t="str">
        <f>MID(BN55,2,1)</f>
        <v/>
      </c>
      <c r="BM55" s="122" t="str">
        <f>RIGHT(BN55)</f>
        <v/>
      </c>
      <c r="BN55" s="123" t="str">
        <f>IF(BL54="","",OFFSET(Biblioteca!$I$2,MATCH(BL54,Biblioteca!$A$3:$A$200,0),0))</f>
        <v/>
      </c>
      <c r="BO55" s="57"/>
      <c r="BP55" s="125"/>
      <c r="BQ55" s="117" t="str">
        <f>IF(BQ54="","",IFS(CB55="A",Montagem!$G$30,CD55="T","Realizar a maior quantidade de repetições por "&amp;BV54&amp;" segundos | ",CD55="I",IF(CC55="U","Manter a posição por "&amp;BV54&amp;" segundos de um lado e trocar para o outro na sequência | ","Manter a posição por "&amp;BV54&amp;" segundos | "),CC55="A","Realizar alternadamente "&amp;BV54&amp;" repetições cada lado | ",CC55="U","Realizar "&amp;BV54&amp;" repetições de um lado e trocar para o outro na sequência | ",CB55="P",OFFSET(Biblioteca!$H$2,MATCH(CC54,Biblioteca!$A$3:$A$200,0),0),TRUE,"")&amp;IF(CD55="R","Ajuste a carga para que tenha "&amp;$K$2&amp;" repetições de reserva",""))</f>
        <v/>
      </c>
      <c r="BU55" s="118" t="str">
        <f>IF(BQ54="","",IFS(CB55="H","Carga Sugerida: "&amp;ROUNDUP(CE54/2,0)&amp;" kg de cada lado (Total: "&amp;ROUNDUP(CE54/2,0)*2&amp;" kg)",CB55="C","Este exercício usa o Peso Corporal como carga",CB55="E","Este exercício usa a resistência da banda elástica como carga",CB55="O","Carga Sugerida: "&amp;INT(CE54)&amp;" kg",TRUE,""))</f>
        <v/>
      </c>
      <c r="BZ55" s="66"/>
      <c r="CA55" s="126">
        <f>CA54</f>
        <v>6</v>
      </c>
      <c r="CB55" s="120" t="str">
        <f>LEFT(CE55)</f>
        <v/>
      </c>
      <c r="CC55" s="121" t="str">
        <f>MID(CE55,2,1)</f>
        <v/>
      </c>
      <c r="CD55" s="122" t="str">
        <f>RIGHT(CE55)</f>
        <v/>
      </c>
      <c r="CE55" s="123" t="str">
        <f>IF(CC54="","",OFFSET(Biblioteca!$I$2,MATCH(CC54,Biblioteca!$A$3:$A$200,0),0))</f>
        <v/>
      </c>
      <c r="CF55" s="57"/>
      <c r="CG55" s="125"/>
      <c r="CH55" s="117" t="str">
        <f>IF(CH54="","",IFS(CS55="A",Montagem!$H$30,CU55="T","Realizar a maior quantidade de repetições por "&amp;CM54&amp;" segundos | ",CU55="I",IF(CT55="U","Manter a posição por "&amp;CM54&amp;" segundos de um lado e trocar para o outro na sequência | ","Manter a posição por "&amp;CM54&amp;" segundos | "),CT55="A","Realizar alternadamente "&amp;CM54&amp;" repetições cada lado | ",CT55="U","Realizar "&amp;CM54&amp;" repetições de um lado e trocar para o outro na sequência | ",CS55="P",OFFSET(Biblioteca!$H$2,MATCH(CT54,Biblioteca!$A$3:$A$200,0),0),TRUE,"")&amp;IF(CU55="R","Ajuste a carga para que tenha "&amp;$K$2&amp;" repetições de reserva",""))</f>
        <v/>
      </c>
      <c r="CL55" s="118" t="str">
        <f>IF(CH54="","",IFS(CS55="H","Carga Sugerida: "&amp;ROUNDUP(CV54/2,0)&amp;" kg de cada lado (Total: "&amp;ROUNDUP(CV54/2,0)*2&amp;" kg)",CS55="C","Este exercício usa o Peso Corporal como carga",CS55="E","Este exercício usa a resistência da banda elástica como carga",CS55="O","Carga Sugerida: "&amp;INT(CV54)&amp;" kg",TRUE,""))</f>
        <v/>
      </c>
      <c r="CQ55" s="66"/>
      <c r="CR55" s="126">
        <f>CR54</f>
        <v>1</v>
      </c>
      <c r="CS55" s="120" t="str">
        <f>LEFT(CV55)</f>
        <v/>
      </c>
      <c r="CT55" s="121" t="str">
        <f>MID(CV55,2,1)</f>
        <v/>
      </c>
      <c r="CU55" s="122" t="str">
        <f>RIGHT(CV55)</f>
        <v/>
      </c>
      <c r="CV55" s="123" t="str">
        <f>IF(CT54="","",OFFSET(Biblioteca!$I$2,MATCH(CT54,Biblioteca!$A$3:$A$200,0),0))</f>
        <v/>
      </c>
      <c r="CW55" s="57"/>
      <c r="CX55" s="125"/>
      <c r="CY55" s="117" t="str">
        <f>IF(CY54="","",IFS(DJ55="A",Montagem!$I$30,DL55="T","Realizar a maior quantidade de repetições por "&amp;DD54&amp;" segundos | ",DL55="I",IF(DK55="U","Manter a posição por "&amp;DD54&amp;" segundos de um lado e trocar para o outro na sequência | ","Manter a posição por "&amp;DD54&amp;" segundos | "),DK55="A","Realizar alternadamente "&amp;DD54&amp;" repetições cada lado | ",DK55="U","Realizar "&amp;DD54&amp;" repetições de um lado e trocar para o outro na sequência | ",DJ55="P",OFFSET(Biblioteca!$H$2,MATCH(DK54,Biblioteca!$A$3:$A$200,0),0),TRUE,"")&amp;IF(DL55="R","Ajuste a carga para que tenha "&amp;$K$2&amp;" repetições de reserva",""))</f>
        <v/>
      </c>
      <c r="DC55" s="118" t="str">
        <f>IF(CY54="","",IFS(DJ55="H","Carga Sugerida: "&amp;ROUNDUP(DM54/2,0)&amp;" kg de cada lado (Total: "&amp;ROUNDUP(DM54/2,0)*2&amp;" kg)",DJ55="C","Este exercício usa o Peso Corporal como carga",DJ55="E","Este exercício usa a resistência da banda elástica como carga",DJ55="O","Carga Sugerida: "&amp;INT(DM54)&amp;" kg",TRUE,""))</f>
        <v/>
      </c>
      <c r="DH55" s="66"/>
      <c r="DI55" s="126">
        <f>DI54</f>
        <v>1</v>
      </c>
      <c r="DJ55" s="120" t="str">
        <f>LEFT(DM55)</f>
        <v/>
      </c>
      <c r="DK55" s="121" t="str">
        <f>MID(DM55,2,1)</f>
        <v/>
      </c>
      <c r="DL55" s="122" t="str">
        <f>RIGHT(DM55)</f>
        <v/>
      </c>
      <c r="DM55" s="123" t="str">
        <f>IF(DK54="","",OFFSET(Biblioteca!$I$2,MATCH(DK54,Biblioteca!$A$3:$A$200,0),0))</f>
        <v/>
      </c>
      <c r="DN55" s="57"/>
      <c r="DO55" s="147"/>
      <c r="DP55" s="57">
        <f>AND(J2&gt;1,DQ18&lt;2)+0</f>
        <v>1</v>
      </c>
      <c r="DQ55" s="56">
        <f>AND(J2&gt;2,DQ18&lt;3)+0</f>
        <v>1</v>
      </c>
      <c r="DR55" s="56">
        <f>AND(J2&gt;3,DQ18&lt;4)+0</f>
        <v>1</v>
      </c>
      <c r="DS55" s="56">
        <f>AND(J2&gt;4,DQ18&lt;5)+0</f>
        <v>1</v>
      </c>
      <c r="DT55" s="56"/>
      <c r="DU55" s="56">
        <f>AND(J2&gt;5,DQ18&lt;6)+0</f>
        <v>1</v>
      </c>
      <c r="DV55" s="56"/>
      <c r="DW55" s="56"/>
      <c r="DX55" s="148">
        <f>AND(J2=7,DQ18&lt;7)+0</f>
        <v>0</v>
      </c>
      <c r="DY55" s="56"/>
    </row>
    <row r="56">
      <c r="A56" s="115" t="str">
        <f>IF(M56="","",HYPERLINK(OFFSET(Biblioteca!$B$2,MATCH(M56,Biblioteca!$A$3:$A$200,0),0),M56))</f>
        <v/>
      </c>
      <c r="D56" s="103" t="str">
        <f>Montagem!Q36</f>
        <v/>
      </c>
      <c r="E56" s="104" t="str">
        <f>Montagem!R36</f>
        <v/>
      </c>
      <c r="F56" s="104" t="str">
        <f>Montagem!S36</f>
        <v/>
      </c>
      <c r="G56" s="104" t="str">
        <f>Montagem!T36</f>
        <v/>
      </c>
      <c r="H56" s="104" t="str">
        <f>Montagem!U36</f>
        <v/>
      </c>
      <c r="I56" s="132" t="str">
        <f>Montagem!V36</f>
        <v/>
      </c>
      <c r="J56" s="144"/>
      <c r="K56" s="106">
        <f>Montagem!K36</f>
        <v>6</v>
      </c>
      <c r="L56" s="128" t="str">
        <f>Montagem!W36</f>
        <v/>
      </c>
      <c r="M56" s="111" t="str">
        <f>Montagem!L36</f>
        <v/>
      </c>
      <c r="N56" s="111" t="str">
        <f>Montagem!X36</f>
        <v/>
      </c>
      <c r="O56" s="106" t="str">
        <f>IF(N56="",L56,N56)</f>
        <v/>
      </c>
      <c r="P56" s="106" t="str">
        <f>IF(L57="C",'Dados de Base'!$D$5*0.1,IF(L57="E",5,IF(J56="",O56,J56)))</f>
        <v/>
      </c>
      <c r="Q56" s="108"/>
      <c r="R56" s="115" t="str">
        <f>IF(AD56="","",HYPERLINK(OFFSET(Biblioteca!$B$2,MATCH(AD56,Biblioteca!$A$3:$A$200,0),0),AD56))</f>
        <v/>
      </c>
      <c r="U56" s="109" t="str">
        <f>Montagem!AF36</f>
        <v/>
      </c>
      <c r="V56" s="110" t="str">
        <f>Montagem!AG36</f>
        <v/>
      </c>
      <c r="W56" s="110" t="str">
        <f>Montagem!AH36</f>
        <v/>
      </c>
      <c r="X56" s="110" t="str">
        <f>Montagem!AI36</f>
        <v/>
      </c>
      <c r="Y56" s="110" t="str">
        <f>Montagem!AJ36</f>
        <v/>
      </c>
      <c r="Z56" s="110" t="str">
        <f>Montagem!AK36</f>
        <v/>
      </c>
      <c r="AA56" s="114"/>
      <c r="AB56" s="111">
        <f>Montagem!Z36</f>
        <v>6</v>
      </c>
      <c r="AC56" s="111" t="str">
        <f>Montagem!AL36</f>
        <v/>
      </c>
      <c r="AD56" s="129" t="str">
        <f>Montagem!AA36</f>
        <v/>
      </c>
      <c r="AE56" s="111" t="str">
        <f>Montagem!AM36</f>
        <v/>
      </c>
      <c r="AF56" s="106" t="str">
        <f>IF(AE56="",AC56,AE56)</f>
        <v/>
      </c>
      <c r="AG56" s="106" t="str">
        <f>IF(AC57="C",'Dados de Base'!$D$5*0.1,IF(AC57="E",5,IF(AA56="",AF56,AA56)))</f>
        <v/>
      </c>
      <c r="AH56" s="108"/>
      <c r="AI56" s="115" t="str">
        <f>IF(AU56="","",HYPERLINK(OFFSET(Biblioteca!$B$2,MATCH(AU56,Biblioteca!$A$3:$A$200,0),0),AU56))</f>
        <v/>
      </c>
      <c r="AL56" s="109" t="str">
        <f>Montagem!AU36</f>
        <v/>
      </c>
      <c r="AM56" s="110" t="str">
        <f>Montagem!AV36</f>
        <v/>
      </c>
      <c r="AN56" s="110" t="str">
        <f>Montagem!AW36</f>
        <v/>
      </c>
      <c r="AO56" s="110" t="str">
        <f>Montagem!AX36</f>
        <v/>
      </c>
      <c r="AP56" s="110" t="str">
        <f>Montagem!AY36</f>
        <v/>
      </c>
      <c r="AQ56" s="110" t="str">
        <f>Montagem!AZ36</f>
        <v/>
      </c>
      <c r="AR56" s="114"/>
      <c r="AS56" s="111">
        <f>Montagem!AO36</f>
        <v>1</v>
      </c>
      <c r="AT56" s="111" t="str">
        <f>Montagem!BA36</f>
        <v/>
      </c>
      <c r="AU56" s="111" t="str">
        <f>Montagem!AP36</f>
        <v/>
      </c>
      <c r="AV56" s="111" t="str">
        <f>Montagem!BB36</f>
        <v/>
      </c>
      <c r="AW56" s="106" t="str">
        <f>IF(AV56="",AT56,AV56)</f>
        <v/>
      </c>
      <c r="AX56" s="106" t="str">
        <f>IF(AT57="C",'Dados de Base'!$D$5*0.1,IF(AT57="E",5,IF(AR56="",AW56,AR56)))</f>
        <v/>
      </c>
      <c r="AY56" s="108"/>
      <c r="AZ56" s="115" t="str">
        <f>IF(BL56="","",HYPERLINK(OFFSET(Biblioteca!$B$2,MATCH(BL56,Biblioteca!$A$3:$A$200,0),0),BL56))</f>
        <v/>
      </c>
      <c r="BC56" s="109" t="str">
        <f>Montagem!BJ36</f>
        <v/>
      </c>
      <c r="BD56" s="110" t="str">
        <f>Montagem!BK36</f>
        <v/>
      </c>
      <c r="BE56" s="110" t="str">
        <f>Montagem!BL36</f>
        <v/>
      </c>
      <c r="BF56" s="110" t="str">
        <f>Montagem!BM36</f>
        <v/>
      </c>
      <c r="BG56" s="110" t="str">
        <f>Montagem!BN36</f>
        <v/>
      </c>
      <c r="BH56" s="110" t="str">
        <f>Montagem!BO36</f>
        <v/>
      </c>
      <c r="BI56" s="114"/>
      <c r="BJ56" s="111">
        <f>Montagem!BD36</f>
        <v>7</v>
      </c>
      <c r="BK56" s="111" t="str">
        <f>Montagem!BP36</f>
        <v/>
      </c>
      <c r="BL56" s="111" t="str">
        <f>Montagem!BE36</f>
        <v/>
      </c>
      <c r="BM56" s="111" t="str">
        <f>Montagem!BQ36</f>
        <v/>
      </c>
      <c r="BN56" s="106" t="str">
        <f>IF(BM56="",BK56,BM56)</f>
        <v/>
      </c>
      <c r="BO56" s="106" t="str">
        <f>IF(BK57="C",'Dados de Base'!$D$5*0.1,IF(BK57="E",5,IF(BI56="",BN56,BI56)))</f>
        <v/>
      </c>
      <c r="BP56" s="108"/>
      <c r="BQ56" s="115" t="str">
        <f>IF(CC56="","",HYPERLINK(OFFSET(Biblioteca!$B$2,MATCH(CC56,Biblioteca!$A$3:$A$200,0),0),CC56))</f>
        <v/>
      </c>
      <c r="BT56" s="109" t="str">
        <f>Montagem!BY36</f>
        <v/>
      </c>
      <c r="BU56" s="110" t="str">
        <f>Montagem!BZ36</f>
        <v/>
      </c>
      <c r="BV56" s="110" t="str">
        <f>Montagem!CA36</f>
        <v/>
      </c>
      <c r="BW56" s="110" t="str">
        <f>Montagem!CB36</f>
        <v/>
      </c>
      <c r="BX56" s="110" t="str">
        <f>Montagem!CC36</f>
        <v/>
      </c>
      <c r="BY56" s="110" t="str">
        <f>Montagem!CD36</f>
        <v/>
      </c>
      <c r="BZ56" s="114"/>
      <c r="CA56" s="111">
        <f>Montagem!BS36</f>
        <v>6</v>
      </c>
      <c r="CB56" s="111" t="str">
        <f>Montagem!CE36</f>
        <v/>
      </c>
      <c r="CC56" s="111" t="str">
        <f>Montagem!BT36</f>
        <v/>
      </c>
      <c r="CD56" s="111" t="str">
        <f>Montagem!CF36</f>
        <v/>
      </c>
      <c r="CE56" s="106" t="str">
        <f>IF(CD56="",CB56,CD56)</f>
        <v/>
      </c>
      <c r="CF56" s="106" t="str">
        <f>IF(CB57="C",'Dados de Base'!$D$5*0.1,IF(CB57="E",5,IF(BZ56="",CE56,BZ56)))</f>
        <v/>
      </c>
      <c r="CG56" s="108"/>
      <c r="CH56" s="115" t="str">
        <f>IF(CT56="","",HYPERLINK(OFFSET(Biblioteca!$B$2,MATCH(CT56,Biblioteca!$A$3:$A$200,0),0),CT56))</f>
        <v/>
      </c>
      <c r="CK56" s="109" t="str">
        <f>Montagem!CN36</f>
        <v/>
      </c>
      <c r="CL56" s="110" t="str">
        <f>Montagem!CO36</f>
        <v/>
      </c>
      <c r="CM56" s="110" t="str">
        <f>Montagem!CP36</f>
        <v/>
      </c>
      <c r="CN56" s="110" t="str">
        <f>Montagem!CQ36</f>
        <v/>
      </c>
      <c r="CO56" s="110" t="str">
        <f>Montagem!CR36</f>
        <v/>
      </c>
      <c r="CP56" s="110" t="str">
        <f>Montagem!CS36</f>
        <v/>
      </c>
      <c r="CQ56" s="114"/>
      <c r="CR56" s="111">
        <f>Montagem!CH36</f>
        <v>1</v>
      </c>
      <c r="CS56" s="111" t="str">
        <f>Montagem!CT36</f>
        <v/>
      </c>
      <c r="CT56" s="111" t="str">
        <f>Montagem!CI36</f>
        <v/>
      </c>
      <c r="CU56" s="145" t="str">
        <f>Montagem!CU36</f>
        <v/>
      </c>
      <c r="CV56" s="106" t="str">
        <f>IF(CU56="",CS56,CU56)</f>
        <v/>
      </c>
      <c r="CW56" s="106" t="str">
        <f>IF(CS57="C",'Dados de Base'!$D$5*0.1,IF(CS57="E",5,IF(CQ56="",CV56,CQ56)))</f>
        <v/>
      </c>
      <c r="CX56" s="108"/>
      <c r="CY56" s="115" t="str">
        <f>IF(DK56="","",HYPERLINK(OFFSET(Biblioteca!$B$2,MATCH(DK56,Biblioteca!$A$3:$A$200,0),0),DK56))</f>
        <v/>
      </c>
      <c r="DB56" s="130" t="str">
        <f>Montagem!DC36</f>
        <v/>
      </c>
      <c r="DC56" s="131" t="str">
        <f>Montagem!DD36</f>
        <v/>
      </c>
      <c r="DD56" s="131" t="str">
        <f>Montagem!DE36</f>
        <v/>
      </c>
      <c r="DE56" s="131" t="str">
        <f>Montagem!DF36</f>
        <v/>
      </c>
      <c r="DF56" s="131" t="str">
        <f>Montagem!DG36</f>
        <v/>
      </c>
      <c r="DG56" s="131" t="str">
        <f>Montagem!DH36</f>
        <v/>
      </c>
      <c r="DH56" s="114"/>
      <c r="DI56" s="111">
        <f>Montagem!CW36</f>
        <v>1</v>
      </c>
      <c r="DJ56" s="111" t="str">
        <f>Montagem!DI36</f>
        <v/>
      </c>
      <c r="DK56" s="111" t="str">
        <f>Montagem!CX36</f>
        <v/>
      </c>
      <c r="DL56" s="145" t="str">
        <f>Montagem!DJ36</f>
        <v/>
      </c>
      <c r="DM56" s="106" t="str">
        <f>IF(DL56="",DJ56,DL56)</f>
        <v/>
      </c>
      <c r="DN56" s="106" t="str">
        <f>IF(DJ57="C",'Dados de Base'!$D$5*0.1,IF(DJ57="E",5,IF(DH56="",DM56,DH56)))</f>
        <v/>
      </c>
      <c r="DO56" s="146"/>
      <c r="DP56" s="106">
        <f>AND(J2&gt;1,DQ18&gt;1)+0</f>
        <v>0</v>
      </c>
      <c r="DQ56" s="106">
        <f>AND(J2&gt;2,DQ18&gt;2)+0</f>
        <v>0</v>
      </c>
      <c r="DR56" s="106">
        <f>AND(J2&gt;3,DQ18&gt;3)+0</f>
        <v>0</v>
      </c>
      <c r="DS56" s="106">
        <f>AND(J2&gt;4,DQ18&gt;4)+0</f>
        <v>0</v>
      </c>
      <c r="DT56" s="106"/>
      <c r="DU56" s="106">
        <f>AND(J2&gt;5,DQ18&gt;5)+0</f>
        <v>0</v>
      </c>
      <c r="DV56" s="106"/>
      <c r="DW56" s="106"/>
      <c r="DX56" s="106">
        <f>AND(J2=7,DQ18&gt;6)+0</f>
        <v>0</v>
      </c>
      <c r="DY56" s="106"/>
    </row>
    <row r="57">
      <c r="A57" s="117" t="str">
        <f>IF(A56="","",IFS(L57="A",Montagem!$C$30,N57="T","Realizar a maior quantidade de repetições por "&amp;F56&amp;" segundos | ",N57="I",IF(M57="U","Manter a posição por "&amp;F56&amp;" segundos de um lado e trocar para o outro na sequência | ","Manter a posição por "&amp;F56&amp;" segundos | "),M57="A","Realizar alternadamente "&amp;F56&amp;" repetições cada lado | ",M57="U","Realizar "&amp;F56&amp;" repetições de um lado e trocar para o outro na sequência | ",L57="P",OFFSET(Biblioteca!$H$2,MATCH(M56,Biblioteca!$A$3:$A$200,0),0),TRUE,"")&amp;IF(N57="R","Ajuste a carga para que tenha "&amp;$K$2&amp;" repetições de reserva",""))</f>
        <v/>
      </c>
      <c r="E57" s="118" t="str">
        <f>IF(A56="","",IFS(L57="H","Carga Sugerida: "&amp;ROUNDUP(O56/2,0)&amp;" kg de cada lado (Total: "&amp;ROUNDUP(O56/2,0)*2&amp;" kg)",L57="C","Este exercício usa o Peso Corporal como carga",L57="E","Este exercício usa a resistência da banda elástica como carga",L57="O","Carga Sugerida: "&amp;INT(O56)&amp;" kg",TRUE,""))</f>
        <v/>
      </c>
      <c r="J57" s="66"/>
      <c r="K57" s="106">
        <f>K56</f>
        <v>6</v>
      </c>
      <c r="L57" s="120" t="str">
        <f>LEFT(O57)</f>
        <v/>
      </c>
      <c r="M57" s="121" t="str">
        <f>MID(O57,2,1)</f>
        <v/>
      </c>
      <c r="N57" s="122" t="str">
        <f>RIGHT(O57)</f>
        <v/>
      </c>
      <c r="O57" s="123" t="str">
        <f>IF(M56="","",OFFSET(Biblioteca!$I$2,MATCH(M56,Biblioteca!$A$3:$A$200,0),0))</f>
        <v/>
      </c>
      <c r="P57" s="57"/>
      <c r="Q57" s="125"/>
      <c r="R57" s="117" t="str">
        <f>IF(R56="","",IFS(AC57="A",Montagem!$D$30,AE57="T","Realizar a maior quantidade de repetições por "&amp;W56&amp;" segundos | ",AE57="I",IF(AD57="U","Manter a posição por "&amp;W56&amp;" segundos de um lado e trocar para o outro na sequência | ","Manter a posição por "&amp;W56&amp;" segundos | "),AD57="A","Realizar alternadamente "&amp;W56&amp;" repetições cada lado | ",AD57="U","Realizar "&amp;W56&amp;" repetições de um lado e trocar para o outro na sequência | ",AC57="P",OFFSET(Biblioteca!$H$2,MATCH(AD56,Biblioteca!$A$3:$A$200,0),0),TRUE,"")&amp;IF(AE57="R","Ajuste a carga para que tenha "&amp;$K$2&amp;" repetições de reserva",""))</f>
        <v/>
      </c>
      <c r="V57" s="118" t="str">
        <f>IF(R56="","",IFS(AC57="H","Carga Sugerida: "&amp;ROUNDUP(AF56/2,0)&amp;" kg de cada lado (Total: "&amp;ROUNDUP(AF56/2,0)*2&amp;" kg)",AC57="C","Este exercício usa o Peso Corporal como carga",AC57="E","Este exercício usa a resistência da banda elástica como carga",AC57="O","Carga Sugerida: "&amp;INT(AF56)&amp;" kg",TRUE,""))</f>
        <v/>
      </c>
      <c r="AA57" s="66"/>
      <c r="AB57" s="126">
        <f>AB56</f>
        <v>6</v>
      </c>
      <c r="AC57" s="120" t="str">
        <f>LEFT(AF57)</f>
        <v/>
      </c>
      <c r="AD57" s="121" t="str">
        <f>MID(AF57,2,1)</f>
        <v/>
      </c>
      <c r="AE57" s="122" t="str">
        <f>RIGHT(AF57)</f>
        <v/>
      </c>
      <c r="AF57" s="123" t="str">
        <f>IF(AD56="","",OFFSET(Biblioteca!$I$2,MATCH(AD56,Biblioteca!$A$3:$A$200,0),0))</f>
        <v/>
      </c>
      <c r="AG57" s="57"/>
      <c r="AH57" s="125"/>
      <c r="AI57" s="117" t="str">
        <f>IF(AI56="","",IFS(AT57="A",Montagem!$E$30,AV57="T","Realizar a maior quantidade de repetições por "&amp;AN56&amp;" segundos | ",AV57="I",IF(AU57="U","Manter a posição por "&amp;AN56&amp;" segundos de um lado e trocar para o outro na sequência | ","Manter a posição por "&amp;AN56&amp;" segundos | "),AU57="A","Realizar alternadamente "&amp;AN56&amp;" repetições cada lado | ",AU57="U","Realizar "&amp;AN56&amp;" repetições de um lado e trocar para o outro na sequência | ",AT57="P",OFFSET(Biblioteca!$H$2,MATCH(AU56,Biblioteca!$A$3:$A$200,0),0),TRUE,"")&amp;IF(AV57="R","Ajuste a carga para que tenha "&amp;$K$2&amp;" repetições de reserva",""))</f>
        <v/>
      </c>
      <c r="AM57" s="118" t="str">
        <f>IF(AI56="","",IFS(AT57="H","Carga Sugerida: "&amp;ROUNDUP(AW56/2,0)&amp;" kg de cada lado (Total: "&amp;ROUNDUP(AW56/2,0)*2&amp;" kg)",AT57="C","Este exercício usa o Peso Corporal como carga",AT57="E","Este exercício usa a resistência da banda elástica como carga",AT57="O","Carga Sugerida: "&amp;INT(AW56)&amp;" kg",TRUE,""))</f>
        <v/>
      </c>
      <c r="AR57" s="66"/>
      <c r="AS57" s="126">
        <f>AS56</f>
        <v>1</v>
      </c>
      <c r="AT57" s="120" t="str">
        <f>LEFT(AW57)</f>
        <v/>
      </c>
      <c r="AU57" s="121" t="str">
        <f>MID(AW57,2,1)</f>
        <v/>
      </c>
      <c r="AV57" s="122" t="str">
        <f>RIGHT(AW57)</f>
        <v/>
      </c>
      <c r="AW57" s="123" t="str">
        <f>IF(AU56="","",OFFSET(Biblioteca!$I$2,MATCH(AU56,Biblioteca!$A$3:$A$200,0),0))</f>
        <v/>
      </c>
      <c r="AX57" s="57"/>
      <c r="AY57" s="125"/>
      <c r="AZ57" s="117" t="str">
        <f>IF(AZ56="","",IFS(BK57="A",Montagem!$F$30,BM57="T","Realizar a maior quantidade de repetições por "&amp;BE56&amp;" segundos | ",BM57="I",IF(BL57="U","Manter a posição por "&amp;BE56&amp;" segundos de um lado e trocar para o outro na sequência | ","Manter a posição por "&amp;BE56&amp;" segundos | "),BL57="A","Realizar alternadamente "&amp;BE56&amp;" repetições cada lado | ",BL57="U","Realizar "&amp;BE56&amp;" repetições de um lado e trocar para o outro na sequência | ",BK57="P",OFFSET(Biblioteca!$H$2,MATCH(BL56,Biblioteca!$A$3:$A$200,0),0),TRUE,"")&amp;IF(BM57="R","Ajuste a carga para que tenha "&amp;$K$2&amp;" repetições de reserva",""))</f>
        <v/>
      </c>
      <c r="BD57" s="118" t="str">
        <f>IF(AZ56="","",IFS(BK57="H","Carga Sugerida: "&amp;ROUNDUP(BN56/2,0)&amp;" kg de cada lado (Total: "&amp;ROUNDUP(BN56/2,0)*2&amp;" kg)",BK57="C","Este exercício usa o Peso Corporal como carga",BK57="E","Este exercício usa a resistência da banda elástica como carga",BK57="O","Carga Sugerida: "&amp;INT(BN56)&amp;" kg",TRUE,""))</f>
        <v/>
      </c>
      <c r="BI57" s="66"/>
      <c r="BJ57" s="126">
        <f>BJ56</f>
        <v>7</v>
      </c>
      <c r="BK57" s="120" t="str">
        <f>LEFT(BN57)</f>
        <v/>
      </c>
      <c r="BL57" s="121" t="str">
        <f>MID(BN57,2,1)</f>
        <v/>
      </c>
      <c r="BM57" s="122" t="str">
        <f>RIGHT(BN57)</f>
        <v/>
      </c>
      <c r="BN57" s="123" t="str">
        <f>IF(BL56="","",OFFSET(Biblioteca!$I$2,MATCH(BL56,Biblioteca!$A$3:$A$200,0),0))</f>
        <v/>
      </c>
      <c r="BO57" s="57"/>
      <c r="BP57" s="125"/>
      <c r="BQ57" s="117" t="str">
        <f>IF(BQ56="","",IFS(CB57="A",Montagem!$G$30,CD57="T","Realizar a maior quantidade de repetições por "&amp;BV56&amp;" segundos | ",CD57="I",IF(CC57="U","Manter a posição por "&amp;BV56&amp;" segundos de um lado e trocar para o outro na sequência | ","Manter a posição por "&amp;BV56&amp;" segundos | "),CC57="A","Realizar alternadamente "&amp;BV56&amp;" repetições cada lado | ",CC57="U","Realizar "&amp;BV56&amp;" repetições de um lado e trocar para o outro na sequência | ",CB57="P",OFFSET(Biblioteca!$H$2,MATCH(CC56,Biblioteca!$A$3:$A$200,0),0),TRUE,"")&amp;IF(CD57="R","Ajuste a carga para que tenha "&amp;$K$2&amp;" repetições de reserva",""))</f>
        <v/>
      </c>
      <c r="BU57" s="118" t="str">
        <f>IF(BQ56="","",IFS(CB57="H","Carga Sugerida: "&amp;ROUNDUP(CE56/2,0)&amp;" kg de cada lado (Total: "&amp;ROUNDUP(CE56/2,0)*2&amp;" kg)",CB57="C","Este exercício usa o Peso Corporal como carga",CB57="E","Este exercício usa a resistência da banda elástica como carga",CB57="O","Carga Sugerida: "&amp;INT(CE56)&amp;" kg",TRUE,""))</f>
        <v/>
      </c>
      <c r="BZ57" s="66"/>
      <c r="CA57" s="126">
        <f>CA56</f>
        <v>6</v>
      </c>
      <c r="CB57" s="120" t="str">
        <f>LEFT(CE57)</f>
        <v/>
      </c>
      <c r="CC57" s="121" t="str">
        <f>MID(CE57,2,1)</f>
        <v/>
      </c>
      <c r="CD57" s="122" t="str">
        <f>RIGHT(CE57)</f>
        <v/>
      </c>
      <c r="CE57" s="123" t="str">
        <f>IF(CC56="","",OFFSET(Biblioteca!$I$2,MATCH(CC56,Biblioteca!$A$3:$A$200,0),0))</f>
        <v/>
      </c>
      <c r="CF57" s="57"/>
      <c r="CG57" s="125"/>
      <c r="CH57" s="117" t="str">
        <f>IF(CH56="","",IFS(CS57="A",Montagem!$H$30,CU57="T","Realizar a maior quantidade de repetições por "&amp;CM56&amp;" segundos | ",CU57="I",IF(CT57="U","Manter a posição por "&amp;CM56&amp;" segundos de um lado e trocar para o outro na sequência | ","Manter a posição por "&amp;CM56&amp;" segundos | "),CT57="A","Realizar alternadamente "&amp;CM56&amp;" repetições cada lado | ",CT57="U","Realizar "&amp;CM56&amp;" repetições de um lado e trocar para o outro na sequência | ",CS57="P",OFFSET(Biblioteca!$H$2,MATCH(CT56,Biblioteca!$A$3:$A$200,0),0),TRUE,"")&amp;IF(CU57="R","Ajuste a carga para que tenha "&amp;$K$2&amp;" repetições de reserva",""))</f>
        <v/>
      </c>
      <c r="CL57" s="118" t="str">
        <f>IF(CH56="","",IFS(CS57="H","Carga Sugerida: "&amp;ROUNDUP(CV56/2,0)&amp;" kg de cada lado (Total: "&amp;ROUNDUP(CV56/2,0)*2&amp;" kg)",CS57="C","Este exercício usa o Peso Corporal como carga",CS57="E","Este exercício usa a resistência da banda elástica como carga",CS57="O","Carga Sugerida: "&amp;INT(CV56)&amp;" kg",TRUE,""))</f>
        <v/>
      </c>
      <c r="CQ57" s="66"/>
      <c r="CR57" s="126">
        <f>CR56</f>
        <v>1</v>
      </c>
      <c r="CS57" s="120" t="str">
        <f>LEFT(CV57)</f>
        <v/>
      </c>
      <c r="CT57" s="121" t="str">
        <f>MID(CV57,2,1)</f>
        <v/>
      </c>
      <c r="CU57" s="122" t="str">
        <f>RIGHT(CV57)</f>
        <v/>
      </c>
      <c r="CV57" s="123" t="str">
        <f>IF(CT56="","",OFFSET(Biblioteca!$I$2,MATCH(CT56,Biblioteca!$A$3:$A$200,0),0))</f>
        <v/>
      </c>
      <c r="CW57" s="57"/>
      <c r="CX57" s="125"/>
      <c r="CY57" s="117" t="str">
        <f>IF(CY56="","",IFS(DJ57="A",Montagem!$I$30,DL57="T","Realizar a maior quantidade de repetições por "&amp;DD56&amp;" segundos | ",DL57="I",IF(DK57="U","Manter a posição por "&amp;DD56&amp;" segundos de um lado e trocar para o outro na sequência | ","Manter a posição por "&amp;DD56&amp;" segundos | "),DK57="A","Realizar alternadamente "&amp;DD56&amp;" repetições cada lado | ",DK57="U","Realizar "&amp;DD56&amp;" repetições de um lado e trocar para o outro na sequência | ",DJ57="P",OFFSET(Biblioteca!$H$2,MATCH(DK56,Biblioteca!$A$3:$A$200,0),0),TRUE,"")&amp;IF(DL57="R","Ajuste a carga para que tenha "&amp;$K$2&amp;" repetições de reserva",""))</f>
        <v/>
      </c>
      <c r="DC57" s="118" t="str">
        <f>IF(CY56="","",IFS(DJ57="H","Carga Sugerida: "&amp;ROUNDUP(DM56/2,0)&amp;" kg de cada lado (Total: "&amp;ROUNDUP(DM56/2,0)*2&amp;" kg)",DJ57="C","Este exercício usa o Peso Corporal como carga",DJ57="E","Este exercício usa a resistência da banda elástica como carga",DJ57="O","Carga Sugerida: "&amp;INT(DM56)&amp;" kg",TRUE,""))</f>
        <v/>
      </c>
      <c r="DH57" s="66"/>
      <c r="DI57" s="126">
        <f>DI56</f>
        <v>1</v>
      </c>
      <c r="DJ57" s="120" t="str">
        <f>LEFT(DM57)</f>
        <v/>
      </c>
      <c r="DK57" s="121" t="str">
        <f>MID(DM57,2,1)</f>
        <v/>
      </c>
      <c r="DL57" s="122" t="str">
        <f>RIGHT(DM57)</f>
        <v/>
      </c>
      <c r="DM57" s="123" t="str">
        <f>IF(DK56="","",OFFSET(Biblioteca!$I$2,MATCH(DK56,Biblioteca!$A$3:$A$200,0),0))</f>
        <v/>
      </c>
      <c r="DN57" s="57"/>
      <c r="DO57" s="147"/>
      <c r="DP57" s="149"/>
      <c r="DQ57" s="150"/>
      <c r="DR57" s="56"/>
      <c r="DS57" s="151"/>
      <c r="DU57" s="151"/>
      <c r="DX57" s="152"/>
      <c r="DY57" s="152"/>
    </row>
    <row r="58">
      <c r="A58" s="115" t="str">
        <f>IF(M58="","",HYPERLINK(OFFSET(Biblioteca!$B$2,MATCH(M58,Biblioteca!$A$3:$A$200,0),0),M58))</f>
        <v/>
      </c>
      <c r="D58" s="103" t="str">
        <f>Montagem!Q37</f>
        <v/>
      </c>
      <c r="E58" s="104" t="str">
        <f>Montagem!R37</f>
        <v/>
      </c>
      <c r="F58" s="104" t="str">
        <f>Montagem!S37</f>
        <v/>
      </c>
      <c r="G58" s="104" t="str">
        <f>Montagem!T37</f>
        <v/>
      </c>
      <c r="H58" s="104" t="str">
        <f>Montagem!U37</f>
        <v/>
      </c>
      <c r="I58" s="132" t="str">
        <f>Montagem!V37</f>
        <v/>
      </c>
      <c r="J58" s="144"/>
      <c r="K58" s="106">
        <f>Montagem!K37</f>
        <v>6</v>
      </c>
      <c r="L58" s="128" t="str">
        <f>Montagem!W37</f>
        <v/>
      </c>
      <c r="M58" s="111" t="str">
        <f>Montagem!L37</f>
        <v/>
      </c>
      <c r="N58" s="111" t="str">
        <f>Montagem!X37</f>
        <v/>
      </c>
      <c r="O58" s="106" t="str">
        <f>IF(N58="",L58,N58)</f>
        <v/>
      </c>
      <c r="P58" s="106" t="str">
        <f>IF(L59="C",'Dados de Base'!$D$5*0.1,IF(L59="E",5,IF(J58="",O58,J58)))</f>
        <v/>
      </c>
      <c r="Q58" s="108"/>
      <c r="R58" s="115" t="str">
        <f>IF(AD58="","",HYPERLINK(OFFSET(Biblioteca!$B$2,MATCH(AD58,Biblioteca!$A$3:$A$200,0),0),AD58))</f>
        <v/>
      </c>
      <c r="U58" s="109" t="str">
        <f>Montagem!AF37</f>
        <v/>
      </c>
      <c r="V58" s="110" t="str">
        <f>Montagem!AG37</f>
        <v/>
      </c>
      <c r="W58" s="110" t="str">
        <f>Montagem!AH37</f>
        <v/>
      </c>
      <c r="X58" s="110" t="str">
        <f>Montagem!AI37</f>
        <v/>
      </c>
      <c r="Y58" s="110" t="str">
        <f>Montagem!AJ37</f>
        <v/>
      </c>
      <c r="Z58" s="110" t="str">
        <f>Montagem!AK37</f>
        <v/>
      </c>
      <c r="AA58" s="114"/>
      <c r="AB58" s="111">
        <f>Montagem!Z37</f>
        <v>6</v>
      </c>
      <c r="AC58" s="111" t="str">
        <f>Montagem!AL37</f>
        <v/>
      </c>
      <c r="AD58" s="129" t="str">
        <f>Montagem!AA37</f>
        <v/>
      </c>
      <c r="AE58" s="111" t="str">
        <f>Montagem!AM37</f>
        <v/>
      </c>
      <c r="AF58" s="106" t="str">
        <f>IF(AE58="",AC58,AE58)</f>
        <v/>
      </c>
      <c r="AG58" s="106" t="str">
        <f>IF(AC59="C",'Dados de Base'!$D$5*0.1,IF(AC59="E",5,IF(AA58="",AF58,AA58)))</f>
        <v/>
      </c>
      <c r="AH58" s="108"/>
      <c r="AI58" s="115" t="str">
        <f>IF(AU58="","",HYPERLINK(OFFSET(Biblioteca!$B$2,MATCH(AU58,Biblioteca!$A$3:$A$200,0),0),AU58))</f>
        <v/>
      </c>
      <c r="AL58" s="109" t="str">
        <f>Montagem!AU37</f>
        <v/>
      </c>
      <c r="AM58" s="110" t="str">
        <f>Montagem!AV37</f>
        <v/>
      </c>
      <c r="AN58" s="110" t="str">
        <f>Montagem!AW37</f>
        <v/>
      </c>
      <c r="AO58" s="110" t="str">
        <f>Montagem!AX37</f>
        <v/>
      </c>
      <c r="AP58" s="110" t="str">
        <f>Montagem!AY37</f>
        <v/>
      </c>
      <c r="AQ58" s="110" t="str">
        <f>Montagem!AZ37</f>
        <v/>
      </c>
      <c r="AR58" s="114"/>
      <c r="AS58" s="111">
        <f>Montagem!AO37</f>
        <v>1</v>
      </c>
      <c r="AT58" s="111" t="str">
        <f>Montagem!BA37</f>
        <v/>
      </c>
      <c r="AU58" s="111" t="str">
        <f>Montagem!AP37</f>
        <v/>
      </c>
      <c r="AV58" s="111" t="str">
        <f>Montagem!BB37</f>
        <v/>
      </c>
      <c r="AW58" s="106" t="str">
        <f>IF(AV58="",AT58,AV58)</f>
        <v/>
      </c>
      <c r="AX58" s="106" t="str">
        <f>IF(AT59="C",'Dados de Base'!$D$5*0.1,IF(AT59="E",5,IF(AR58="",AW58,AR58)))</f>
        <v/>
      </c>
      <c r="AY58" s="108"/>
      <c r="AZ58" s="115" t="str">
        <f>IF(BL58="","",HYPERLINK(OFFSET(Biblioteca!$B$2,MATCH(BL58,Biblioteca!$A$3:$A$200,0),0),BL58))</f>
        <v/>
      </c>
      <c r="BC58" s="109" t="str">
        <f>Montagem!BJ37</f>
        <v/>
      </c>
      <c r="BD58" s="110" t="str">
        <f>Montagem!BK37</f>
        <v/>
      </c>
      <c r="BE58" s="110" t="str">
        <f>Montagem!BL37</f>
        <v/>
      </c>
      <c r="BF58" s="110" t="str">
        <f>Montagem!BM37</f>
        <v/>
      </c>
      <c r="BG58" s="110" t="str">
        <f>Montagem!BN37</f>
        <v/>
      </c>
      <c r="BH58" s="110" t="str">
        <f>Montagem!BO37</f>
        <v/>
      </c>
      <c r="BI58" s="114"/>
      <c r="BJ58" s="111">
        <f>Montagem!BD37</f>
        <v>7</v>
      </c>
      <c r="BK58" s="111" t="str">
        <f>Montagem!BP37</f>
        <v/>
      </c>
      <c r="BL58" s="111" t="str">
        <f>Montagem!BE37</f>
        <v/>
      </c>
      <c r="BM58" s="111" t="str">
        <f>Montagem!BQ37</f>
        <v/>
      </c>
      <c r="BN58" s="106" t="str">
        <f>IF(BM58="",BK58,BM58)</f>
        <v/>
      </c>
      <c r="BO58" s="106" t="str">
        <f>IF(BK59="C",'Dados de Base'!$D$5*0.1,IF(BK59="E",5,IF(BI58="",BN58,BI58)))</f>
        <v/>
      </c>
      <c r="BP58" s="108"/>
      <c r="BQ58" s="115" t="str">
        <f>IF(CC58="","",HYPERLINK(OFFSET(Biblioteca!$B$2,MATCH(CC58,Biblioteca!$A$3:$A$200,0),0),CC58))</f>
        <v/>
      </c>
      <c r="BT58" s="109" t="str">
        <f>Montagem!BY37</f>
        <v/>
      </c>
      <c r="BU58" s="110" t="str">
        <f>Montagem!BZ37</f>
        <v/>
      </c>
      <c r="BV58" s="110" t="str">
        <f>Montagem!CA37</f>
        <v/>
      </c>
      <c r="BW58" s="110" t="str">
        <f>Montagem!CB37</f>
        <v/>
      </c>
      <c r="BX58" s="110" t="str">
        <f>Montagem!CC37</f>
        <v/>
      </c>
      <c r="BY58" s="110" t="str">
        <f>Montagem!CD37</f>
        <v/>
      </c>
      <c r="BZ58" s="114"/>
      <c r="CA58" s="111">
        <f>Montagem!BS37</f>
        <v>6</v>
      </c>
      <c r="CB58" s="111" t="str">
        <f>Montagem!CE37</f>
        <v/>
      </c>
      <c r="CC58" s="111" t="str">
        <f>Montagem!BT37</f>
        <v/>
      </c>
      <c r="CD58" s="111" t="str">
        <f>Montagem!CF37</f>
        <v/>
      </c>
      <c r="CE58" s="106" t="str">
        <f>IF(CD58="",CB58,CD58)</f>
        <v/>
      </c>
      <c r="CF58" s="106" t="str">
        <f>IF(CB59="C",'Dados de Base'!$D$5*0.1,IF(CB59="E",5,IF(BZ58="",CE58,BZ58)))</f>
        <v/>
      </c>
      <c r="CG58" s="108"/>
      <c r="CH58" s="115" t="str">
        <f>IF(CT58="","",HYPERLINK(OFFSET(Biblioteca!$B$2,MATCH(CT58,Biblioteca!$A$3:$A$200,0),0),CT58))</f>
        <v/>
      </c>
      <c r="CK58" s="109" t="str">
        <f>Montagem!CN37</f>
        <v/>
      </c>
      <c r="CL58" s="110" t="str">
        <f>Montagem!CO37</f>
        <v/>
      </c>
      <c r="CM58" s="110" t="str">
        <f>Montagem!CP37</f>
        <v/>
      </c>
      <c r="CN58" s="110" t="str">
        <f>Montagem!CQ37</f>
        <v/>
      </c>
      <c r="CO58" s="110" t="str">
        <f>Montagem!CR37</f>
        <v/>
      </c>
      <c r="CP58" s="110" t="str">
        <f>Montagem!CS37</f>
        <v/>
      </c>
      <c r="CQ58" s="114"/>
      <c r="CR58" s="111">
        <f>Montagem!CH37</f>
        <v>1</v>
      </c>
      <c r="CS58" s="111" t="str">
        <f>Montagem!CT37</f>
        <v/>
      </c>
      <c r="CT58" s="111" t="str">
        <f>Montagem!CI37</f>
        <v/>
      </c>
      <c r="CU58" s="145" t="str">
        <f>Montagem!CU37</f>
        <v/>
      </c>
      <c r="CV58" s="106" t="str">
        <f>IF(CU58="",CS58,CU58)</f>
        <v/>
      </c>
      <c r="CW58" s="106" t="str">
        <f>IF(CS59="C",'Dados de Base'!$D$5*0.1,IF(CS59="E",5,IF(CQ58="",CV58,CQ58)))</f>
        <v/>
      </c>
      <c r="CX58" s="108"/>
      <c r="CY58" s="115" t="str">
        <f>IF(DK58="","",HYPERLINK(OFFSET(Biblioteca!$B$2,MATCH(DK58,Biblioteca!$A$3:$A$200,0),0),DK58))</f>
        <v/>
      </c>
      <c r="DB58" s="130" t="str">
        <f>Montagem!DC37</f>
        <v/>
      </c>
      <c r="DC58" s="131" t="str">
        <f>Montagem!DD37</f>
        <v/>
      </c>
      <c r="DD58" s="131" t="str">
        <f>Montagem!DE37</f>
        <v/>
      </c>
      <c r="DE58" s="131" t="str">
        <f>Montagem!DF37</f>
        <v/>
      </c>
      <c r="DF58" s="131" t="str">
        <f>Montagem!DG37</f>
        <v/>
      </c>
      <c r="DG58" s="131" t="str">
        <f>Montagem!DH37</f>
        <v/>
      </c>
      <c r="DH58" s="114"/>
      <c r="DI58" s="111">
        <f>Montagem!CW37</f>
        <v>1</v>
      </c>
      <c r="DJ58" s="111" t="str">
        <f>Montagem!DI37</f>
        <v/>
      </c>
      <c r="DK58" s="111" t="str">
        <f>Montagem!CX37</f>
        <v/>
      </c>
      <c r="DL58" s="145" t="str">
        <f>Montagem!DJ37</f>
        <v/>
      </c>
      <c r="DM58" s="106" t="str">
        <f>IF(DL58="",DJ58,DL58)</f>
        <v/>
      </c>
      <c r="DN58" s="106" t="str">
        <f>IF(DJ59="C",'Dados de Base'!$D$5*0.1,IF(DJ59="E",5,IF(DH58="",DM58,DH58)))</f>
        <v/>
      </c>
      <c r="DO58" s="146"/>
      <c r="DP58" s="106"/>
      <c r="DQ58" s="106"/>
      <c r="DR58" s="106"/>
      <c r="DS58" s="106"/>
      <c r="DT58" s="106"/>
      <c r="DU58" s="106"/>
      <c r="DV58" s="106"/>
      <c r="DW58" s="106"/>
      <c r="DX58" s="106"/>
      <c r="DY58" s="106"/>
    </row>
    <row r="59">
      <c r="A59" s="117" t="str">
        <f>IF(A58="","",IFS(L59="A",Montagem!$C$30,N59="T","Realizar a maior quantidade de repetições por "&amp;F58&amp;" segundos | ",N59="I",IF(M59="U","Manter a posição por "&amp;F58&amp;" segundos de um lado e trocar para o outro na sequência | ","Manter a posição por "&amp;F58&amp;" segundos | "),M59="A","Realizar alternadamente "&amp;F58&amp;" repetições cada lado | ",M59="U","Realizar "&amp;F58&amp;" repetições de um lado e trocar para o outro na sequência | ",L59="P",OFFSET(Biblioteca!$H$2,MATCH(M58,Biblioteca!$A$3:$A$200,0),0),TRUE,"")&amp;IF(N59="R","Ajuste a carga para que tenha "&amp;$K$2&amp;" repetições de reserva",""))</f>
        <v/>
      </c>
      <c r="E59" s="118" t="str">
        <f>IF(A58="","",IFS(L59="H","Carga Sugerida: "&amp;ROUNDUP(O58/2,0)&amp;" kg de cada lado (Total: "&amp;ROUNDUP(O58/2,0)*2&amp;" kg)",L59="C","Este exercício usa o Peso Corporal como carga",L59="E","Este exercício usa a resistência da banda elástica como carga",L59="O","Carga Sugerida: "&amp;INT(O58)&amp;" kg",TRUE,""))</f>
        <v/>
      </c>
      <c r="J59" s="66"/>
      <c r="K59" s="106">
        <f>K58</f>
        <v>6</v>
      </c>
      <c r="L59" s="120" t="str">
        <f>LEFT(O59)</f>
        <v/>
      </c>
      <c r="M59" s="121" t="str">
        <f>MID(O59,2,1)</f>
        <v/>
      </c>
      <c r="N59" s="122" t="str">
        <f>RIGHT(O59)</f>
        <v/>
      </c>
      <c r="O59" s="123" t="str">
        <f>IF(M58="","",OFFSET(Biblioteca!$I$2,MATCH(M58,Biblioteca!$A$3:$A$200,0),0))</f>
        <v/>
      </c>
      <c r="P59" s="57"/>
      <c r="Q59" s="125"/>
      <c r="R59" s="117" t="str">
        <f>IF(R58="","",IFS(AC59="A",Montagem!$D$30,AE59="T","Realizar a maior quantidade de repetições por "&amp;W58&amp;" segundos | ",AE59="I",IF(AD59="U","Manter a posição por "&amp;W58&amp;" segundos de um lado e trocar para o outro na sequência | ","Manter a posição por "&amp;W58&amp;" segundos | "),AD59="A","Realizar alternadamente "&amp;W58&amp;" repetições cada lado | ",AD59="U","Realizar "&amp;W58&amp;" repetições de um lado e trocar para o outro na sequência | ",AC59="P",OFFSET(Biblioteca!$H$2,MATCH(AD58,Biblioteca!$A$3:$A$200,0),0),TRUE,"")&amp;IF(AE59="R","Ajuste a carga para que tenha "&amp;$K$2&amp;" repetições de reserva",""))</f>
        <v/>
      </c>
      <c r="V59" s="118" t="str">
        <f>IF(R58="","",IFS(AC59="H","Carga Sugerida: "&amp;ROUNDUP(AF58/2,0)&amp;" kg de cada lado (Total: "&amp;ROUNDUP(AF58/2,0)*2&amp;" kg)",AC59="C","Este exercício usa o Peso Corporal como carga",AC59="E","Este exercício usa a resistência da banda elástica como carga",AC59="O","Carga Sugerida: "&amp;INT(AF58)&amp;" kg",TRUE,""))</f>
        <v/>
      </c>
      <c r="AA59" s="66"/>
      <c r="AB59" s="126">
        <f>AB58</f>
        <v>6</v>
      </c>
      <c r="AC59" s="120" t="str">
        <f>LEFT(AF59)</f>
        <v/>
      </c>
      <c r="AD59" s="121" t="str">
        <f>MID(AF59,2,1)</f>
        <v/>
      </c>
      <c r="AE59" s="122" t="str">
        <f>RIGHT(AF59)</f>
        <v/>
      </c>
      <c r="AF59" s="123" t="str">
        <f>IF(AD58="","",OFFSET(Biblioteca!$I$2,MATCH(AD58,Biblioteca!$A$3:$A$200,0),0))</f>
        <v/>
      </c>
      <c r="AG59" s="57"/>
      <c r="AH59" s="125"/>
      <c r="AI59" s="117" t="str">
        <f>IF(AI58="","",IFS(AT59="A",Montagem!$E$30,AV59="T","Realizar a maior quantidade de repetições por "&amp;AN58&amp;" segundos | ",AV59="I",IF(AU59="U","Manter a posição por "&amp;AN58&amp;" segundos de um lado e trocar para o outro na sequência | ","Manter a posição por "&amp;AN58&amp;" segundos | "),AU59="A","Realizar alternadamente "&amp;AN58&amp;" repetições cada lado | ",AU59="U","Realizar "&amp;AN58&amp;" repetições de um lado e trocar para o outro na sequência | ",AT59="P",OFFSET(Biblioteca!$H$2,MATCH(AU58,Biblioteca!$A$3:$A$200,0),0),TRUE,"")&amp;IF(AV59="R","Ajuste a carga para que tenha "&amp;$K$2&amp;" repetições de reserva",""))</f>
        <v/>
      </c>
      <c r="AM59" s="118" t="str">
        <f>IF(AI58="","",IFS(AT59="H","Carga Sugerida: "&amp;ROUNDUP(AW58/2,0)&amp;" kg de cada lado (Total: "&amp;ROUNDUP(AW58/2,0)*2&amp;" kg)",AT59="C","Este exercício usa o Peso Corporal como carga",AT59="E","Este exercício usa a resistência da banda elástica como carga",AT59="O","Carga Sugerida: "&amp;INT(AW58)&amp;" kg",TRUE,""))</f>
        <v/>
      </c>
      <c r="AR59" s="66"/>
      <c r="AS59" s="126">
        <f>AS58</f>
        <v>1</v>
      </c>
      <c r="AT59" s="120" t="str">
        <f>LEFT(AW59)</f>
        <v/>
      </c>
      <c r="AU59" s="121" t="str">
        <f>MID(AW59,2,1)</f>
        <v/>
      </c>
      <c r="AV59" s="122" t="str">
        <f>RIGHT(AW59)</f>
        <v/>
      </c>
      <c r="AW59" s="123" t="str">
        <f>IF(AU58="","",OFFSET(Biblioteca!$I$2,MATCH(AU58,Biblioteca!$A$3:$A$200,0),0))</f>
        <v/>
      </c>
      <c r="AX59" s="57"/>
      <c r="AY59" s="125"/>
      <c r="AZ59" s="117" t="str">
        <f>IF(AZ58="","",IFS(BK59="A",Montagem!$F$30,BM59="T","Realizar a maior quantidade de repetições por "&amp;BE58&amp;" segundos | ",BM59="I",IF(BL59="U","Manter a posição por "&amp;BE58&amp;" segundos de um lado e trocar para o outro na sequência | ","Manter a posição por "&amp;BE58&amp;" segundos | "),BL59="A","Realizar alternadamente "&amp;BE58&amp;" repetições cada lado | ",BL59="U","Realizar "&amp;BE58&amp;" repetições de um lado e trocar para o outro na sequência | ",BK59="P",OFFSET(Biblioteca!$H$2,MATCH(BL58,Biblioteca!$A$3:$A$200,0),0),TRUE,"")&amp;IF(BM59="R","Ajuste a carga para que tenha "&amp;$K$2&amp;" repetições de reserva",""))</f>
        <v/>
      </c>
      <c r="BD59" s="118" t="str">
        <f>IF(AZ58="","",IFS(BK59="H","Carga Sugerida: "&amp;ROUNDUP(BN58/2,0)&amp;" kg de cada lado (Total: "&amp;ROUNDUP(BN58/2,0)*2&amp;" kg)",BK59="C","Este exercício usa o Peso Corporal como carga",BK59="E","Este exercício usa a resistência da banda elástica como carga",BK59="O","Carga Sugerida: "&amp;INT(BN58)&amp;" kg",TRUE,""))</f>
        <v/>
      </c>
      <c r="BI59" s="66"/>
      <c r="BJ59" s="126">
        <f>BJ58</f>
        <v>7</v>
      </c>
      <c r="BK59" s="120" t="str">
        <f>LEFT(BN59)</f>
        <v/>
      </c>
      <c r="BL59" s="121" t="str">
        <f>MID(BN59,2,1)</f>
        <v/>
      </c>
      <c r="BM59" s="122" t="str">
        <f>RIGHT(BN59)</f>
        <v/>
      </c>
      <c r="BN59" s="123" t="str">
        <f>IF(BL58="","",OFFSET(Biblioteca!$I$2,MATCH(BL58,Biblioteca!$A$3:$A$200,0),0))</f>
        <v/>
      </c>
      <c r="BO59" s="57"/>
      <c r="BP59" s="125"/>
      <c r="BQ59" s="117" t="str">
        <f>IF(BQ58="","",IFS(CB59="A",Montagem!$G$30,CD59="T","Realizar a maior quantidade de repetições por "&amp;BV58&amp;" segundos | ",CD59="I",IF(CC59="U","Manter a posição por "&amp;BV58&amp;" segundos de um lado e trocar para o outro na sequência | ","Manter a posição por "&amp;BV58&amp;" segundos | "),CC59="A","Realizar alternadamente "&amp;BV58&amp;" repetições cada lado | ",CC59="U","Realizar "&amp;BV58&amp;" repetições de um lado e trocar para o outro na sequência | ",CB59="P",OFFSET(Biblioteca!$H$2,MATCH(CC58,Biblioteca!$A$3:$A$200,0),0),TRUE,"")&amp;IF(CD59="R","Ajuste a carga para que tenha "&amp;$K$2&amp;" repetições de reserva",""))</f>
        <v/>
      </c>
      <c r="BU59" s="118" t="str">
        <f>IF(BQ58="","",IFS(CB59="H","Carga Sugerida: "&amp;ROUNDUP(CE58/2,0)&amp;" kg de cada lado (Total: "&amp;ROUNDUP(CE58/2,0)*2&amp;" kg)",CB59="C","Este exercício usa o Peso Corporal como carga",CB59="E","Este exercício usa a resistência da banda elástica como carga",CB59="O","Carga Sugerida: "&amp;INT(CE58)&amp;" kg",TRUE,""))</f>
        <v/>
      </c>
      <c r="BZ59" s="66"/>
      <c r="CA59" s="126">
        <f>CA58</f>
        <v>6</v>
      </c>
      <c r="CB59" s="120" t="str">
        <f>LEFT(CE59)</f>
        <v/>
      </c>
      <c r="CC59" s="121" t="str">
        <f>MID(CE59,2,1)</f>
        <v/>
      </c>
      <c r="CD59" s="122" t="str">
        <f>RIGHT(CE59)</f>
        <v/>
      </c>
      <c r="CE59" s="123" t="str">
        <f>IF(CC58="","",OFFSET(Biblioteca!$I$2,MATCH(CC58,Biblioteca!$A$3:$A$200,0),0))</f>
        <v/>
      </c>
      <c r="CF59" s="57"/>
      <c r="CG59" s="125"/>
      <c r="CH59" s="117" t="str">
        <f>IF(CH58="","",IFS(CS59="A",Montagem!$H$30,CU59="T","Realizar a maior quantidade de repetições por "&amp;CM58&amp;" segundos | ",CU59="I",IF(CT59="U","Manter a posição por "&amp;CM58&amp;" segundos de um lado e trocar para o outro na sequência | ","Manter a posição por "&amp;CM58&amp;" segundos | "),CT59="A","Realizar alternadamente "&amp;CM58&amp;" repetições cada lado | ",CT59="U","Realizar "&amp;CM58&amp;" repetições de um lado e trocar para o outro na sequência | ",CS59="P",OFFSET(Biblioteca!$H$2,MATCH(CT58,Biblioteca!$A$3:$A$200,0),0),TRUE,"")&amp;IF(CU59="R","Ajuste a carga para que tenha "&amp;$K$2&amp;" repetições de reserva",""))</f>
        <v/>
      </c>
      <c r="CL59" s="118" t="str">
        <f>IF(CH58="","",IFS(CS59="H","Carga Sugerida: "&amp;ROUNDUP(CV58/2,0)&amp;" kg de cada lado (Total: "&amp;ROUNDUP(CV58/2,0)*2&amp;" kg)",CS59="C","Este exercício usa o Peso Corporal como carga",CS59="E","Este exercício usa a resistência da banda elástica como carga",CS59="O","Carga Sugerida: "&amp;INT(CV58)&amp;" kg",TRUE,""))</f>
        <v/>
      </c>
      <c r="CQ59" s="66"/>
      <c r="CR59" s="126">
        <f>CR58</f>
        <v>1</v>
      </c>
      <c r="CS59" s="120" t="str">
        <f>LEFT(CV59)</f>
        <v/>
      </c>
      <c r="CT59" s="121" t="str">
        <f>MID(CV59,2,1)</f>
        <v/>
      </c>
      <c r="CU59" s="122" t="str">
        <f>RIGHT(CV59)</f>
        <v/>
      </c>
      <c r="CV59" s="123" t="str">
        <f>IF(CT58="","",OFFSET(Biblioteca!$I$2,MATCH(CT58,Biblioteca!$A$3:$A$200,0),0))</f>
        <v/>
      </c>
      <c r="CW59" s="57"/>
      <c r="CX59" s="125"/>
      <c r="CY59" s="117" t="str">
        <f>IF(CY58="","",IFS(DJ59="A",Montagem!$I$30,DL59="T","Realizar a maior quantidade de repetições por "&amp;DD58&amp;" segundos | ",DL59="I",IF(DK59="U","Manter a posição por "&amp;DD58&amp;" segundos de um lado e trocar para o outro na sequência | ","Manter a posição por "&amp;DD58&amp;" segundos | "),DK59="A","Realizar alternadamente "&amp;DD58&amp;" repetições cada lado | ",DK59="U","Realizar "&amp;DD58&amp;" repetições de um lado e trocar para o outro na sequência | ",DJ59="P",OFFSET(Biblioteca!$H$2,MATCH(DK58,Biblioteca!$A$3:$A$200,0),0),TRUE,"")&amp;IF(DL59="R","Ajuste a carga para que tenha "&amp;$K$2&amp;" repetições de reserva",""))</f>
        <v/>
      </c>
      <c r="DC59" s="118" t="str">
        <f>IF(CY58="","",IFS(DJ59="H","Carga Sugerida: "&amp;ROUNDUP(DM58/2,0)&amp;" kg de cada lado (Total: "&amp;ROUNDUP(DM58/2,0)*2&amp;" kg)",DJ59="C","Este exercício usa o Peso Corporal como carga",DJ59="E","Este exercício usa a resistência da banda elástica como carga",DJ59="O","Carga Sugerida: "&amp;INT(DM58)&amp;" kg",TRUE,""))</f>
        <v/>
      </c>
      <c r="DH59" s="66"/>
      <c r="DI59" s="126">
        <f>DI58</f>
        <v>1</v>
      </c>
      <c r="DJ59" s="120" t="str">
        <f>LEFT(DM59)</f>
        <v/>
      </c>
      <c r="DK59" s="121" t="str">
        <f>MID(DM59,2,1)</f>
        <v/>
      </c>
      <c r="DL59" s="122" t="str">
        <f>RIGHT(DM59)</f>
        <v/>
      </c>
      <c r="DM59" s="123" t="str">
        <f>IF(DK58="","",OFFSET(Biblioteca!$I$2,MATCH(DK58,Biblioteca!$A$3:$A$200,0),0))</f>
        <v/>
      </c>
      <c r="DN59" s="57"/>
      <c r="DO59" s="147"/>
      <c r="DP59" s="142"/>
      <c r="DQ59" s="56"/>
      <c r="DR59" s="56"/>
      <c r="DS59" s="56"/>
      <c r="DT59" s="56"/>
      <c r="DU59" s="56"/>
      <c r="DV59" s="56"/>
      <c r="DW59" s="56"/>
      <c r="DX59" s="56"/>
      <c r="DY59" s="56"/>
    </row>
    <row r="60">
      <c r="A60" s="115" t="str">
        <f>IF(M60="","",HYPERLINK(OFFSET(Biblioteca!$B$2,MATCH(M60,Biblioteca!$A$3:$A$200,0),0),M60))</f>
        <v/>
      </c>
      <c r="D60" s="103" t="str">
        <f>Montagem!Q38</f>
        <v/>
      </c>
      <c r="E60" s="104" t="str">
        <f>Montagem!R38</f>
        <v/>
      </c>
      <c r="F60" s="104" t="str">
        <f>Montagem!S38</f>
        <v/>
      </c>
      <c r="G60" s="104" t="str">
        <f>Montagem!T38</f>
        <v/>
      </c>
      <c r="H60" s="104" t="str">
        <f>Montagem!U38</f>
        <v/>
      </c>
      <c r="I60" s="132" t="str">
        <f>Montagem!V38</f>
        <v/>
      </c>
      <c r="J60" s="144"/>
      <c r="K60" s="106">
        <f>Montagem!K38</f>
        <v>6</v>
      </c>
      <c r="L60" s="128" t="str">
        <f>Montagem!W38</f>
        <v/>
      </c>
      <c r="M60" s="111" t="str">
        <f>Montagem!L38</f>
        <v/>
      </c>
      <c r="N60" s="111" t="str">
        <f>Montagem!X38</f>
        <v/>
      </c>
      <c r="O60" s="106" t="str">
        <f>IF(N60="",L60,N60)</f>
        <v/>
      </c>
      <c r="P60" s="106" t="str">
        <f>IF(L61="C",'Dados de Base'!$D$5*0.1,IF(L61="E",5,IF(J60="",O60,J60)))</f>
        <v/>
      </c>
      <c r="Q60" s="108"/>
      <c r="R60" s="115" t="str">
        <f>IF(AD60="","",HYPERLINK(OFFSET(Biblioteca!$B$2,MATCH(AD60,Biblioteca!$A$3:$A$200,0),0),AD60))</f>
        <v/>
      </c>
      <c r="U60" s="109" t="str">
        <f>Montagem!AF38</f>
        <v/>
      </c>
      <c r="V60" s="110" t="str">
        <f>Montagem!AG38</f>
        <v/>
      </c>
      <c r="W60" s="110" t="str">
        <f>Montagem!AH38</f>
        <v/>
      </c>
      <c r="X60" s="110" t="str">
        <f>Montagem!AI38</f>
        <v/>
      </c>
      <c r="Y60" s="110" t="str">
        <f>Montagem!AJ38</f>
        <v/>
      </c>
      <c r="Z60" s="110" t="str">
        <f>Montagem!AK38</f>
        <v/>
      </c>
      <c r="AA60" s="114"/>
      <c r="AB60" s="111">
        <f>Montagem!Z38</f>
        <v>6</v>
      </c>
      <c r="AC60" s="111" t="str">
        <f>Montagem!AL38</f>
        <v/>
      </c>
      <c r="AD60" s="129" t="str">
        <f>Montagem!AA38</f>
        <v/>
      </c>
      <c r="AE60" s="111" t="str">
        <f>Montagem!AM38</f>
        <v/>
      </c>
      <c r="AF60" s="106" t="str">
        <f>IF(AE60="",AC60,AE60)</f>
        <v/>
      </c>
      <c r="AG60" s="106" t="str">
        <f>IF(AC61="C",'Dados de Base'!$D$5*0.1,IF(AC61="E",5,IF(AA60="",AF60,AA60)))</f>
        <v/>
      </c>
      <c r="AH60" s="108"/>
      <c r="AI60" s="115" t="str">
        <f>IF(AU60="","",HYPERLINK(OFFSET(Biblioteca!$B$2,MATCH(AU60,Biblioteca!$A$3:$A$200,0),0),AU60))</f>
        <v/>
      </c>
      <c r="AL60" s="109" t="str">
        <f>Montagem!AU38</f>
        <v/>
      </c>
      <c r="AM60" s="110" t="str">
        <f>Montagem!AV38</f>
        <v/>
      </c>
      <c r="AN60" s="110" t="str">
        <f>Montagem!AW38</f>
        <v/>
      </c>
      <c r="AO60" s="110" t="str">
        <f>Montagem!AX38</f>
        <v/>
      </c>
      <c r="AP60" s="110" t="str">
        <f>Montagem!AY38</f>
        <v/>
      </c>
      <c r="AQ60" s="110" t="str">
        <f>Montagem!AZ38</f>
        <v/>
      </c>
      <c r="AR60" s="114"/>
      <c r="AS60" s="111">
        <f>Montagem!AO38</f>
        <v>1</v>
      </c>
      <c r="AT60" s="111" t="str">
        <f>Montagem!BA38</f>
        <v/>
      </c>
      <c r="AU60" s="111" t="str">
        <f>Montagem!AP38</f>
        <v/>
      </c>
      <c r="AV60" s="111" t="str">
        <f>Montagem!BB38</f>
        <v/>
      </c>
      <c r="AW60" s="106" t="str">
        <f>IF(AV60="",AT60,AV60)</f>
        <v/>
      </c>
      <c r="AX60" s="106" t="str">
        <f>IF(AT61="C",'Dados de Base'!$D$5*0.1,IF(AT61="E",5,IF(AR60="",AW60,AR60)))</f>
        <v/>
      </c>
      <c r="AY60" s="108"/>
      <c r="AZ60" s="115" t="str">
        <f>IF(BL60="","",HYPERLINK(OFFSET(Biblioteca!$B$2,MATCH(BL60,Biblioteca!$A$3:$A$200,0),0),BL60))</f>
        <v/>
      </c>
      <c r="BC60" s="109" t="str">
        <f>Montagem!BJ38</f>
        <v/>
      </c>
      <c r="BD60" s="110" t="str">
        <f>Montagem!BK38</f>
        <v/>
      </c>
      <c r="BE60" s="110" t="str">
        <f>Montagem!BL38</f>
        <v/>
      </c>
      <c r="BF60" s="110" t="str">
        <f>Montagem!BM38</f>
        <v/>
      </c>
      <c r="BG60" s="110" t="str">
        <f>Montagem!BN38</f>
        <v/>
      </c>
      <c r="BH60" s="110" t="str">
        <f>Montagem!BO38</f>
        <v/>
      </c>
      <c r="BI60" s="114"/>
      <c r="BJ60" s="111">
        <f>Montagem!BD38</f>
        <v>7</v>
      </c>
      <c r="BK60" s="111" t="str">
        <f>Montagem!BP38</f>
        <v/>
      </c>
      <c r="BL60" s="111" t="str">
        <f>Montagem!BE38</f>
        <v/>
      </c>
      <c r="BM60" s="111" t="str">
        <f>Montagem!BQ38</f>
        <v/>
      </c>
      <c r="BN60" s="106" t="str">
        <f>IF(BM60="",BK60,BM60)</f>
        <v/>
      </c>
      <c r="BO60" s="106" t="str">
        <f>IF(BK61="C",'Dados de Base'!$D$5*0.1,IF(BK61="E",5,IF(BI60="",BN60,BI60)))</f>
        <v/>
      </c>
      <c r="BP60" s="108"/>
      <c r="BQ60" s="115" t="str">
        <f>IF(CC60="","",HYPERLINK(OFFSET(Biblioteca!$B$2,MATCH(CC60,Biblioteca!$A$3:$A$200,0),0),CC60))</f>
        <v/>
      </c>
      <c r="BT60" s="109" t="str">
        <f>Montagem!BY38</f>
        <v/>
      </c>
      <c r="BU60" s="110" t="str">
        <f>Montagem!BZ38</f>
        <v/>
      </c>
      <c r="BV60" s="110" t="str">
        <f>Montagem!CA38</f>
        <v/>
      </c>
      <c r="BW60" s="110" t="str">
        <f>Montagem!CB38</f>
        <v/>
      </c>
      <c r="BX60" s="110" t="str">
        <f>Montagem!CC38</f>
        <v/>
      </c>
      <c r="BY60" s="110" t="str">
        <f>Montagem!CD38</f>
        <v/>
      </c>
      <c r="BZ60" s="114"/>
      <c r="CA60" s="111">
        <f>Montagem!BS38</f>
        <v>6</v>
      </c>
      <c r="CB60" s="111" t="str">
        <f>Montagem!CE38</f>
        <v/>
      </c>
      <c r="CC60" s="111" t="str">
        <f>Montagem!BT38</f>
        <v/>
      </c>
      <c r="CD60" s="111" t="str">
        <f>Montagem!CF38</f>
        <v/>
      </c>
      <c r="CE60" s="106" t="str">
        <f>IF(CD60="",CB60,CD60)</f>
        <v/>
      </c>
      <c r="CF60" s="106" t="str">
        <f>IF(CB61="C",'Dados de Base'!$D$5*0.1,IF(CB61="E",5,IF(BZ60="",CE60,BZ60)))</f>
        <v/>
      </c>
      <c r="CG60" s="108"/>
      <c r="CH60" s="115" t="str">
        <f>IF(CT60="","",HYPERLINK(OFFSET(Biblioteca!$B$2,MATCH(CT60,Biblioteca!$A$3:$A$200,0),0),CT60))</f>
        <v/>
      </c>
      <c r="CK60" s="109" t="str">
        <f>Montagem!CN38</f>
        <v/>
      </c>
      <c r="CL60" s="110" t="str">
        <f>Montagem!CO38</f>
        <v/>
      </c>
      <c r="CM60" s="110" t="str">
        <f>Montagem!CP38</f>
        <v/>
      </c>
      <c r="CN60" s="110" t="str">
        <f>Montagem!CQ38</f>
        <v/>
      </c>
      <c r="CO60" s="110" t="str">
        <f>Montagem!CR38</f>
        <v/>
      </c>
      <c r="CP60" s="110" t="str">
        <f>Montagem!CS38</f>
        <v/>
      </c>
      <c r="CQ60" s="114"/>
      <c r="CR60" s="111">
        <f>Montagem!CH38</f>
        <v>1</v>
      </c>
      <c r="CS60" s="111" t="str">
        <f>Montagem!CT38</f>
        <v/>
      </c>
      <c r="CT60" s="111" t="str">
        <f>Montagem!CI38</f>
        <v/>
      </c>
      <c r="CU60" s="145" t="str">
        <f>Montagem!CU38</f>
        <v/>
      </c>
      <c r="CV60" s="106" t="str">
        <f>IF(CU60="",CS60,CU60)</f>
        <v/>
      </c>
      <c r="CW60" s="106" t="str">
        <f>IF(CS61="C",'Dados de Base'!$D$5*0.1,IF(CS61="E",5,IF(CQ60="",CV60,CQ60)))</f>
        <v/>
      </c>
      <c r="CX60" s="108"/>
      <c r="CY60" s="115" t="str">
        <f>IF(DK60="","",HYPERLINK(OFFSET(Biblioteca!$B$2,MATCH(DK60,Biblioteca!$A$3:$A$200,0),0),DK60))</f>
        <v/>
      </c>
      <c r="DB60" s="130" t="str">
        <f>Montagem!DC38</f>
        <v/>
      </c>
      <c r="DC60" s="131" t="str">
        <f>Montagem!DD38</f>
        <v/>
      </c>
      <c r="DD60" s="131" t="str">
        <f>Montagem!DE38</f>
        <v/>
      </c>
      <c r="DE60" s="131" t="str">
        <f>Montagem!DF38</f>
        <v/>
      </c>
      <c r="DF60" s="131" t="str">
        <f>Montagem!DG38</f>
        <v/>
      </c>
      <c r="DG60" s="131" t="str">
        <f>Montagem!DH38</f>
        <v/>
      </c>
      <c r="DH60" s="114"/>
      <c r="DI60" s="111">
        <f>Montagem!CW38</f>
        <v>1</v>
      </c>
      <c r="DJ60" s="111" t="str">
        <f>Montagem!DI38</f>
        <v/>
      </c>
      <c r="DK60" s="111" t="str">
        <f>Montagem!CX38</f>
        <v/>
      </c>
      <c r="DL60" s="145" t="str">
        <f>Montagem!DJ38</f>
        <v/>
      </c>
      <c r="DM60" s="106" t="str">
        <f>IF(DL60="",DJ60,DL60)</f>
        <v/>
      </c>
      <c r="DN60" s="106" t="str">
        <f>IF(DJ61="C",'Dados de Base'!$D$5*0.1,IF(DJ61="E",5,IF(DH60="",DM60,DH60)))</f>
        <v/>
      </c>
      <c r="DO60" s="146"/>
      <c r="DP60" s="106"/>
      <c r="DQ60" s="106"/>
      <c r="DR60" s="106"/>
      <c r="DS60" s="106"/>
      <c r="DT60" s="106"/>
      <c r="DU60" s="106"/>
      <c r="DV60" s="106"/>
      <c r="DW60" s="106"/>
      <c r="DX60" s="106"/>
      <c r="DY60" s="106"/>
    </row>
    <row r="61">
      <c r="A61" s="117" t="str">
        <f>IF(A60="","",IFS(L61="A",Montagem!$C$30,N61="T","Realizar a maior quantidade de repetições por "&amp;F60&amp;" segundos | ",N61="I",IF(M61="U","Manter a posição por "&amp;F60&amp;" segundos de um lado e trocar para o outro na sequência | ","Manter a posição por "&amp;F60&amp;" segundos | "),M61="A","Realizar alternadamente "&amp;F60&amp;" repetições cada lado | ",M61="U","Realizar "&amp;F60&amp;" repetições de um lado e trocar para o outro na sequência | ",L61="P",OFFSET(Biblioteca!$H$2,MATCH(M60,Biblioteca!$A$3:$A$200,0),0),TRUE,"")&amp;IF(N61="R","Ajuste a carga para que tenha "&amp;$K$2&amp;" repetições de reserva",""))</f>
        <v/>
      </c>
      <c r="E61" s="118" t="str">
        <f>IF(A60="","",IFS(L61="H","Carga Sugerida: "&amp;ROUNDUP(O60/2,0)&amp;" kg de cada lado (Total: "&amp;ROUNDUP(O60/2,0)*2&amp;" kg)",L61="C","Este exercício usa o Peso Corporal como carga",L61="E","Este exercício usa a resistência da banda elástica como carga",L61="O","Carga Sugerida: "&amp;INT(O60)&amp;" kg",TRUE,""))</f>
        <v/>
      </c>
      <c r="J61" s="66"/>
      <c r="K61" s="106">
        <f>K60</f>
        <v>6</v>
      </c>
      <c r="L61" s="120" t="str">
        <f>LEFT(O61)</f>
        <v/>
      </c>
      <c r="M61" s="121" t="str">
        <f>MID(O61,2,1)</f>
        <v/>
      </c>
      <c r="N61" s="122" t="str">
        <f>RIGHT(O61)</f>
        <v/>
      </c>
      <c r="O61" s="123" t="str">
        <f>IF(M60="","",OFFSET(Biblioteca!$I$2,MATCH(M60,Biblioteca!$A$3:$A$200,0),0))</f>
        <v/>
      </c>
      <c r="P61" s="57"/>
      <c r="Q61" s="125"/>
      <c r="R61" s="117" t="str">
        <f>IF(R60="","",IFS(AC61="A",Montagem!$D$30,AE61="T","Realizar a maior quantidade de repetições por "&amp;W60&amp;" segundos | ",AE61="I",IF(AD61="U","Manter a posição por "&amp;W60&amp;" segundos de um lado e trocar para o outro na sequência | ","Manter a posição por "&amp;W60&amp;" segundos | "),AD61="A","Realizar alternadamente "&amp;W60&amp;" repetições cada lado | ",AD61="U","Realizar "&amp;W60&amp;" repetições de um lado e trocar para o outro na sequência | ",AC61="P",OFFSET(Biblioteca!$H$2,MATCH(AD60,Biblioteca!$A$3:$A$200,0),0),TRUE,"")&amp;IF(AE61="R","Ajuste a carga para que tenha "&amp;$K$2&amp;" repetições de reserva",""))</f>
        <v/>
      </c>
      <c r="V61" s="118" t="str">
        <f>IF(R60="","",IFS(AC61="H","Carga Sugerida: "&amp;ROUNDUP(AF60/2,0)&amp;" kg de cada lado (Total: "&amp;ROUNDUP(AF60/2,0)*2&amp;" kg)",AC61="C","Este exercício usa o Peso Corporal como carga",AC61="E","Este exercício usa a resistência da banda elástica como carga",AC61="O","Carga Sugerida: "&amp;INT(AF60)&amp;" kg",TRUE,""))</f>
        <v/>
      </c>
      <c r="AA61" s="66"/>
      <c r="AB61" s="126">
        <f>AB60</f>
        <v>6</v>
      </c>
      <c r="AC61" s="120" t="str">
        <f>LEFT(AF61)</f>
        <v/>
      </c>
      <c r="AD61" s="121" t="str">
        <f>MID(AF61,2,1)</f>
        <v/>
      </c>
      <c r="AE61" s="122" t="str">
        <f>RIGHT(AF61)</f>
        <v/>
      </c>
      <c r="AF61" s="123" t="str">
        <f>IF(AD60="","",OFFSET(Biblioteca!$I$2,MATCH(AD60,Biblioteca!$A$3:$A$200,0),0))</f>
        <v/>
      </c>
      <c r="AG61" s="57"/>
      <c r="AH61" s="125"/>
      <c r="AI61" s="117" t="str">
        <f>IF(AI60="","",IFS(AT61="A",Montagem!$E$30,AV61="T","Realizar a maior quantidade de repetições por "&amp;AN60&amp;" segundos | ",AV61="I",IF(AU61="U","Manter a posição por "&amp;AN60&amp;" segundos de um lado e trocar para o outro na sequência | ","Manter a posição por "&amp;AN60&amp;" segundos | "),AU61="A","Realizar alternadamente "&amp;AN60&amp;" repetições cada lado | ",AU61="U","Realizar "&amp;AN60&amp;" repetições de um lado e trocar para o outro na sequência | ",AT61="P",OFFSET(Biblioteca!$H$2,MATCH(AU60,Biblioteca!$A$3:$A$200,0),0),TRUE,"")&amp;IF(AV61="R","Ajuste a carga para que tenha "&amp;$K$2&amp;" repetições de reserva",""))</f>
        <v/>
      </c>
      <c r="AM61" s="118" t="str">
        <f>IF(AI60="","",IFS(AT61="H","Carga Sugerida: "&amp;ROUNDUP(AW60/2,0)&amp;" kg de cada lado (Total: "&amp;ROUNDUP(AW60/2,0)*2&amp;" kg)",AT61="C","Este exercício usa o Peso Corporal como carga",AT61="E","Este exercício usa a resistência da banda elástica como carga",AT61="O","Carga Sugerida: "&amp;INT(AW60)&amp;" kg",TRUE,""))</f>
        <v/>
      </c>
      <c r="AR61" s="66"/>
      <c r="AS61" s="126">
        <f>AS60</f>
        <v>1</v>
      </c>
      <c r="AT61" s="120" t="str">
        <f>LEFT(AW61)</f>
        <v/>
      </c>
      <c r="AU61" s="121" t="str">
        <f>MID(AW61,2,1)</f>
        <v/>
      </c>
      <c r="AV61" s="122" t="str">
        <f>RIGHT(AW61)</f>
        <v/>
      </c>
      <c r="AW61" s="123" t="str">
        <f>IF(AU60="","",OFFSET(Biblioteca!$I$2,MATCH(AU60,Biblioteca!$A$3:$A$200,0),0))</f>
        <v/>
      </c>
      <c r="AX61" s="57"/>
      <c r="AY61" s="125"/>
      <c r="AZ61" s="117" t="str">
        <f>IF(AZ60="","",IFS(BK61="A",Montagem!$F$30,BM61="T","Realizar a maior quantidade de repetições por "&amp;BE60&amp;" segundos | ",BM61="I",IF(BL61="U","Manter a posição por "&amp;BE60&amp;" segundos de um lado e trocar para o outro na sequência | ","Manter a posição por "&amp;BE60&amp;" segundos | "),BL61="A","Realizar alternadamente "&amp;BE60&amp;" repetições cada lado | ",BL61="U","Realizar "&amp;BE60&amp;" repetições de um lado e trocar para o outro na sequência | ",BK61="P",OFFSET(Biblioteca!$H$2,MATCH(BL60,Biblioteca!$A$3:$A$200,0),0),TRUE,"")&amp;IF(BM61="R","Ajuste a carga para que tenha "&amp;$K$2&amp;" repetições de reserva",""))</f>
        <v/>
      </c>
      <c r="BD61" s="118" t="str">
        <f>IF(AZ60="","",IFS(BK61="H","Carga Sugerida: "&amp;ROUNDUP(BN60/2,0)&amp;" kg de cada lado (Total: "&amp;ROUNDUP(BN60/2,0)*2&amp;" kg)",BK61="C","Este exercício usa o Peso Corporal como carga",BK61="E","Este exercício usa a resistência da banda elástica como carga",BK61="O","Carga Sugerida: "&amp;INT(BN60)&amp;" kg",TRUE,""))</f>
        <v/>
      </c>
      <c r="BI61" s="66"/>
      <c r="BJ61" s="126">
        <f>BJ60</f>
        <v>7</v>
      </c>
      <c r="BK61" s="120" t="str">
        <f>LEFT(BN61)</f>
        <v/>
      </c>
      <c r="BL61" s="121" t="str">
        <f>MID(BN61,2,1)</f>
        <v/>
      </c>
      <c r="BM61" s="122" t="str">
        <f>RIGHT(BN61)</f>
        <v/>
      </c>
      <c r="BN61" s="123" t="str">
        <f>IF(BL60="","",OFFSET(Biblioteca!$I$2,MATCH(BL60,Biblioteca!$A$3:$A$200,0),0))</f>
        <v/>
      </c>
      <c r="BO61" s="57"/>
      <c r="BP61" s="125"/>
      <c r="BQ61" s="117" t="str">
        <f>IF(BQ60="","",IFS(CB61="A",Montagem!$G$30,CD61="T","Realizar a maior quantidade de repetições por "&amp;BV60&amp;" segundos | ",CD61="I",IF(CC61="U","Manter a posição por "&amp;BV60&amp;" segundos de um lado e trocar para o outro na sequência | ","Manter a posição por "&amp;BV60&amp;" segundos | "),CC61="A","Realizar alternadamente "&amp;BV60&amp;" repetições cada lado | ",CC61="U","Realizar "&amp;BV60&amp;" repetições de um lado e trocar para o outro na sequência | ",CB61="P",OFFSET(Biblioteca!$H$2,MATCH(CC60,Biblioteca!$A$3:$A$200,0),0),TRUE,"")&amp;IF(CD61="R","Ajuste a carga para que tenha "&amp;$K$2&amp;" repetições de reserva",""))</f>
        <v/>
      </c>
      <c r="BU61" s="118" t="str">
        <f>IF(BQ60="","",IFS(CB61="H","Carga Sugerida: "&amp;ROUNDUP(CE60/2,0)&amp;" kg de cada lado (Total: "&amp;ROUNDUP(CE60/2,0)*2&amp;" kg)",CB61="C","Este exercício usa o Peso Corporal como carga",CB61="E","Este exercício usa a resistência da banda elástica como carga",CB61="O","Carga Sugerida: "&amp;INT(CE60)&amp;" kg",TRUE,""))</f>
        <v/>
      </c>
      <c r="BZ61" s="66"/>
      <c r="CA61" s="126">
        <f>CA60</f>
        <v>6</v>
      </c>
      <c r="CB61" s="120" t="str">
        <f>LEFT(CE61)</f>
        <v/>
      </c>
      <c r="CC61" s="121" t="str">
        <f>MID(CE61,2,1)</f>
        <v/>
      </c>
      <c r="CD61" s="122" t="str">
        <f>RIGHT(CE61)</f>
        <v/>
      </c>
      <c r="CE61" s="123" t="str">
        <f>IF(CC60="","",OFFSET(Biblioteca!$I$2,MATCH(CC60,Biblioteca!$A$3:$A$200,0),0))</f>
        <v/>
      </c>
      <c r="CF61" s="57"/>
      <c r="CG61" s="125"/>
      <c r="CH61" s="117" t="str">
        <f>IF(CH60="","",IFS(CS61="A",Montagem!$H$30,CU61="T","Realizar a maior quantidade de repetições por "&amp;CM60&amp;" segundos | ",CU61="I",IF(CT61="U","Manter a posição por "&amp;CM60&amp;" segundos de um lado e trocar para o outro na sequência | ","Manter a posição por "&amp;CM60&amp;" segundos | "),CT61="A","Realizar alternadamente "&amp;CM60&amp;" repetições cada lado | ",CT61="U","Realizar "&amp;CM60&amp;" repetições de um lado e trocar para o outro na sequência | ",CS61="P",OFFSET(Biblioteca!$H$2,MATCH(CT60,Biblioteca!$A$3:$A$200,0),0),TRUE,"")&amp;IF(CU61="R","Ajuste a carga para que tenha "&amp;$K$2&amp;" repetições de reserva",""))</f>
        <v/>
      </c>
      <c r="CL61" s="118" t="str">
        <f>IF(CH60="","",IFS(CS61="H","Carga Sugerida: "&amp;ROUNDUP(CV60/2,0)&amp;" kg de cada lado (Total: "&amp;ROUNDUP(CV60/2,0)*2&amp;" kg)",CS61="C","Este exercício usa o Peso Corporal como carga",CS61="E","Este exercício usa a resistência da banda elástica como carga",CS61="O","Carga Sugerida: "&amp;INT(CV60)&amp;" kg",TRUE,""))</f>
        <v/>
      </c>
      <c r="CQ61" s="66"/>
      <c r="CR61" s="126">
        <f>CR60</f>
        <v>1</v>
      </c>
      <c r="CS61" s="120" t="str">
        <f>LEFT(CV61)</f>
        <v/>
      </c>
      <c r="CT61" s="121" t="str">
        <f>MID(CV61,2,1)</f>
        <v/>
      </c>
      <c r="CU61" s="122" t="str">
        <f>RIGHT(CV61)</f>
        <v/>
      </c>
      <c r="CV61" s="123" t="str">
        <f>IF(CT60="","",OFFSET(Biblioteca!$I$2,MATCH(CT60,Biblioteca!$A$3:$A$200,0),0))</f>
        <v/>
      </c>
      <c r="CW61" s="57"/>
      <c r="CX61" s="125"/>
      <c r="CY61" s="117" t="str">
        <f>IF(CY60="","",IFS(DJ61="A",Montagem!$I$30,DL61="T","Realizar a maior quantidade de repetições por "&amp;DD60&amp;" segundos | ",DL61="I",IF(DK61="U","Manter a posição por "&amp;DD60&amp;" segundos de um lado e trocar para o outro na sequência | ","Manter a posição por "&amp;DD60&amp;" segundos | "),DK61="A","Realizar alternadamente "&amp;DD60&amp;" repetições cada lado | ",DK61="U","Realizar "&amp;DD60&amp;" repetições de um lado e trocar para o outro na sequência | ",DJ61="P",OFFSET(Biblioteca!$H$2,MATCH(DK60,Biblioteca!$A$3:$A$200,0),0),TRUE,"")&amp;IF(DL61="R","Ajuste a carga para que tenha "&amp;$K$2&amp;" repetições de reserva",""))</f>
        <v/>
      </c>
      <c r="DC61" s="118" t="str">
        <f>IF(CY60="","",IFS(DJ61="H","Carga Sugerida: "&amp;ROUNDUP(DM60/2,0)&amp;" kg de cada lado (Total: "&amp;ROUNDUP(DM60/2,0)*2&amp;" kg)",DJ61="C","Este exercício usa o Peso Corporal como carga",DJ61="E","Este exercício usa a resistência da banda elástica como carga",DJ61="O","Carga Sugerida: "&amp;INT(DM60)&amp;" kg",TRUE,""))</f>
        <v/>
      </c>
      <c r="DH61" s="66"/>
      <c r="DI61" s="126">
        <f>DI60</f>
        <v>1</v>
      </c>
      <c r="DJ61" s="120" t="str">
        <f>LEFT(DM61)</f>
        <v/>
      </c>
      <c r="DK61" s="121" t="str">
        <f>MID(DM61,2,1)</f>
        <v/>
      </c>
      <c r="DL61" s="122" t="str">
        <f>RIGHT(DM61)</f>
        <v/>
      </c>
      <c r="DM61" s="123" t="str">
        <f>IF(DK60="","",OFFSET(Biblioteca!$I$2,MATCH(DK60,Biblioteca!$A$3:$A$200,0),0))</f>
        <v/>
      </c>
      <c r="DN61" s="57"/>
      <c r="DO61" s="125"/>
      <c r="DP61" s="142"/>
      <c r="DQ61" s="56"/>
      <c r="DR61" s="56"/>
      <c r="DS61" s="56"/>
      <c r="DT61" s="56"/>
      <c r="DU61" s="56"/>
      <c r="DV61" s="56"/>
      <c r="DW61" s="56"/>
      <c r="DX61" s="56"/>
      <c r="DY61" s="56"/>
    </row>
    <row r="62">
      <c r="A62" s="115" t="str">
        <f>IF(M62="","",HYPERLINK(OFFSET(Biblioteca!$B$2,MATCH(M62,Biblioteca!$A$3:$A$200,0),0),M62))</f>
        <v/>
      </c>
      <c r="D62" s="103" t="str">
        <f>Montagem!Q39</f>
        <v/>
      </c>
      <c r="E62" s="104" t="str">
        <f>Montagem!R39</f>
        <v/>
      </c>
      <c r="F62" s="104" t="str">
        <f>Montagem!S39</f>
        <v/>
      </c>
      <c r="G62" s="104" t="str">
        <f>Montagem!T39</f>
        <v/>
      </c>
      <c r="H62" s="104" t="str">
        <f>Montagem!U39</f>
        <v/>
      </c>
      <c r="I62" s="132" t="str">
        <f>Montagem!V39</f>
        <v/>
      </c>
      <c r="J62" s="105"/>
      <c r="K62" s="106">
        <f>Montagem!K39</f>
        <v>6</v>
      </c>
      <c r="L62" s="128" t="str">
        <f>Montagem!W39</f>
        <v/>
      </c>
      <c r="M62" s="111" t="str">
        <f>Montagem!L39</f>
        <v/>
      </c>
      <c r="N62" s="111" t="str">
        <f>Montagem!X39</f>
        <v/>
      </c>
      <c r="O62" s="106" t="str">
        <f>IF(N62="",L62,N62)</f>
        <v/>
      </c>
      <c r="P62" s="106" t="str">
        <f>IF(L63="C",'Dados de Base'!$D$5*0.1,IF(L63="E",5,IF(J62="",O62,J62)))</f>
        <v/>
      </c>
      <c r="Q62" s="108"/>
      <c r="R62" s="115" t="str">
        <f>IF(AD62="","",HYPERLINK(OFFSET(Biblioteca!$B$2,MATCH(AD62,Biblioteca!$A$3:$A$200,0),0),AD62))</f>
        <v/>
      </c>
      <c r="U62" s="109" t="str">
        <f>Montagem!AF39</f>
        <v/>
      </c>
      <c r="V62" s="110" t="str">
        <f>Montagem!AG39</f>
        <v/>
      </c>
      <c r="W62" s="110" t="str">
        <f>Montagem!AH39</f>
        <v/>
      </c>
      <c r="X62" s="110" t="str">
        <f>Montagem!AI39</f>
        <v/>
      </c>
      <c r="Y62" s="110" t="str">
        <f>Montagem!AJ39</f>
        <v/>
      </c>
      <c r="Z62" s="110" t="str">
        <f>Montagem!AK39</f>
        <v/>
      </c>
      <c r="AA62" s="114"/>
      <c r="AB62" s="111">
        <f>Montagem!Z39</f>
        <v>6</v>
      </c>
      <c r="AC62" s="111" t="str">
        <f>Montagem!AL39</f>
        <v/>
      </c>
      <c r="AD62" s="129" t="str">
        <f>Montagem!AA39</f>
        <v/>
      </c>
      <c r="AE62" s="111" t="str">
        <f>Montagem!AM39</f>
        <v/>
      </c>
      <c r="AF62" s="106" t="str">
        <f>IF(AE62="",AC62,AE62)</f>
        <v/>
      </c>
      <c r="AG62" s="106" t="str">
        <f>IF(AC63="C",'Dados de Base'!$D$5*0.1,IF(AC63="E",5,IF(AA62="",AF62,AA62)))</f>
        <v/>
      </c>
      <c r="AH62" s="108"/>
      <c r="AI62" s="115" t="str">
        <f>IF(AU62="","",HYPERLINK(OFFSET(Biblioteca!$B$2,MATCH(AU62,Biblioteca!$A$3:$A$200,0),0),AU62))</f>
        <v/>
      </c>
      <c r="AL62" s="109" t="str">
        <f>Montagem!AU39</f>
        <v/>
      </c>
      <c r="AM62" s="110" t="str">
        <f>Montagem!AV39</f>
        <v/>
      </c>
      <c r="AN62" s="110" t="str">
        <f>Montagem!AW39</f>
        <v/>
      </c>
      <c r="AO62" s="110" t="str">
        <f>Montagem!AX39</f>
        <v/>
      </c>
      <c r="AP62" s="110" t="str">
        <f>Montagem!AY39</f>
        <v/>
      </c>
      <c r="AQ62" s="110" t="str">
        <f>Montagem!AZ39</f>
        <v/>
      </c>
      <c r="AR62" s="114"/>
      <c r="AS62" s="111">
        <f>Montagem!AO39</f>
        <v>1</v>
      </c>
      <c r="AT62" s="111" t="str">
        <f>Montagem!BA39</f>
        <v/>
      </c>
      <c r="AU62" s="111" t="str">
        <f>Montagem!AP39</f>
        <v/>
      </c>
      <c r="AV62" s="111" t="str">
        <f>Montagem!BB39</f>
        <v/>
      </c>
      <c r="AW62" s="106" t="str">
        <f>IF(AV62="",AT62,AV62)</f>
        <v/>
      </c>
      <c r="AX62" s="106" t="str">
        <f>IF(AT63="C",'Dados de Base'!$D$5*0.1,IF(AT63="E",5,IF(AR62="",AW62,AR62)))</f>
        <v/>
      </c>
      <c r="AY62" s="108"/>
      <c r="AZ62" s="115" t="str">
        <f>IF(BL62="","",HYPERLINK(OFFSET(Biblioteca!$B$2,MATCH(BL62,Biblioteca!$A$3:$A$200,0),0),BL62))</f>
        <v/>
      </c>
      <c r="BC62" s="109" t="str">
        <f>Montagem!BJ39</f>
        <v/>
      </c>
      <c r="BD62" s="110" t="str">
        <f>Montagem!BK39</f>
        <v/>
      </c>
      <c r="BE62" s="110" t="str">
        <f>Montagem!BL39</f>
        <v/>
      </c>
      <c r="BF62" s="110" t="str">
        <f>Montagem!BM39</f>
        <v/>
      </c>
      <c r="BG62" s="110" t="str">
        <f>Montagem!BN39</f>
        <v/>
      </c>
      <c r="BH62" s="110" t="str">
        <f>Montagem!BO39</f>
        <v/>
      </c>
      <c r="BI62" s="114"/>
      <c r="BJ62" s="111">
        <f>Montagem!BD39</f>
        <v>7</v>
      </c>
      <c r="BK62" s="111" t="str">
        <f>Montagem!BP39</f>
        <v/>
      </c>
      <c r="BL62" s="111" t="str">
        <f>Montagem!BE39</f>
        <v/>
      </c>
      <c r="BM62" s="111" t="str">
        <f>Montagem!BQ39</f>
        <v/>
      </c>
      <c r="BN62" s="106" t="str">
        <f>IF(BM62="",BK62,BM62)</f>
        <v/>
      </c>
      <c r="BO62" s="106" t="str">
        <f>IF(BK63="C",'Dados de Base'!$D$5*0.1,IF(BK63="E",5,IF(BI62="",BN62,BI62)))</f>
        <v/>
      </c>
      <c r="BP62" s="108"/>
      <c r="BQ62" s="115" t="str">
        <f>IF(CC62="","",HYPERLINK(OFFSET(Biblioteca!$B$2,MATCH(CC62,Biblioteca!$A$3:$A$200,0),0),CC62))</f>
        <v/>
      </c>
      <c r="BT62" s="109" t="str">
        <f>Montagem!BY39</f>
        <v/>
      </c>
      <c r="BU62" s="110" t="str">
        <f>Montagem!BZ39</f>
        <v/>
      </c>
      <c r="BV62" s="110" t="str">
        <f>Montagem!CA39</f>
        <v/>
      </c>
      <c r="BW62" s="110" t="str">
        <f>Montagem!CB39</f>
        <v/>
      </c>
      <c r="BX62" s="110" t="str">
        <f>Montagem!CC39</f>
        <v/>
      </c>
      <c r="BY62" s="110" t="str">
        <f>Montagem!CD39</f>
        <v/>
      </c>
      <c r="BZ62" s="114"/>
      <c r="CA62" s="111">
        <f>Montagem!BS39</f>
        <v>6</v>
      </c>
      <c r="CB62" s="111" t="str">
        <f>Montagem!CE39</f>
        <v/>
      </c>
      <c r="CC62" s="111" t="str">
        <f>Montagem!BT39</f>
        <v/>
      </c>
      <c r="CD62" s="111" t="str">
        <f>Montagem!CF39</f>
        <v/>
      </c>
      <c r="CE62" s="106" t="str">
        <f>IF(CD62="",CB62,CD62)</f>
        <v/>
      </c>
      <c r="CF62" s="106" t="str">
        <f>IF(CB63="C",'Dados de Base'!$D$5*0.1,IF(CB63="E",5,IF(BZ62="",CE62,BZ62)))</f>
        <v/>
      </c>
      <c r="CG62" s="108"/>
      <c r="CH62" s="115" t="str">
        <f>IF(CT62="","",HYPERLINK(OFFSET(Biblioteca!$B$2,MATCH(CT62,Biblioteca!$A$3:$A$200,0),0),CT62))</f>
        <v/>
      </c>
      <c r="CK62" s="109" t="str">
        <f>Montagem!CN39</f>
        <v/>
      </c>
      <c r="CL62" s="110" t="str">
        <f>Montagem!CO39</f>
        <v/>
      </c>
      <c r="CM62" s="110" t="str">
        <f>Montagem!CP39</f>
        <v/>
      </c>
      <c r="CN62" s="110" t="str">
        <f>Montagem!CQ39</f>
        <v/>
      </c>
      <c r="CO62" s="110" t="str">
        <f>Montagem!CR39</f>
        <v/>
      </c>
      <c r="CP62" s="110" t="str">
        <f>Montagem!CS39</f>
        <v/>
      </c>
      <c r="CQ62" s="114"/>
      <c r="CR62" s="111">
        <f>Montagem!CH39</f>
        <v>1</v>
      </c>
      <c r="CS62" s="111" t="str">
        <f>Montagem!CT39</f>
        <v/>
      </c>
      <c r="CT62" s="111" t="str">
        <f>Montagem!CI39</f>
        <v/>
      </c>
      <c r="CU62" s="145" t="str">
        <f>Montagem!CU39</f>
        <v/>
      </c>
      <c r="CV62" s="106" t="str">
        <f>IF(CU62="",CS62,CU62)</f>
        <v/>
      </c>
      <c r="CW62" s="106" t="str">
        <f>IF(CS63="C",'Dados de Base'!$D$5*0.1,IF(CS63="E",5,IF(CQ62="",CV62,CQ62)))</f>
        <v/>
      </c>
      <c r="CX62" s="108"/>
      <c r="CY62" s="115" t="str">
        <f>IF(DK62="","",HYPERLINK(OFFSET(Biblioteca!$B$2,MATCH(DK62,Biblioteca!$A$3:$A$200,0),0),DK62))</f>
        <v/>
      </c>
      <c r="DB62" s="130" t="str">
        <f>Montagem!DC39</f>
        <v/>
      </c>
      <c r="DC62" s="131" t="str">
        <f>Montagem!DD39</f>
        <v/>
      </c>
      <c r="DD62" s="131" t="str">
        <f>Montagem!DE39</f>
        <v/>
      </c>
      <c r="DE62" s="131" t="str">
        <f>Montagem!DF39</f>
        <v/>
      </c>
      <c r="DF62" s="131" t="str">
        <f>Montagem!DG39</f>
        <v/>
      </c>
      <c r="DG62" s="131" t="str">
        <f>Montagem!DH39</f>
        <v/>
      </c>
      <c r="DH62" s="114"/>
      <c r="DI62" s="111">
        <f>Montagem!CW39</f>
        <v>1</v>
      </c>
      <c r="DJ62" s="111" t="str">
        <f>Montagem!DI39</f>
        <v/>
      </c>
      <c r="DK62" s="111" t="str">
        <f>Montagem!CX39</f>
        <v/>
      </c>
      <c r="DL62" s="145" t="str">
        <f>Montagem!DJ39</f>
        <v/>
      </c>
      <c r="DM62" s="106" t="str">
        <f>IF(DL62="",DJ62,DL62)</f>
        <v/>
      </c>
      <c r="DN62" s="106" t="str">
        <f>IF(DJ63="C",'Dados de Base'!$D$5*0.1,IF(DJ63="E",5,IF(DH62="",DM62,DH62)))</f>
        <v/>
      </c>
      <c r="DO62" s="108"/>
      <c r="DP62" s="106"/>
      <c r="DQ62" s="106"/>
      <c r="DR62" s="106"/>
      <c r="DS62" s="106"/>
      <c r="DT62" s="106"/>
      <c r="DU62" s="106"/>
      <c r="DV62" s="106"/>
      <c r="DW62" s="106"/>
      <c r="DX62" s="106"/>
      <c r="DY62" s="106"/>
    </row>
    <row r="63">
      <c r="A63" s="117" t="str">
        <f>IF(A62="","",IFS(L63="A",Montagem!$C$30,N63="T","Realizar a maior quantidade de repetições por "&amp;F62&amp;" segundos | ",N63="I",IF(M63="U","Manter a posição por "&amp;F62&amp;" segundos de um lado e trocar para o outro na sequência | ","Manter a posição por "&amp;F62&amp;" segundos | "),M63="A","Realizar alternadamente "&amp;F62&amp;" repetições cada lado | ",M63="U","Realizar "&amp;F62&amp;" repetições de um lado e trocar para o outro na sequência | ",L63="P",OFFSET(Biblioteca!$H$2,MATCH(M62,Biblioteca!$A$3:$A$200,0),0),TRUE,"")&amp;IF(N63="R","Ajuste a carga para que tenha "&amp;$K$2&amp;" repetições de reserva",""))</f>
        <v/>
      </c>
      <c r="E63" s="118" t="str">
        <f>IF(A62="","",IFS(L63="H","Carga Sugerida: "&amp;ROUNDUP(O62/2,0)&amp;" kg de cada lado (Total: "&amp;ROUNDUP(O62/2,0)*2&amp;" kg)",L63="C","Este exercício usa o Peso Corporal como carga",L63="E","Este exercício usa a resistência da banda elástica como carga",L63="O","Carga Sugerida: "&amp;INT(O62)&amp;" kg",TRUE,""))</f>
        <v/>
      </c>
      <c r="J63" s="66"/>
      <c r="K63" s="106">
        <f>K62</f>
        <v>6</v>
      </c>
      <c r="L63" s="120" t="str">
        <f>LEFT(O63)</f>
        <v/>
      </c>
      <c r="M63" s="121" t="str">
        <f>MID(O63,2,1)</f>
        <v/>
      </c>
      <c r="N63" s="122" t="str">
        <f>RIGHT(O63)</f>
        <v/>
      </c>
      <c r="O63" s="123" t="str">
        <f>IF(M62="","",OFFSET(Biblioteca!$I$2,MATCH(M62,Biblioteca!$A$3:$A$200,0),0))</f>
        <v/>
      </c>
      <c r="P63" s="124"/>
      <c r="Q63" s="125"/>
      <c r="R63" s="117" t="str">
        <f>IF(R62="","",IFS(AC63="A",Montagem!$D$30,AE63="T","Realizar a maior quantidade de repetições por "&amp;W62&amp;" segundos | ",AE63="I",IF(AD63="U","Manter a posição por "&amp;W62&amp;" segundos de um lado e trocar para o outro na sequência | ","Manter a posição por "&amp;W62&amp;" segundos | "),AD63="A","Realizar alternadamente "&amp;W62&amp;" repetições cada lado | ",AD63="U","Realizar "&amp;W62&amp;" repetições de um lado e trocar para o outro na sequência | ",AC63="P",OFFSET(Biblioteca!$H$2,MATCH(AD62,Biblioteca!$A$3:$A$200,0),0),TRUE,"")&amp;IF(AE63="R","Ajuste a carga para que tenha "&amp;$K$2&amp;" repetições de reserva",""))</f>
        <v/>
      </c>
      <c r="V63" s="118" t="str">
        <f>IF(R62="","",IFS(AC63="H","Carga Sugerida: "&amp;ROUNDUP(AF62/2,0)&amp;" kg de cada lado (Total: "&amp;ROUNDUP(AF62/2,0)*2&amp;" kg)",AC63="C","Este exercício usa o Peso Corporal como carga",AC63="E","Este exercício usa a resistência da banda elástica como carga",AC63="O","Carga Sugerida: "&amp;INT(AF62)&amp;" kg",TRUE,""))</f>
        <v/>
      </c>
      <c r="AA63" s="66"/>
      <c r="AB63" s="126">
        <f>AB62</f>
        <v>6</v>
      </c>
      <c r="AC63" s="120" t="str">
        <f>LEFT(AF63)</f>
        <v/>
      </c>
      <c r="AD63" s="121" t="str">
        <f>MID(AF63,2,1)</f>
        <v/>
      </c>
      <c r="AE63" s="122" t="str">
        <f>RIGHT(AF63)</f>
        <v/>
      </c>
      <c r="AF63" s="123" t="str">
        <f>IF(AD62="","",OFFSET(Biblioteca!$I$2,MATCH(AD62,Biblioteca!$A$3:$A$200,0),0))</f>
        <v/>
      </c>
      <c r="AG63" s="124"/>
      <c r="AH63" s="125"/>
      <c r="AI63" s="117" t="str">
        <f>IF(AI62="","",IFS(AT63="A",Montagem!$E$30,AV63="T","Realizar a maior quantidade de repetições por "&amp;AN62&amp;" segundos | ",AV63="I",IF(AU63="U","Manter a posição por "&amp;AN62&amp;" segundos de um lado e trocar para o outro na sequência | ","Manter a posição por "&amp;AN62&amp;" segundos | "),AU63="A","Realizar alternadamente "&amp;AN62&amp;" repetições cada lado | ",AU63="U","Realizar "&amp;AN62&amp;" repetições de um lado e trocar para o outro na sequência | ",AT63="P",OFFSET(Biblioteca!$H$2,MATCH(AU62,Biblioteca!$A$3:$A$200,0),0),TRUE,"")&amp;IF(AV63="R","Ajuste a carga para que tenha "&amp;$K$2&amp;" repetições de reserva",""))</f>
        <v/>
      </c>
      <c r="AM63" s="118" t="str">
        <f>IF(AI62="","",IFS(AT63="H","Carga Sugerida: "&amp;ROUNDUP(AW62/2,0)&amp;" kg de cada lado (Total: "&amp;ROUNDUP(AW62/2,0)*2&amp;" kg)",AT63="C","Este exercício usa o Peso Corporal como carga",AT63="E","Este exercício usa a resistência da banda elástica como carga",AT63="O","Carga Sugerida: "&amp;INT(AW62)&amp;" kg",TRUE,""))</f>
        <v/>
      </c>
      <c r="AR63" s="66"/>
      <c r="AS63" s="126">
        <f>AS62</f>
        <v>1</v>
      </c>
      <c r="AT63" s="120" t="str">
        <f>LEFT(AW63)</f>
        <v/>
      </c>
      <c r="AU63" s="121" t="str">
        <f>MID(AW63,2,1)</f>
        <v/>
      </c>
      <c r="AV63" s="122" t="str">
        <f>RIGHT(AW63)</f>
        <v/>
      </c>
      <c r="AW63" s="123" t="str">
        <f>IF(AU62="","",OFFSET(Biblioteca!$I$2,MATCH(AU62,Biblioteca!$A$3:$A$200,0),0))</f>
        <v/>
      </c>
      <c r="AX63" s="124"/>
      <c r="AY63" s="125"/>
      <c r="AZ63" s="117" t="str">
        <f>IF(AZ62="","",IFS(BK63="A",Montagem!$F$30,BM63="T","Realizar a maior quantidade de repetições por "&amp;BE62&amp;" segundos | ",BM63="I",IF(BL63="U","Manter a posição por "&amp;BE62&amp;" segundos de um lado e trocar para o outro na sequência | ","Manter a posição por "&amp;BE62&amp;" segundos | "),BL63="A","Realizar alternadamente "&amp;BE62&amp;" repetições cada lado | ",BL63="U","Realizar "&amp;BE62&amp;" repetições de um lado e trocar para o outro na sequência | ",BK63="P",OFFSET(Biblioteca!$H$2,MATCH(BL62,Biblioteca!$A$3:$A$200,0),0),TRUE,"")&amp;IF(BM63="R","Ajuste a carga para que tenha "&amp;$K$2&amp;" repetições de reserva",""))</f>
        <v/>
      </c>
      <c r="BD63" s="118" t="str">
        <f>IF(AZ62="","",IFS(BK63="H","Carga Sugerida: "&amp;ROUNDUP(BN62/2,0)&amp;" kg de cada lado (Total: "&amp;ROUNDUP(BN62/2,0)*2&amp;" kg)",BK63="C","Este exercício usa o Peso Corporal como carga",BK63="E","Este exercício usa a resistência da banda elástica como carga",BK63="O","Carga Sugerida: "&amp;INT(BN62)&amp;" kg",TRUE,""))</f>
        <v/>
      </c>
      <c r="BI63" s="66"/>
      <c r="BJ63" s="126">
        <f>BJ62</f>
        <v>7</v>
      </c>
      <c r="BK63" s="120" t="str">
        <f>LEFT(BN63)</f>
        <v/>
      </c>
      <c r="BL63" s="121" t="str">
        <f>MID(BN63,2,1)</f>
        <v/>
      </c>
      <c r="BM63" s="122" t="str">
        <f>RIGHT(BN63)</f>
        <v/>
      </c>
      <c r="BN63" s="123" t="str">
        <f>IF(BL62="","",OFFSET(Biblioteca!$I$2,MATCH(BL62,Biblioteca!$A$3:$A$200,0),0))</f>
        <v/>
      </c>
      <c r="BO63" s="124"/>
      <c r="BP63" s="125"/>
      <c r="BQ63" s="117" t="str">
        <f>IF(BQ62="","",IFS(CB63="A",Montagem!$G$30,CD63="T","Realizar a maior quantidade de repetições por "&amp;BV62&amp;" segundos | ",CD63="I",IF(CC63="U","Manter a posição por "&amp;BV62&amp;" segundos de um lado e trocar para o outro na sequência | ","Manter a posição por "&amp;BV62&amp;" segundos | "),CC63="A","Realizar alternadamente "&amp;BV62&amp;" repetições cada lado | ",CC63="U","Realizar "&amp;BV62&amp;" repetições de um lado e trocar para o outro na sequência | ",CB63="P",OFFSET(Biblioteca!$H$2,MATCH(CC62,Biblioteca!$A$3:$A$200,0),0),TRUE,"")&amp;IF(CD63="R","Ajuste a carga para que tenha "&amp;$K$2&amp;" repetições de reserva",""))</f>
        <v/>
      </c>
      <c r="BU63" s="118" t="str">
        <f>IF(BQ62="","",IFS(CB63="H","Carga Sugerida: "&amp;ROUNDUP(CE62/2,0)&amp;" kg de cada lado (Total: "&amp;ROUNDUP(CE62/2,0)*2&amp;" kg)",CB63="C","Este exercício usa o Peso Corporal como carga",CB63="E","Este exercício usa a resistência da banda elástica como carga",CB63="O","Carga Sugerida: "&amp;INT(CE62)&amp;" kg",TRUE,""))</f>
        <v/>
      </c>
      <c r="BZ63" s="66"/>
      <c r="CA63" s="126">
        <f>CA62</f>
        <v>6</v>
      </c>
      <c r="CB63" s="120" t="str">
        <f>LEFT(CE63)</f>
        <v/>
      </c>
      <c r="CC63" s="121" t="str">
        <f>MID(CE63,2,1)</f>
        <v/>
      </c>
      <c r="CD63" s="122" t="str">
        <f>RIGHT(CE63)</f>
        <v/>
      </c>
      <c r="CE63" s="123" t="str">
        <f>IF(CC62="","",OFFSET(Biblioteca!$I$2,MATCH(CC62,Biblioteca!$A$3:$A$200,0),0))</f>
        <v/>
      </c>
      <c r="CF63" s="124"/>
      <c r="CG63" s="125"/>
      <c r="CH63" s="117" t="str">
        <f>IF(CH62="","",IFS(CS63="A",Montagem!$H$30,CU63="T","Realizar a maior quantidade de repetições por "&amp;CM62&amp;" segundos | ",CU63="I",IF(CT63="U","Manter a posição por "&amp;CM62&amp;" segundos de um lado e trocar para o outro na sequência | ","Manter a posição por "&amp;CM62&amp;" segundos | "),CT63="A","Realizar alternadamente "&amp;CM62&amp;" repetições cada lado | ",CT63="U","Realizar "&amp;CM62&amp;" repetições de um lado e trocar para o outro na sequência | ",CS63="P",OFFSET(Biblioteca!$H$2,MATCH(CT62,Biblioteca!$A$3:$A$200,0),0),TRUE,"")&amp;IF(CU63="R","Ajuste a carga para que tenha "&amp;$K$2&amp;" repetições de reserva",""))</f>
        <v/>
      </c>
      <c r="CL63" s="118" t="str">
        <f>IF(CH62="","",IFS(CS63="H","Carga Sugerida: "&amp;ROUNDUP(CV62/2,0)&amp;" kg de cada lado (Total: "&amp;ROUNDUP(CV62/2,0)*2&amp;" kg)",CS63="C","Este exercício usa o Peso Corporal como carga",CS63="E","Este exercício usa a resistência da banda elástica como carga",CS63="O","Carga Sugerida: "&amp;INT(CV62)&amp;" kg",TRUE,""))</f>
        <v/>
      </c>
      <c r="CQ63" s="66"/>
      <c r="CR63" s="126">
        <f>CR62</f>
        <v>1</v>
      </c>
      <c r="CS63" s="120" t="str">
        <f>LEFT(CV63)</f>
        <v/>
      </c>
      <c r="CT63" s="121" t="str">
        <f>MID(CV63,2,1)</f>
        <v/>
      </c>
      <c r="CU63" s="122" t="str">
        <f>RIGHT(CV63)</f>
        <v/>
      </c>
      <c r="CV63" s="123" t="str">
        <f>IF(CT62="","",OFFSET(Biblioteca!$I$2,MATCH(CT62,Biblioteca!$A$3:$A$200,0),0))</f>
        <v/>
      </c>
      <c r="CW63" s="124"/>
      <c r="CX63" s="125"/>
      <c r="CY63" s="117" t="str">
        <f>IF(CY62="","",IFS(DJ63="A",Montagem!$I$30,DL63="T","Realizar a maior quantidade de repetições por "&amp;DD62&amp;" segundos | ",DL63="I",IF(DK63="U","Manter a posição por "&amp;DD62&amp;" segundos de um lado e trocar para o outro na sequência | ","Manter a posição por "&amp;DD62&amp;" segundos | "),DK63="A","Realizar alternadamente "&amp;DD62&amp;" repetições cada lado | ",DK63="U","Realizar "&amp;DD62&amp;" repetições de um lado e trocar para o outro na sequência | ",DJ63="P",OFFSET(Biblioteca!$H$2,MATCH(DK62,Biblioteca!$A$3:$A$200,0),0),TRUE,"")&amp;IF(DL63="R","Ajuste a carga para que tenha "&amp;$K$2&amp;" repetições de reserva",""))</f>
        <v/>
      </c>
      <c r="DC63" s="118" t="str">
        <f>IF(CY62="","",IFS(DJ63="H","Carga Sugerida: "&amp;ROUNDUP(DM62/2,0)&amp;" kg de cada lado (Total: "&amp;ROUNDUP(DM62/2,0)*2&amp;" kg)",DJ63="C","Este exercício usa o Peso Corporal como carga",DJ63="E","Este exercício usa a resistência da banda elástica como carga",DJ63="O","Carga Sugerida: "&amp;INT(DM62)&amp;" kg",TRUE,""))</f>
        <v/>
      </c>
      <c r="DH63" s="66"/>
      <c r="DI63" s="126">
        <f>DI62</f>
        <v>1</v>
      </c>
      <c r="DJ63" s="120" t="str">
        <f>LEFT(DM63)</f>
        <v/>
      </c>
      <c r="DK63" s="121" t="str">
        <f>MID(DM63,2,1)</f>
        <v/>
      </c>
      <c r="DL63" s="122" t="str">
        <f>RIGHT(DM63)</f>
        <v/>
      </c>
      <c r="DM63" s="123" t="str">
        <f>IF(DK62="","",OFFSET(Biblioteca!$I$2,MATCH(DK62,Biblioteca!$A$3:$A$200,0),0))</f>
        <v/>
      </c>
      <c r="DN63" s="124"/>
      <c r="DO63" s="125"/>
      <c r="DP63" s="142"/>
      <c r="DQ63" s="56"/>
      <c r="DR63" s="56"/>
      <c r="DS63" s="56"/>
      <c r="DT63" s="56"/>
      <c r="DU63" s="56"/>
      <c r="DV63" s="56"/>
      <c r="DW63" s="56"/>
      <c r="DX63" s="56"/>
      <c r="DY63" s="56"/>
    </row>
    <row r="64">
      <c r="A64" s="115" t="str">
        <f>IF(M64="","",HYPERLINK(OFFSET(Biblioteca!$B$2,MATCH(M64,Biblioteca!$A$3:$A$200,0),0),M64))</f>
        <v/>
      </c>
      <c r="D64" s="103" t="str">
        <f>Montagem!Q40</f>
        <v/>
      </c>
      <c r="E64" s="104" t="str">
        <f>Montagem!R40</f>
        <v/>
      </c>
      <c r="F64" s="104" t="str">
        <f>Montagem!S40</f>
        <v/>
      </c>
      <c r="G64" s="104" t="str">
        <f>Montagem!T40</f>
        <v/>
      </c>
      <c r="H64" s="104" t="str">
        <f>Montagem!U40</f>
        <v/>
      </c>
      <c r="I64" s="132" t="str">
        <f>Montagem!V40</f>
        <v/>
      </c>
      <c r="J64" s="144"/>
      <c r="K64" s="106">
        <f>Montagem!K40</f>
        <v>6</v>
      </c>
      <c r="L64" s="128" t="str">
        <f>Montagem!W40</f>
        <v/>
      </c>
      <c r="M64" s="111" t="str">
        <f>Montagem!L40</f>
        <v/>
      </c>
      <c r="N64" s="111" t="str">
        <f>Montagem!X40</f>
        <v/>
      </c>
      <c r="O64" s="106" t="str">
        <f>IF(N64="",L64,N64)</f>
        <v/>
      </c>
      <c r="P64" s="106" t="str">
        <f>IF(L65="C",'Dados de Base'!$D$5*0.1,IF(L65="E",5,IF(J64="",O64,J64)))</f>
        <v/>
      </c>
      <c r="Q64" s="108"/>
      <c r="R64" s="115" t="str">
        <f>IF(AD64="","",HYPERLINK(OFFSET(Biblioteca!$B$2,MATCH(AD64,Biblioteca!$A$3:$A$200,0),0),AD64))</f>
        <v/>
      </c>
      <c r="U64" s="109" t="str">
        <f>Montagem!AF40</f>
        <v/>
      </c>
      <c r="V64" s="110" t="str">
        <f>Montagem!AG40</f>
        <v/>
      </c>
      <c r="W64" s="110" t="str">
        <f>Montagem!AH40</f>
        <v/>
      </c>
      <c r="X64" s="110" t="str">
        <f>Montagem!AI40</f>
        <v/>
      </c>
      <c r="Y64" s="110" t="str">
        <f>Montagem!AJ40</f>
        <v/>
      </c>
      <c r="Z64" s="110" t="str">
        <f>Montagem!AK40</f>
        <v/>
      </c>
      <c r="AA64" s="114"/>
      <c r="AB64" s="111">
        <f>Montagem!Z40</f>
        <v>6</v>
      </c>
      <c r="AC64" s="111" t="str">
        <f>Montagem!AL40</f>
        <v/>
      </c>
      <c r="AD64" s="129" t="str">
        <f>Montagem!AA40</f>
        <v/>
      </c>
      <c r="AE64" s="111" t="str">
        <f>Montagem!AM40</f>
        <v/>
      </c>
      <c r="AF64" s="106" t="str">
        <f>IF(AE64="",AC64,AE64)</f>
        <v/>
      </c>
      <c r="AG64" s="106" t="str">
        <f>IF(AC65="C",'Dados de Base'!$D$5*0.1,IF(AC65="E",5,IF(AA64="",AF64,AA64)))</f>
        <v/>
      </c>
      <c r="AH64" s="108"/>
      <c r="AI64" s="115" t="str">
        <f>IF(AU64="","",HYPERLINK(OFFSET(Biblioteca!$B$2,MATCH(AU64,Biblioteca!$A$3:$A$200,0),0),AU64))</f>
        <v/>
      </c>
      <c r="AL64" s="109" t="str">
        <f>Montagem!AU40</f>
        <v/>
      </c>
      <c r="AM64" s="110" t="str">
        <f>Montagem!AV40</f>
        <v/>
      </c>
      <c r="AN64" s="110" t="str">
        <f>Montagem!AW40</f>
        <v/>
      </c>
      <c r="AO64" s="110" t="str">
        <f>Montagem!AX40</f>
        <v/>
      </c>
      <c r="AP64" s="110" t="str">
        <f>Montagem!AY40</f>
        <v/>
      </c>
      <c r="AQ64" s="110" t="str">
        <f>Montagem!AZ40</f>
        <v/>
      </c>
      <c r="AR64" s="114"/>
      <c r="AS64" s="111">
        <f>Montagem!AO40</f>
        <v>1</v>
      </c>
      <c r="AT64" s="111" t="str">
        <f>Montagem!BA40</f>
        <v/>
      </c>
      <c r="AU64" s="111" t="str">
        <f>Montagem!AP40</f>
        <v/>
      </c>
      <c r="AV64" s="111" t="str">
        <f>Montagem!BB40</f>
        <v/>
      </c>
      <c r="AW64" s="106" t="str">
        <f>IF(AV64="",AT64,AV64)</f>
        <v/>
      </c>
      <c r="AX64" s="106" t="str">
        <f>IF(AT65="C",'Dados de Base'!$D$5*0.1,IF(AT65="E",5,IF(AR64="",AW64,AR64)))</f>
        <v/>
      </c>
      <c r="AY64" s="108"/>
      <c r="AZ64" s="115" t="str">
        <f>IF(BL64="","",HYPERLINK(OFFSET(Biblioteca!$B$2,MATCH(BL64,Biblioteca!$A$3:$A$200,0),0),BL64))</f>
        <v/>
      </c>
      <c r="BC64" s="109" t="str">
        <f>Montagem!BJ40</f>
        <v/>
      </c>
      <c r="BD64" s="110" t="str">
        <f>Montagem!BK40</f>
        <v/>
      </c>
      <c r="BE64" s="110" t="str">
        <f>Montagem!BL40</f>
        <v/>
      </c>
      <c r="BF64" s="110" t="str">
        <f>Montagem!BM40</f>
        <v/>
      </c>
      <c r="BG64" s="110" t="str">
        <f>Montagem!BN40</f>
        <v/>
      </c>
      <c r="BH64" s="110" t="str">
        <f>Montagem!BO40</f>
        <v/>
      </c>
      <c r="BI64" s="114"/>
      <c r="BJ64" s="111">
        <f>Montagem!BD40</f>
        <v>7</v>
      </c>
      <c r="BK64" s="111" t="str">
        <f>Montagem!BP40</f>
        <v/>
      </c>
      <c r="BL64" s="111" t="str">
        <f>Montagem!BE40</f>
        <v/>
      </c>
      <c r="BM64" s="111" t="str">
        <f>Montagem!BQ40</f>
        <v/>
      </c>
      <c r="BN64" s="106" t="str">
        <f>IF(BM64="",BK64,BM64)</f>
        <v/>
      </c>
      <c r="BO64" s="106" t="str">
        <f>IF(BK65="C",'Dados de Base'!$D$5*0.1,IF(BK65="E",5,IF(BI64="",BN64,BI64)))</f>
        <v/>
      </c>
      <c r="BP64" s="108"/>
      <c r="BQ64" s="115" t="str">
        <f>IF(CC64="","",HYPERLINK(OFFSET(Biblioteca!$B$2,MATCH(CC64,Biblioteca!$A$3:$A$200,0),0),CC64))</f>
        <v/>
      </c>
      <c r="BT64" s="109" t="str">
        <f>Montagem!BY40</f>
        <v/>
      </c>
      <c r="BU64" s="110" t="str">
        <f>Montagem!BZ40</f>
        <v/>
      </c>
      <c r="BV64" s="110" t="str">
        <f>Montagem!CA40</f>
        <v/>
      </c>
      <c r="BW64" s="110" t="str">
        <f>Montagem!CB40</f>
        <v/>
      </c>
      <c r="BX64" s="110" t="str">
        <f>Montagem!CC40</f>
        <v/>
      </c>
      <c r="BY64" s="110" t="str">
        <f>Montagem!CD40</f>
        <v/>
      </c>
      <c r="BZ64" s="114"/>
      <c r="CA64" s="111">
        <f>Montagem!BS40</f>
        <v>6</v>
      </c>
      <c r="CB64" s="111" t="str">
        <f>Montagem!CE40</f>
        <v/>
      </c>
      <c r="CC64" s="111" t="str">
        <f>Montagem!BT40</f>
        <v/>
      </c>
      <c r="CD64" s="111" t="str">
        <f>Montagem!CF40</f>
        <v/>
      </c>
      <c r="CE64" s="106" t="str">
        <f>IF(CD64="",CB64,CD64)</f>
        <v/>
      </c>
      <c r="CF64" s="106" t="str">
        <f>IF(CB65="C",'Dados de Base'!$D$5*0.1,IF(CB65="E",5,IF(BZ64="",CE64,BZ64)))</f>
        <v/>
      </c>
      <c r="CG64" s="108"/>
      <c r="CH64" s="115" t="str">
        <f>IF(CT64="","",HYPERLINK(OFFSET(Biblioteca!$B$2,MATCH(CT64,Biblioteca!$A$3:$A$200,0),0),CT64))</f>
        <v/>
      </c>
      <c r="CK64" s="109" t="str">
        <f>Montagem!CN40</f>
        <v/>
      </c>
      <c r="CL64" s="110" t="str">
        <f>Montagem!CO40</f>
        <v/>
      </c>
      <c r="CM64" s="110" t="str">
        <f>Montagem!CP40</f>
        <v/>
      </c>
      <c r="CN64" s="110" t="str">
        <f>Montagem!CQ40</f>
        <v/>
      </c>
      <c r="CO64" s="110" t="str">
        <f>Montagem!CR40</f>
        <v/>
      </c>
      <c r="CP64" s="110" t="str">
        <f>Montagem!CS40</f>
        <v/>
      </c>
      <c r="CQ64" s="114"/>
      <c r="CR64" s="111">
        <f>Montagem!CH40</f>
        <v>1</v>
      </c>
      <c r="CS64" s="111" t="str">
        <f>Montagem!CT40</f>
        <v/>
      </c>
      <c r="CT64" s="111" t="str">
        <f>Montagem!CI40</f>
        <v/>
      </c>
      <c r="CU64" s="145" t="str">
        <f>Montagem!CU40</f>
        <v/>
      </c>
      <c r="CV64" s="106" t="str">
        <f>IF(CU64="",CS64,CU64)</f>
        <v/>
      </c>
      <c r="CW64" s="106" t="str">
        <f>IF(CS65="C",'Dados de Base'!$D$5*0.1,IF(CS65="E",5,IF(CQ64="",CV64,CQ64)))</f>
        <v/>
      </c>
      <c r="CX64" s="108"/>
      <c r="CY64" s="115" t="str">
        <f>IF(DK64="","",HYPERLINK(OFFSET(Biblioteca!$B$2,MATCH(DK64,Biblioteca!$A$3:$A$200,0),0),DK64))</f>
        <v/>
      </c>
      <c r="DB64" s="130" t="str">
        <f>Montagem!DC40</f>
        <v/>
      </c>
      <c r="DC64" s="131" t="str">
        <f>Montagem!DD40</f>
        <v/>
      </c>
      <c r="DD64" s="131" t="str">
        <f>Montagem!DE40</f>
        <v/>
      </c>
      <c r="DE64" s="131" t="str">
        <f>Montagem!DF40</f>
        <v/>
      </c>
      <c r="DF64" s="131" t="str">
        <f>Montagem!DG40</f>
        <v/>
      </c>
      <c r="DG64" s="131" t="str">
        <f>Montagem!DH40</f>
        <v/>
      </c>
      <c r="DH64" s="114"/>
      <c r="DI64" s="111">
        <f>Montagem!CW40</f>
        <v>1</v>
      </c>
      <c r="DJ64" s="111" t="str">
        <f>Montagem!DI40</f>
        <v/>
      </c>
      <c r="DK64" s="111" t="str">
        <f>Montagem!CX40</f>
        <v/>
      </c>
      <c r="DL64" s="111" t="str">
        <f>Montagem!DJ40</f>
        <v/>
      </c>
      <c r="DM64" s="106" t="str">
        <f>IF(DL64="",DJ64,DL64)</f>
        <v/>
      </c>
      <c r="DN64" s="106" t="str">
        <f>IF(DJ65="C",'Dados de Base'!$D$5*0.1,IF(DJ65="E",5,IF(DH64="",DM64,DH64)))</f>
        <v/>
      </c>
      <c r="DO64" s="108"/>
      <c r="DP64" s="106"/>
      <c r="DQ64" s="106"/>
      <c r="DR64" s="106"/>
      <c r="DS64" s="106"/>
      <c r="DT64" s="106"/>
      <c r="DU64" s="106"/>
      <c r="DV64" s="106"/>
      <c r="DW64" s="106"/>
      <c r="DX64" s="106"/>
      <c r="DY64" s="106"/>
    </row>
    <row r="65">
      <c r="A65" s="117" t="str">
        <f>IF(A64="","",IFS(L65="A",Montagem!$C$30,N65="T","Realizar a maior quantidade de repetições por "&amp;F64&amp;" segundos | ",N65="I",IF(M65="U","Manter a posição por "&amp;F64&amp;" segundos de um lado e trocar para o outro na sequência | ","Manter a posição por "&amp;F64&amp;" segundos | "),M65="A","Realizar alternadamente "&amp;F64&amp;" repetições cada lado | ",M65="U","Realizar "&amp;F64&amp;" repetições de um lado e trocar para o outro na sequência | ",L65="P",OFFSET(Biblioteca!$H$2,MATCH(M64,Biblioteca!$A$3:$A$200,0),0),TRUE,"")&amp;IF(N65="R","Ajuste a carga para que tenha "&amp;$K$2&amp;" repetições de reserva",""))</f>
        <v/>
      </c>
      <c r="E65" s="118" t="str">
        <f>IF(A64="","",IFS(L65="H","Carga Sugerida: "&amp;ROUNDUP(O64/2,0)&amp;" kg de cada lado (Total: "&amp;ROUNDUP(O64/2,0)*2&amp;" kg)",L65="C","Este exercício usa o Peso Corporal como carga",L65="E","Este exercício usa a resistência da banda elástica como carga",L65="O","Carga Sugerida: "&amp;INT(O64)&amp;" kg",TRUE,""))</f>
        <v/>
      </c>
      <c r="J65" s="66"/>
      <c r="K65" s="106">
        <f>K64</f>
        <v>6</v>
      </c>
      <c r="L65" s="120" t="str">
        <f>LEFT(O65)</f>
        <v/>
      </c>
      <c r="M65" s="121" t="str">
        <f>MID(O65,2,1)</f>
        <v/>
      </c>
      <c r="N65" s="122" t="str">
        <f>RIGHT(O65)</f>
        <v/>
      </c>
      <c r="O65" s="123" t="str">
        <f>IF(M64="","",OFFSET(Biblioteca!$I$2,MATCH(M64,Biblioteca!$A$3:$A$200,0),0))</f>
        <v/>
      </c>
      <c r="P65" s="124"/>
      <c r="Q65" s="125"/>
      <c r="R65" s="117" t="str">
        <f>IF(R64="","",IFS(AC65="A",Montagem!$D$30,AE65="T","Realizar a maior quantidade de repetições por "&amp;W64&amp;" segundos | ",AE65="I",IF(AD65="U","Manter a posição por "&amp;W64&amp;" segundos de um lado e trocar para o outro na sequência | ","Manter a posição por "&amp;W64&amp;" segundos | "),AD65="A","Realizar alternadamente "&amp;W64&amp;" repetições cada lado | ",AD65="U","Realizar "&amp;W64&amp;" repetições de um lado e trocar para o outro na sequência | ",AC65="P",OFFSET(Biblioteca!$H$2,MATCH(AD64,Biblioteca!$A$3:$A$200,0),0),TRUE,"")&amp;IF(AE65="R","Ajuste a carga para que tenha "&amp;$K$2&amp;" repetições de reserva",""))</f>
        <v/>
      </c>
      <c r="V65" s="118" t="str">
        <f>IF(R64="","",IFS(AC65="H","Carga Sugerida: "&amp;ROUNDUP(AF64/2,0)&amp;" kg de cada lado (Total: "&amp;ROUNDUP(AF64/2,0)*2&amp;" kg)",AC65="C","Este exercício usa o Peso Corporal como carga",AC65="E","Este exercício usa a resistência da banda elástica como carga",AC65="O","Carga Sugerida: "&amp;INT(AF64)&amp;" kg",TRUE,""))</f>
        <v/>
      </c>
      <c r="AA65" s="66"/>
      <c r="AB65" s="126">
        <f>AB64</f>
        <v>6</v>
      </c>
      <c r="AC65" s="120" t="str">
        <f>LEFT(AF65)</f>
        <v/>
      </c>
      <c r="AD65" s="121" t="str">
        <f>MID(AF65,2,1)</f>
        <v/>
      </c>
      <c r="AE65" s="122" t="str">
        <f>RIGHT(AF65)</f>
        <v/>
      </c>
      <c r="AF65" s="123" t="str">
        <f>IF(AD64="","",OFFSET(Biblioteca!$I$2,MATCH(AD64,Biblioteca!$A$3:$A$200,0),0))</f>
        <v/>
      </c>
      <c r="AG65" s="124"/>
      <c r="AH65" s="125"/>
      <c r="AI65" s="117" t="str">
        <f>IF(AI64="","",IFS(AT65="A",Montagem!$E$30,AV65="T","Realizar a maior quantidade de repetições por "&amp;AN64&amp;" segundos | ",AV65="I",IF(AU65="U","Manter a posição por "&amp;AN64&amp;" segundos de um lado e trocar para o outro na sequência | ","Manter a posição por "&amp;AN64&amp;" segundos | "),AU65="A","Realizar alternadamente "&amp;AN64&amp;" repetições cada lado | ",AU65="U","Realizar "&amp;AN64&amp;" repetições de um lado e trocar para o outro na sequência | ",AT65="P",OFFSET(Biblioteca!$H$2,MATCH(AU64,Biblioteca!$A$3:$A$200,0),0),TRUE,"")&amp;IF(AV65="R","Ajuste a carga para que tenha "&amp;$K$2&amp;" repetições de reserva",""))</f>
        <v/>
      </c>
      <c r="AM65" s="118" t="str">
        <f>IF(AI64="","",IFS(AT65="H","Carga Sugerida: "&amp;ROUNDUP(AW64/2,0)&amp;" kg de cada lado (Total: "&amp;ROUNDUP(AW64/2,0)*2&amp;" kg)",AT65="C","Este exercício usa o Peso Corporal como carga",AT65="E","Este exercício usa a resistência da banda elástica como carga",AT65="O","Carga Sugerida: "&amp;INT(AW64)&amp;" kg",TRUE,""))</f>
        <v/>
      </c>
      <c r="AR65" s="66"/>
      <c r="AS65" s="126">
        <f>AS64</f>
        <v>1</v>
      </c>
      <c r="AT65" s="120" t="str">
        <f>LEFT(AW65)</f>
        <v/>
      </c>
      <c r="AU65" s="121" t="str">
        <f>MID(AW65,2,1)</f>
        <v/>
      </c>
      <c r="AV65" s="122" t="str">
        <f>RIGHT(AW65)</f>
        <v/>
      </c>
      <c r="AW65" s="123" t="str">
        <f>IF(AU64="","",OFFSET(Biblioteca!$I$2,MATCH(AU64,Biblioteca!$A$3:$A$200,0),0))</f>
        <v/>
      </c>
      <c r="AX65" s="124"/>
      <c r="AY65" s="125"/>
      <c r="AZ65" s="117" t="str">
        <f>IF(AZ64="","",IFS(BK65="A",Montagem!$F$30,BM65="T","Realizar a maior quantidade de repetições por "&amp;BE64&amp;" segundos | ",BM65="I",IF(BL65="U","Manter a posição por "&amp;BE64&amp;" segundos de um lado e trocar para o outro na sequência | ","Manter a posição por "&amp;BE64&amp;" segundos | "),BL65="A","Realizar alternadamente "&amp;BE64&amp;" repetições cada lado | ",BL65="U","Realizar "&amp;BE64&amp;" repetições de um lado e trocar para o outro na sequência | ",BK65="P",OFFSET(Biblioteca!$H$2,MATCH(BL64,Biblioteca!$A$3:$A$200,0),0),TRUE,"")&amp;IF(BM65="R","Ajuste a carga para que tenha "&amp;$K$2&amp;" repetições de reserva",""))</f>
        <v/>
      </c>
      <c r="BD65" s="118" t="str">
        <f>IF(AZ64="","",IFS(BK65="H","Carga Sugerida: "&amp;ROUNDUP(BN64/2,0)&amp;" kg de cada lado (Total: "&amp;ROUNDUP(BN64/2,0)*2&amp;" kg)",BK65="C","Este exercício usa o Peso Corporal como carga",BK65="E","Este exercício usa a resistência da banda elástica como carga",BK65="O","Carga Sugerida: "&amp;INT(BN64)&amp;" kg",TRUE,""))</f>
        <v/>
      </c>
      <c r="BI65" s="66"/>
      <c r="BJ65" s="126">
        <f>BJ64</f>
        <v>7</v>
      </c>
      <c r="BK65" s="120" t="str">
        <f>LEFT(BN65)</f>
        <v/>
      </c>
      <c r="BL65" s="121" t="str">
        <f>MID(BN65,2,1)</f>
        <v/>
      </c>
      <c r="BM65" s="122" t="str">
        <f>RIGHT(BN65)</f>
        <v/>
      </c>
      <c r="BN65" s="123" t="str">
        <f>IF(BL64="","",OFFSET(Biblioteca!$I$2,MATCH(BL64,Biblioteca!$A$3:$A$200,0),0))</f>
        <v/>
      </c>
      <c r="BO65" s="124"/>
      <c r="BP65" s="125"/>
      <c r="BQ65" s="117" t="str">
        <f>IF(BQ64="","",IFS(CB65="A",Montagem!$G$30,CD65="T","Realizar a maior quantidade de repetições por "&amp;BV64&amp;" segundos | ",CD65="I",IF(CC65="U","Manter a posição por "&amp;BV64&amp;" segundos de um lado e trocar para o outro na sequência | ","Manter a posição por "&amp;BV64&amp;" segundos | "),CC65="A","Realizar alternadamente "&amp;BV64&amp;" repetições cada lado | ",CC65="U","Realizar "&amp;BV64&amp;" repetições de um lado e trocar para o outro na sequência | ",CB65="P",OFFSET(Biblioteca!$H$2,MATCH(CC64,Biblioteca!$A$3:$A$200,0),0),TRUE,"")&amp;IF(CD65="R","Ajuste a carga para que tenha "&amp;$K$2&amp;" repetições de reserva",""))</f>
        <v/>
      </c>
      <c r="BU65" s="118" t="str">
        <f>IF(BQ64="","",IFS(CB65="H","Carga Sugerida: "&amp;ROUNDUP(CE64/2,0)&amp;" kg de cada lado (Total: "&amp;ROUNDUP(CE64/2,0)*2&amp;" kg)",CB65="C","Este exercício usa o Peso Corporal como carga",CB65="E","Este exercício usa a resistência da banda elástica como carga",CB65="O","Carga Sugerida: "&amp;INT(CE64)&amp;" kg",TRUE,""))</f>
        <v/>
      </c>
      <c r="BZ65" s="66"/>
      <c r="CA65" s="126">
        <f>CA64</f>
        <v>6</v>
      </c>
      <c r="CB65" s="120" t="str">
        <f>LEFT(CE65)</f>
        <v/>
      </c>
      <c r="CC65" s="121" t="str">
        <f>MID(CE65,2,1)</f>
        <v/>
      </c>
      <c r="CD65" s="122" t="str">
        <f>RIGHT(CE65)</f>
        <v/>
      </c>
      <c r="CE65" s="123" t="str">
        <f>IF(CC64="","",OFFSET(Biblioteca!$I$2,MATCH(CC64,Biblioteca!$A$3:$A$200,0),0))</f>
        <v/>
      </c>
      <c r="CF65" s="124"/>
      <c r="CG65" s="125"/>
      <c r="CH65" s="117" t="str">
        <f>IF(CH64="","",IFS(CS65="A",Montagem!$H$30,CU65="T","Realizar a maior quantidade de repetições por "&amp;CM64&amp;" segundos | ",CU65="I",IF(CT65="U","Manter a posição por "&amp;CM64&amp;" segundos de um lado e trocar para o outro na sequência | ","Manter a posição por "&amp;CM64&amp;" segundos | "),CT65="A","Realizar alternadamente "&amp;CM64&amp;" repetições cada lado | ",CT65="U","Realizar "&amp;CM64&amp;" repetições de um lado e trocar para o outro na sequência | ",CS65="P",OFFSET(Biblioteca!$H$2,MATCH(CT64,Biblioteca!$A$3:$A$200,0),0),TRUE,"")&amp;IF(CU65="R","Ajuste a carga para que tenha "&amp;$K$2&amp;" repetições de reserva",""))</f>
        <v/>
      </c>
      <c r="CL65" s="118" t="str">
        <f>IF(CH64="","",IFS(CS65="H","Carga Sugerida: "&amp;ROUNDUP(CV64/2,0)&amp;" kg de cada lado (Total: "&amp;ROUNDUP(CV64/2,0)*2&amp;" kg)",CS65="C","Este exercício usa o Peso Corporal como carga",CS65="E","Este exercício usa a resistência da banda elástica como carga",CS65="O","Carga Sugerida: "&amp;INT(CV64)&amp;" kg",TRUE,""))</f>
        <v/>
      </c>
      <c r="CQ65" s="66"/>
      <c r="CR65" s="126">
        <f>CR64</f>
        <v>1</v>
      </c>
      <c r="CS65" s="120" t="str">
        <f>LEFT(CV65)</f>
        <v/>
      </c>
      <c r="CT65" s="121" t="str">
        <f>MID(CV65,2,1)</f>
        <v/>
      </c>
      <c r="CU65" s="122" t="str">
        <f>RIGHT(CV65)</f>
        <v/>
      </c>
      <c r="CV65" s="123" t="str">
        <f>IF(CT64="","",OFFSET(Biblioteca!$I$2,MATCH(CT64,Biblioteca!$A$3:$A$200,0),0))</f>
        <v/>
      </c>
      <c r="CW65" s="124"/>
      <c r="CX65" s="125"/>
      <c r="CY65" s="117" t="str">
        <f>IF(CY64="","",IFS(DJ65="A",Montagem!$I$30,DL65="T","Realizar a maior quantidade de repetições por "&amp;DD64&amp;" segundos | ",DL65="I",IF(DK65="U","Manter a posição por "&amp;DD64&amp;" segundos de um lado e trocar para o outro na sequência | ","Manter a posição por "&amp;DD64&amp;" segundos | "),DK65="A","Realizar alternadamente "&amp;DD64&amp;" repetições cada lado | ",DK65="U","Realizar "&amp;DD64&amp;" repetições de um lado e trocar para o outro na sequência | ",DJ65="P",OFFSET(Biblioteca!$H$2,MATCH(DK64,Biblioteca!$A$3:$A$200,0),0),TRUE,"")&amp;IF(DL65="R","Ajuste a carga para que tenha "&amp;$K$2&amp;" repetições de reserva",""))</f>
        <v/>
      </c>
      <c r="DC65" s="118" t="str">
        <f>IF(CY64="","",IFS(DJ65="H","Carga Sugerida: "&amp;ROUNDUP(DM64/2,0)&amp;" kg de cada lado (Total: "&amp;ROUNDUP(DM64/2,0)*2&amp;" kg)",DJ65="C","Este exercício usa o Peso Corporal como carga",DJ65="E","Este exercício usa a resistência da banda elástica como carga",DJ65="O","Carga Sugerida: "&amp;INT(DM64)&amp;" kg",TRUE,""))</f>
        <v/>
      </c>
      <c r="DH65" s="66"/>
      <c r="DI65" s="126">
        <f>DI64</f>
        <v>1</v>
      </c>
      <c r="DJ65" s="120" t="str">
        <f>LEFT(DM65)</f>
        <v/>
      </c>
      <c r="DK65" s="121" t="str">
        <f>MID(DM65,2,1)</f>
        <v/>
      </c>
      <c r="DL65" s="122" t="str">
        <f>RIGHT(DM65)</f>
        <v/>
      </c>
      <c r="DM65" s="123" t="str">
        <f>IF(DK64="","",OFFSET(Biblioteca!$I$2,MATCH(DK64,Biblioteca!$A$3:$A$200,0),0))</f>
        <v/>
      </c>
      <c r="DN65" s="124"/>
      <c r="DO65" s="125"/>
      <c r="DP65" s="142"/>
      <c r="DQ65" s="56"/>
      <c r="DR65" s="56"/>
      <c r="DS65" s="56"/>
      <c r="DT65" s="56"/>
      <c r="DU65" s="56"/>
      <c r="DV65" s="56"/>
      <c r="DW65" s="56"/>
      <c r="DX65" s="56"/>
      <c r="DY65" s="56"/>
    </row>
    <row r="66">
      <c r="A66" s="90" t="s">
        <v>48</v>
      </c>
      <c r="J66" s="66"/>
      <c r="K66" s="142"/>
      <c r="L66" s="138"/>
      <c r="M66" s="138"/>
      <c r="N66" s="138"/>
      <c r="O66" s="57" t="str">
        <f>IF(N66="",L66,N66)</f>
        <v/>
      </c>
      <c r="P66" s="57"/>
      <c r="Q66" s="153"/>
      <c r="R66" s="90" t="s">
        <v>48</v>
      </c>
      <c r="AA66" s="66"/>
      <c r="AB66" s="138"/>
      <c r="AC66" s="138"/>
      <c r="AD66" s="138"/>
      <c r="AE66" s="138"/>
      <c r="AF66" s="57" t="str">
        <f>IF(AE66="",AC66,AE66)</f>
        <v/>
      </c>
      <c r="AG66" s="57"/>
      <c r="AH66" s="153"/>
      <c r="AI66" s="90" t="s">
        <v>48</v>
      </c>
      <c r="AR66" s="66"/>
      <c r="AS66" s="138"/>
      <c r="AT66" s="138"/>
      <c r="AU66" s="138"/>
      <c r="AV66" s="138"/>
      <c r="AW66" s="57" t="str">
        <f>IF(AV66="",AT66,AV66)</f>
        <v/>
      </c>
      <c r="AX66" s="57"/>
      <c r="AY66" s="153"/>
      <c r="AZ66" s="90" t="s">
        <v>48</v>
      </c>
      <c r="BI66" s="66"/>
      <c r="BJ66" s="138"/>
      <c r="BK66" s="138"/>
      <c r="BL66" s="138"/>
      <c r="BM66" s="138"/>
      <c r="BN66" s="57" t="str">
        <f>IF(BM66="",BK66,BM66)</f>
        <v/>
      </c>
      <c r="BO66" s="57"/>
      <c r="BP66" s="153"/>
      <c r="BQ66" s="90" t="s">
        <v>48</v>
      </c>
      <c r="BZ66" s="66"/>
      <c r="CA66" s="138"/>
      <c r="CB66" s="138"/>
      <c r="CC66" s="138"/>
      <c r="CD66" s="138"/>
      <c r="CE66" s="57" t="str">
        <f>IF(CD66="",CB66,CD66)</f>
        <v/>
      </c>
      <c r="CF66" s="57"/>
      <c r="CG66" s="153"/>
      <c r="CH66" s="90" t="s">
        <v>48</v>
      </c>
      <c r="CQ66" s="66"/>
      <c r="CR66" s="138"/>
      <c r="CS66" s="138"/>
      <c r="CT66" s="138"/>
      <c r="CU66" s="138"/>
      <c r="CV66" s="57" t="str">
        <f>IF(CU66="",CS66,CU66)</f>
        <v/>
      </c>
      <c r="CW66" s="57"/>
      <c r="CX66" s="153"/>
      <c r="CY66" s="90" t="s">
        <v>48</v>
      </c>
      <c r="DH66" s="66"/>
      <c r="DI66" s="138"/>
      <c r="DJ66" s="138"/>
      <c r="DK66" s="138"/>
      <c r="DL66" s="138"/>
      <c r="DM66" s="57" t="str">
        <f>IF(DL66="",DJ66,DL66)</f>
        <v/>
      </c>
      <c r="DN66" s="57"/>
      <c r="DO66" s="153"/>
      <c r="DP66" s="142"/>
      <c r="DQ66" s="56"/>
      <c r="DR66" s="56"/>
      <c r="DS66" s="56"/>
      <c r="DT66" s="56"/>
      <c r="DU66" s="56"/>
      <c r="DV66" s="56"/>
      <c r="DW66" s="56"/>
      <c r="DX66" s="56"/>
      <c r="DY66" s="56"/>
    </row>
    <row r="67">
      <c r="A67" s="96" t="s">
        <v>31</v>
      </c>
      <c r="D67" s="97" t="s">
        <v>32</v>
      </c>
      <c r="E67" s="98" t="s">
        <v>33</v>
      </c>
      <c r="F67" s="98" t="s">
        <v>34</v>
      </c>
      <c r="G67" s="98" t="s">
        <v>35</v>
      </c>
      <c r="H67" s="98" t="s">
        <v>36</v>
      </c>
      <c r="I67" s="98" t="s">
        <v>37</v>
      </c>
      <c r="J67" s="99" t="s">
        <v>38</v>
      </c>
      <c r="K67" s="142" t="str">
        <f>K66</f>
        <v/>
      </c>
      <c r="L67" s="138"/>
      <c r="M67" s="138"/>
      <c r="N67" s="138"/>
      <c r="O67" s="138"/>
      <c r="P67" s="138"/>
      <c r="Q67" s="153"/>
      <c r="R67" s="96" t="s">
        <v>31</v>
      </c>
      <c r="U67" s="139" t="s">
        <v>32</v>
      </c>
      <c r="V67" s="140" t="s">
        <v>33</v>
      </c>
      <c r="W67" s="140" t="s">
        <v>34</v>
      </c>
      <c r="X67" s="140" t="s">
        <v>35</v>
      </c>
      <c r="Y67" s="140" t="s">
        <v>36</v>
      </c>
      <c r="Z67" s="140" t="s">
        <v>37</v>
      </c>
      <c r="AA67" s="141" t="s">
        <v>38</v>
      </c>
      <c r="AB67" s="138" t="str">
        <f>AB66</f>
        <v/>
      </c>
      <c r="AC67" s="138"/>
      <c r="AD67" s="138"/>
      <c r="AE67" s="138"/>
      <c r="AF67" s="138"/>
      <c r="AG67" s="138"/>
      <c r="AH67" s="153"/>
      <c r="AI67" s="96" t="s">
        <v>31</v>
      </c>
      <c r="AL67" s="139" t="s">
        <v>32</v>
      </c>
      <c r="AM67" s="140" t="s">
        <v>33</v>
      </c>
      <c r="AN67" s="140" t="s">
        <v>34</v>
      </c>
      <c r="AO67" s="140" t="s">
        <v>35</v>
      </c>
      <c r="AP67" s="140" t="s">
        <v>36</v>
      </c>
      <c r="AQ67" s="140" t="s">
        <v>37</v>
      </c>
      <c r="AR67" s="141" t="s">
        <v>38</v>
      </c>
      <c r="AS67" s="138"/>
      <c r="AT67" s="138"/>
      <c r="AU67" s="138"/>
      <c r="AV67" s="138"/>
      <c r="AW67" s="138"/>
      <c r="AX67" s="138"/>
      <c r="AY67" s="153"/>
      <c r="AZ67" s="96" t="s">
        <v>31</v>
      </c>
      <c r="BC67" s="139" t="s">
        <v>32</v>
      </c>
      <c r="BD67" s="140" t="s">
        <v>33</v>
      </c>
      <c r="BE67" s="140" t="s">
        <v>34</v>
      </c>
      <c r="BF67" s="140" t="s">
        <v>35</v>
      </c>
      <c r="BG67" s="140" t="s">
        <v>36</v>
      </c>
      <c r="BH67" s="140" t="s">
        <v>37</v>
      </c>
      <c r="BI67" s="141" t="s">
        <v>38</v>
      </c>
      <c r="BJ67" s="138"/>
      <c r="BK67" s="138"/>
      <c r="BL67" s="138"/>
      <c r="BM67" s="138"/>
      <c r="BN67" s="138"/>
      <c r="BO67" s="138"/>
      <c r="BP67" s="153"/>
      <c r="BQ67" s="96" t="s">
        <v>31</v>
      </c>
      <c r="BT67" s="139" t="s">
        <v>32</v>
      </c>
      <c r="BU67" s="140" t="s">
        <v>33</v>
      </c>
      <c r="BV67" s="140" t="s">
        <v>34</v>
      </c>
      <c r="BW67" s="140" t="s">
        <v>35</v>
      </c>
      <c r="BX67" s="140" t="s">
        <v>36</v>
      </c>
      <c r="BY67" s="140" t="s">
        <v>37</v>
      </c>
      <c r="BZ67" s="141" t="s">
        <v>38</v>
      </c>
      <c r="CA67" s="138"/>
      <c r="CB67" s="138"/>
      <c r="CC67" s="138"/>
      <c r="CD67" s="138"/>
      <c r="CE67" s="138"/>
      <c r="CF67" s="138"/>
      <c r="CG67" s="153"/>
      <c r="CH67" s="96" t="s">
        <v>31</v>
      </c>
      <c r="CK67" s="139" t="s">
        <v>32</v>
      </c>
      <c r="CL67" s="140" t="s">
        <v>33</v>
      </c>
      <c r="CM67" s="140" t="s">
        <v>34</v>
      </c>
      <c r="CN67" s="140" t="s">
        <v>35</v>
      </c>
      <c r="CO67" s="140" t="s">
        <v>36</v>
      </c>
      <c r="CP67" s="140" t="s">
        <v>37</v>
      </c>
      <c r="CQ67" s="141" t="s">
        <v>38</v>
      </c>
      <c r="CR67" s="138"/>
      <c r="CS67" s="138"/>
      <c r="CT67" s="138"/>
      <c r="CU67" s="138"/>
      <c r="CV67" s="138"/>
      <c r="CW67" s="138"/>
      <c r="CX67" s="153"/>
      <c r="CY67" s="96" t="s">
        <v>31</v>
      </c>
      <c r="DB67" s="139" t="s">
        <v>32</v>
      </c>
      <c r="DC67" s="140" t="s">
        <v>33</v>
      </c>
      <c r="DD67" s="140" t="s">
        <v>34</v>
      </c>
      <c r="DE67" s="140" t="s">
        <v>35</v>
      </c>
      <c r="DF67" s="140" t="s">
        <v>36</v>
      </c>
      <c r="DG67" s="140" t="s">
        <v>37</v>
      </c>
      <c r="DH67" s="141" t="s">
        <v>38</v>
      </c>
      <c r="DI67" s="138"/>
      <c r="DJ67" s="138"/>
      <c r="DK67" s="138"/>
      <c r="DL67" s="138"/>
      <c r="DM67" s="138"/>
      <c r="DN67" s="138"/>
      <c r="DO67" s="153"/>
      <c r="DP67" s="57"/>
      <c r="DQ67" s="56"/>
      <c r="DR67" s="56"/>
      <c r="DS67" s="56"/>
      <c r="DT67" s="56"/>
      <c r="DU67" s="56"/>
      <c r="DV67" s="56"/>
      <c r="DW67" s="56"/>
      <c r="DX67" s="56"/>
      <c r="DY67" s="56"/>
    </row>
    <row r="68">
      <c r="A68" s="115" t="str">
        <f>IF(M68="","",HYPERLINK(OFFSET(Biblioteca!$B$2,MATCH(M68,Biblioteca!$A$3:$A$200,0),0),M68))</f>
        <v/>
      </c>
      <c r="D68" s="103" t="str">
        <f>Montagem!Q42</f>
        <v/>
      </c>
      <c r="E68" s="104" t="str">
        <f>Montagem!R42</f>
        <v/>
      </c>
      <c r="F68" s="104" t="str">
        <f>Montagem!S42</f>
        <v/>
      </c>
      <c r="G68" s="104" t="str">
        <f>Montagem!T42</f>
        <v/>
      </c>
      <c r="H68" s="104" t="str">
        <f>Montagem!U42</f>
        <v/>
      </c>
      <c r="I68" s="104" t="str">
        <f>Montagem!V42</f>
        <v/>
      </c>
      <c r="J68" s="144"/>
      <c r="K68" s="106">
        <f>Montagem!K42</f>
        <v>1</v>
      </c>
      <c r="L68" s="111" t="str">
        <f>Montagem!W42</f>
        <v/>
      </c>
      <c r="M68" s="111" t="str">
        <f>Montagem!L42</f>
        <v/>
      </c>
      <c r="N68" s="111" t="str">
        <f>Montagem!X42</f>
        <v/>
      </c>
      <c r="O68" s="106" t="str">
        <f>IF(N68="",L68,N68)</f>
        <v/>
      </c>
      <c r="P68" s="106" t="str">
        <f>IF(L69="C",'Dados de Base'!$D$5*0.1,IF(L69="E",5,IF(J68="",O68,J68)))</f>
        <v/>
      </c>
      <c r="Q68" s="108"/>
      <c r="R68" s="115" t="str">
        <f>IF(AD68="","",HYPERLINK(OFFSET(Biblioteca!$B$2,MATCH(AD68,Biblioteca!$A$3:$A$200,0),0),AD68))</f>
        <v/>
      </c>
      <c r="U68" s="109" t="str">
        <f>Montagem!AF42</f>
        <v/>
      </c>
      <c r="V68" s="110" t="str">
        <f>Montagem!AG42</f>
        <v/>
      </c>
      <c r="W68" s="110" t="str">
        <f>Montagem!AH42</f>
        <v/>
      </c>
      <c r="X68" s="110" t="str">
        <f>Montagem!AI42</f>
        <v/>
      </c>
      <c r="Y68" s="110" t="str">
        <f>Montagem!AJ42</f>
        <v/>
      </c>
      <c r="Z68" s="110" t="str">
        <f>Montagem!AK42</f>
        <v/>
      </c>
      <c r="AA68" s="114"/>
      <c r="AB68" s="111">
        <f>Montagem!Z42</f>
        <v>1</v>
      </c>
      <c r="AC68" s="111" t="str">
        <f>Montagem!AL42</f>
        <v/>
      </c>
      <c r="AD68" s="129" t="str">
        <f>Montagem!AA42</f>
        <v/>
      </c>
      <c r="AE68" s="111" t="str">
        <f>Montagem!AM42</f>
        <v/>
      </c>
      <c r="AF68" s="106" t="str">
        <f>IF(AE68="",AC68,AE68)</f>
        <v/>
      </c>
      <c r="AG68" s="106" t="str">
        <f>IF(AC69="C",'Dados de Base'!$D$5*0.1,IF(AC69="E",5,IF(AA68="",AF68,AA68)))</f>
        <v/>
      </c>
      <c r="AH68" s="108"/>
      <c r="AI68" s="115" t="str">
        <f>IF(AU68="","",HYPERLINK(OFFSET(Biblioteca!$B$2,MATCH(AU68,Biblioteca!$A$3:$A$200,0),0),AU68))</f>
        <v/>
      </c>
      <c r="AL68" s="109" t="str">
        <f>Montagem!AU42</f>
        <v/>
      </c>
      <c r="AM68" s="110" t="str">
        <f>Montagem!AV42</f>
        <v/>
      </c>
      <c r="AN68" s="110" t="str">
        <f>Montagem!AW42</f>
        <v/>
      </c>
      <c r="AO68" s="110" t="str">
        <f>Montagem!AX42</f>
        <v/>
      </c>
      <c r="AP68" s="110" t="str">
        <f>Montagem!AY42</f>
        <v/>
      </c>
      <c r="AQ68" s="110" t="str">
        <f>Montagem!AZ42</f>
        <v/>
      </c>
      <c r="AR68" s="114"/>
      <c r="AS68" s="111">
        <f>Montagem!AO42</f>
        <v>1</v>
      </c>
      <c r="AT68" s="111" t="str">
        <f>Montagem!BA42</f>
        <v/>
      </c>
      <c r="AU68" s="111" t="str">
        <f>Montagem!AP42</f>
        <v/>
      </c>
      <c r="AV68" s="111" t="str">
        <f>Montagem!BB42</f>
        <v/>
      </c>
      <c r="AW68" s="106" t="str">
        <f>IF(AV68="",AT68,AV68)</f>
        <v/>
      </c>
      <c r="AX68" s="106" t="str">
        <f>IF(AT69="C",'Dados de Base'!$D$5*0.1,IF(AT69="E",5,IF(AR68="",AW68,AR68)))</f>
        <v/>
      </c>
      <c r="AY68" s="108"/>
      <c r="AZ68" s="115" t="str">
        <f>IF(BL68="","",HYPERLINK(OFFSET(Biblioteca!$B$2,MATCH(BL68,Biblioteca!$A$3:$A$200,0),0),BL68))</f>
        <v/>
      </c>
      <c r="BC68" s="109" t="str">
        <f>Montagem!BJ42</f>
        <v/>
      </c>
      <c r="BD68" s="110" t="str">
        <f>Montagem!BK42</f>
        <v/>
      </c>
      <c r="BE68" s="110" t="str">
        <f>Montagem!BL42</f>
        <v/>
      </c>
      <c r="BF68" s="110" t="str">
        <f>Montagem!BM42</f>
        <v/>
      </c>
      <c r="BG68" s="110" t="str">
        <f>Montagem!BN42</f>
        <v/>
      </c>
      <c r="BH68" s="110" t="str">
        <f>Montagem!BO42</f>
        <v/>
      </c>
      <c r="BI68" s="114"/>
      <c r="BJ68" s="111">
        <f>Montagem!BD42</f>
        <v>1</v>
      </c>
      <c r="BK68" s="111" t="str">
        <f>Montagem!BP42</f>
        <v/>
      </c>
      <c r="BL68" s="111" t="str">
        <f>Montagem!BE42</f>
        <v/>
      </c>
      <c r="BM68" s="111" t="str">
        <f>Montagem!BQ42</f>
        <v/>
      </c>
      <c r="BN68" s="106" t="str">
        <f>IF(BM68="",BK68,BM68)</f>
        <v/>
      </c>
      <c r="BO68" s="106" t="str">
        <f>IF(BK69="C",'Dados de Base'!$D$5*0.1,IF(BK69="E",5,IF(BI68="",BN68,BI68)))</f>
        <v/>
      </c>
      <c r="BP68" s="108"/>
      <c r="BQ68" s="115" t="str">
        <f>IF(CC68="","",HYPERLINK(OFFSET(Biblioteca!$B$2,MATCH(CC68,Biblioteca!$A$3:$A$200,0),0),CC68))</f>
        <v/>
      </c>
      <c r="BT68" s="109" t="str">
        <f>Montagem!BY42</f>
        <v/>
      </c>
      <c r="BU68" s="110" t="str">
        <f>Montagem!BZ42</f>
        <v/>
      </c>
      <c r="BV68" s="110" t="str">
        <f>Montagem!CA42</f>
        <v/>
      </c>
      <c r="BW68" s="110" t="str">
        <f>Montagem!CB42</f>
        <v/>
      </c>
      <c r="BX68" s="110" t="str">
        <f>Montagem!CC42</f>
        <v/>
      </c>
      <c r="BY68" s="110" t="str">
        <f>Montagem!CD42</f>
        <v/>
      </c>
      <c r="BZ68" s="114"/>
      <c r="CA68" s="111">
        <f>Montagem!BS42</f>
        <v>1</v>
      </c>
      <c r="CB68" s="111" t="str">
        <f>Montagem!CE42</f>
        <v/>
      </c>
      <c r="CC68" s="111" t="str">
        <f>Montagem!BT42</f>
        <v/>
      </c>
      <c r="CD68" s="111" t="str">
        <f>Montagem!CF42</f>
        <v/>
      </c>
      <c r="CE68" s="106" t="str">
        <f>IF(CD68="",CB68,CD68)</f>
        <v/>
      </c>
      <c r="CF68" s="106" t="str">
        <f>IF(CB69="C",'Dados de Base'!$D$5*0.1,IF(CB69="E",5,IF(BZ68="",CE68,BZ68)))</f>
        <v/>
      </c>
      <c r="CG68" s="108"/>
      <c r="CH68" s="115" t="str">
        <f>IF(CT68="","",HYPERLINK(OFFSET(Biblioteca!$B$2,MATCH(CT68,Biblioteca!$A$3:$A$200,0),0),CT68))</f>
        <v/>
      </c>
      <c r="CK68" s="109" t="str">
        <f>Montagem!CN42</f>
        <v/>
      </c>
      <c r="CL68" s="110" t="str">
        <f>Montagem!CO42</f>
        <v/>
      </c>
      <c r="CM68" s="110" t="str">
        <f>Montagem!CP42</f>
        <v/>
      </c>
      <c r="CN68" s="110" t="str">
        <f>Montagem!CQ42</f>
        <v/>
      </c>
      <c r="CO68" s="110" t="str">
        <f>Montagem!CR42</f>
        <v/>
      </c>
      <c r="CP68" s="110" t="str">
        <f>Montagem!CS42</f>
        <v/>
      </c>
      <c r="CQ68" s="114"/>
      <c r="CR68" s="111">
        <f>Montagem!CH42</f>
        <v>1</v>
      </c>
      <c r="CS68" s="111" t="str">
        <f>Montagem!CT42</f>
        <v/>
      </c>
      <c r="CT68" s="111" t="str">
        <f>Montagem!CI42</f>
        <v/>
      </c>
      <c r="CU68" s="145" t="str">
        <f>Montagem!CU42</f>
        <v/>
      </c>
      <c r="CV68" s="106" t="str">
        <f>IF(CU68="",CS68,CU68)</f>
        <v/>
      </c>
      <c r="CW68" s="106" t="str">
        <f>IF(CS69="C",'Dados de Base'!$D$5*0.1,IF(CS69="E",5,IF(CQ68="",CV68,CQ68)))</f>
        <v/>
      </c>
      <c r="CX68" s="108"/>
      <c r="CY68" s="115" t="str">
        <f>IF(DK68="","",HYPERLINK(OFFSET(Biblioteca!$B$2,MATCH(DK68,Biblioteca!$A$3:$A$200,0),0),DK68))</f>
        <v/>
      </c>
      <c r="DB68" s="130" t="str">
        <f>Montagem!DC42</f>
        <v/>
      </c>
      <c r="DC68" s="131" t="str">
        <f>Montagem!DD42</f>
        <v/>
      </c>
      <c r="DD68" s="131" t="str">
        <f>Montagem!DE42</f>
        <v/>
      </c>
      <c r="DE68" s="131" t="str">
        <f>Montagem!DF42</f>
        <v/>
      </c>
      <c r="DF68" s="131" t="str">
        <f>Montagem!DG42</f>
        <v/>
      </c>
      <c r="DG68" s="131" t="str">
        <f>Montagem!DH42</f>
        <v/>
      </c>
      <c r="DH68" s="114"/>
      <c r="DI68" s="111">
        <f>Montagem!CW42</f>
        <v>1</v>
      </c>
      <c r="DJ68" s="111" t="str">
        <f>Montagem!DI42</f>
        <v/>
      </c>
      <c r="DK68" s="111" t="str">
        <f>Montagem!CX42</f>
        <v/>
      </c>
      <c r="DL68" s="145" t="str">
        <f>Montagem!DJ42</f>
        <v/>
      </c>
      <c r="DM68" s="106" t="str">
        <f>IF(DL68="",DJ68,DL68)</f>
        <v/>
      </c>
      <c r="DN68" s="106" t="str">
        <f>IF(DJ69="C",'Dados de Base'!$D$5*0.1,IF(DJ69="E",5,IF(DH68="",DM68,DH68)))</f>
        <v/>
      </c>
      <c r="DO68" s="108"/>
      <c r="DP68" s="106"/>
      <c r="DQ68" s="106"/>
      <c r="DR68" s="106"/>
      <c r="DS68" s="106"/>
      <c r="DT68" s="106"/>
      <c r="DU68" s="106"/>
      <c r="DV68" s="106"/>
      <c r="DW68" s="106"/>
      <c r="DX68" s="106"/>
      <c r="DY68" s="106"/>
    </row>
    <row r="69">
      <c r="A69" s="117" t="str">
        <f>IF(A68="","",IFS(L69="A",Montagem!$C$30,N69="T","Realizar a maior quantidade de repetições por "&amp;F68&amp;" segundos | ",N69="I",IF(M69="U","Manter a posição por "&amp;F68&amp;" segundos de um lado e trocar para o outro na sequência | ","Manter a posição por "&amp;F68&amp;" segundos | "),M69="A","Realizar alternadamente "&amp;F68&amp;" repetições cada lado | ",M69="U","Realizar "&amp;F68&amp;" repetições de um lado e trocar para o outro na sequência | ",L69="P",OFFSET(Biblioteca!$H$2,MATCH(M68,Biblioteca!$A$3:$A$200,0),0),TRUE,""))</f>
        <v/>
      </c>
      <c r="E69" s="118" t="str">
        <f>IF(A68="","",IFS(L69="H","Carga Sugerida: "&amp;ROUNDUP(O68/2,0)&amp;" kg de cada lado (Total: "&amp;ROUNDUP(O68/2,0)*2&amp;" kg)",L69="C","Este exercício usa o Peso Corporal como carga",L69="E","Este exercício usa a resistência da banda elástica como carga",L69="O","Carga Sugerida: "&amp;INT(O68)&amp;" kg",TRUE,""))</f>
        <v/>
      </c>
      <c r="J69" s="66"/>
      <c r="K69" s="106">
        <f>K68</f>
        <v>1</v>
      </c>
      <c r="L69" s="120" t="str">
        <f>LEFT(O69)</f>
        <v/>
      </c>
      <c r="M69" s="121" t="str">
        <f>MID(O69,2,1)</f>
        <v/>
      </c>
      <c r="N69" s="122" t="str">
        <f>RIGHT(O69)</f>
        <v/>
      </c>
      <c r="O69" s="123" t="str">
        <f>IF(M68="","",OFFSET(Biblioteca!$I$2,MATCH(M68,Biblioteca!$A$3:$A$200,0),0))</f>
        <v/>
      </c>
      <c r="P69" s="124"/>
      <c r="Q69" s="125"/>
      <c r="R69" s="117" t="str">
        <f>IF(R68="","",IFS(AC69="A",Montagem!$D$30,AE69="T","Realizar a maior quantidade de repetições por "&amp;W68&amp;" segundos | ",AE69="I",IF(AD69="U","Manter a posição por "&amp;W68&amp;" segundos de um lado e trocar para o outro na sequência | ","Manter a posição por "&amp;W68&amp;" segundos | "),AD69="A","Realizar alternadamente "&amp;W68&amp;" repetições cada lado | ",AD69="U","Realizar "&amp;W68&amp;" repetições de um lado e trocar para o outro na sequência | ",AC69="P",OFFSET(Biblioteca!$H$2,MATCH(AD68,Biblioteca!$A$3:$A$200,0),0),TRUE,""))</f>
        <v/>
      </c>
      <c r="V69" s="118" t="str">
        <f>IF(R68="","",IFS(AC69="H","Carga Sugerida: "&amp;ROUNDUP(AF68/2,0)&amp;" kg de cada lado (Total: "&amp;ROUNDUP(AF68/2,0)*2&amp;" kg)",AC69="C","Este exercício usa o Peso Corporal como carga",AC69="E","Este exercício usa a resistência da banda elástica como carga",AC69="O","Carga Sugerida: "&amp;INT(AF68)&amp;" kg",TRUE,""))</f>
        <v/>
      </c>
      <c r="AA69" s="66"/>
      <c r="AB69" s="111">
        <f>AB68</f>
        <v>1</v>
      </c>
      <c r="AC69" s="120" t="str">
        <f>LEFT(AF69)</f>
        <v/>
      </c>
      <c r="AD69" s="121" t="str">
        <f>MID(AF69,2,1)</f>
        <v/>
      </c>
      <c r="AE69" s="122" t="str">
        <f>RIGHT(AF69)</f>
        <v/>
      </c>
      <c r="AF69" s="123" t="str">
        <f>IF(AD68="","",OFFSET(Biblioteca!$I$2,MATCH(AD68,Biblioteca!$A$3:$A$200,0),0))</f>
        <v/>
      </c>
      <c r="AG69" s="124"/>
      <c r="AH69" s="125"/>
      <c r="AI69" s="117" t="str">
        <f>IF(AI68="","",IFS(AT69="A",Montagem!$E$30,AV69="T","Realizar a maior quantidade de repetições por "&amp;AN68&amp;" segundos | ",AV69="I",IF(AU69="U","Manter a posição por "&amp;AN68&amp;" segundos de um lado e trocar para o outro na sequência | ","Manter a posição por "&amp;AN68&amp;" segundos | "),AU69="A","Realizar alternadamente "&amp;AN68&amp;" repetições cada lado | ",AU69="U","Realizar "&amp;AN68&amp;" repetições de um lado e trocar para o outro na sequência | ",AT69="P",OFFSET(Biblioteca!$H$2,MATCH(AU68,Biblioteca!$A$3:$A$200,0),0),TRUE,""))</f>
        <v/>
      </c>
      <c r="AM69" s="118" t="str">
        <f>IF(AI68="","",IFS(AT69="H","Carga Sugerida: "&amp;ROUNDUP(AW68/2,0)&amp;" kg de cada lado (Total: "&amp;ROUNDUP(AW68/2,0)*2&amp;" kg)",AT69="C","Este exercício usa o Peso Corporal como carga",AT69="E","Este exercício usa a resistência da banda elástica como carga",AT69="O","Carga Sugerida: "&amp;INT(AW68)&amp;" kg",TRUE,""))</f>
        <v/>
      </c>
      <c r="AR69" s="66"/>
      <c r="AS69" s="111">
        <f>AS68</f>
        <v>1</v>
      </c>
      <c r="AT69" s="120" t="str">
        <f>LEFT(AW69)</f>
        <v/>
      </c>
      <c r="AU69" s="121" t="str">
        <f>MID(AW69,2,1)</f>
        <v/>
      </c>
      <c r="AV69" s="122" t="str">
        <f>RIGHT(AW69)</f>
        <v/>
      </c>
      <c r="AW69" s="123" t="str">
        <f>IF(AU68="","",OFFSET(Biblioteca!$I$2,MATCH(AU68,Biblioteca!$A$3:$A$200,0),0))</f>
        <v/>
      </c>
      <c r="AX69" s="124"/>
      <c r="AY69" s="125"/>
      <c r="AZ69" s="117" t="str">
        <f>IF(AZ68="","",IFS(BK69="A",Montagem!$F$30,BM69="T","Realizar a maior quantidade de repetições por "&amp;BE68&amp;" segundos | ",BM69="I",IF(BL69="U","Manter a posição por "&amp;BE68&amp;" segundos de um lado e trocar para o outro na sequência | ","Manter a posição por "&amp;BE68&amp;" segundos | "),BL69="A","Realizar alternadamente "&amp;BE68&amp;" repetições cada lado | ",BL69="U","Realizar "&amp;BE68&amp;" repetições de um lado e trocar para o outro na sequência | ",BK69="P",OFFSET(Biblioteca!$H$2,MATCH(BL68,Biblioteca!$A$3:$A$200,0),0),TRUE,""))</f>
        <v/>
      </c>
      <c r="BD69" s="118" t="str">
        <f>IF(AZ68="","",IFS(BK69="H","Carga Sugerida: "&amp;ROUNDUP(BN68/2,0)&amp;" kg de cada lado (Total: "&amp;ROUNDUP(BN68/2,0)*2&amp;" kg)",BK69="C","Este exercício usa o Peso Corporal como carga",BK69="E","Este exercício usa a resistência da banda elástica como carga",BK69="O","Carga Sugerida: "&amp;INT(BN68)&amp;" kg",TRUE,""))</f>
        <v/>
      </c>
      <c r="BI69" s="66"/>
      <c r="BJ69" s="111">
        <f>BJ68</f>
        <v>1</v>
      </c>
      <c r="BK69" s="120" t="str">
        <f>LEFT(BN69)</f>
        <v/>
      </c>
      <c r="BL69" s="121" t="str">
        <f>MID(BN69,2,1)</f>
        <v/>
      </c>
      <c r="BM69" s="122" t="str">
        <f>RIGHT(BN69)</f>
        <v/>
      </c>
      <c r="BN69" s="123" t="str">
        <f>IF(BL68="","",OFFSET(Biblioteca!$I$2,MATCH(BL68,Biblioteca!$A$3:$A$200,0),0))</f>
        <v/>
      </c>
      <c r="BO69" s="124"/>
      <c r="BP69" s="125"/>
      <c r="BQ69" s="117" t="str">
        <f>IF(BQ68="","",IFS(CB69="A",Montagem!$G$30,CD69="T","Realizar a maior quantidade de repetições por "&amp;BV68&amp;" segundos | ",CD69="I",IF(CC69="U","Manter a posição por "&amp;BV68&amp;" segundos de um lado e trocar para o outro na sequência | ","Manter a posição por "&amp;BV68&amp;" segundos | "),CC69="A","Realizar alternadamente "&amp;BV68&amp;" repetições cada lado | ",CC69="U","Realizar "&amp;BV68&amp;" repetições de um lado e trocar para o outro na sequência | ",CB69="P",OFFSET(Biblioteca!$H$2,MATCH(CC68,Biblioteca!$A$3:$A$200,0),0),TRUE,""))</f>
        <v/>
      </c>
      <c r="BU69" s="118" t="str">
        <f>IF(BQ68="","",IFS(CB69="H","Carga Sugerida: "&amp;ROUNDUP(CE68/2,0)&amp;" kg de cada lado (Total: "&amp;ROUNDUP(CE68/2,0)*2&amp;" kg)",CB69="C","Este exercício usa o Peso Corporal como carga",CB69="E","Este exercício usa a resistência da banda elástica como carga",CB69="O","Carga Sugerida: "&amp;INT(CE68)&amp;" kg",TRUE,""))</f>
        <v/>
      </c>
      <c r="BZ69" s="66"/>
      <c r="CA69" s="111">
        <f>CA68</f>
        <v>1</v>
      </c>
      <c r="CB69" s="120" t="str">
        <f>LEFT(CE69)</f>
        <v/>
      </c>
      <c r="CC69" s="121" t="str">
        <f>MID(CE69,2,1)</f>
        <v/>
      </c>
      <c r="CD69" s="122" t="str">
        <f>RIGHT(CE69)</f>
        <v/>
      </c>
      <c r="CE69" s="123" t="str">
        <f>IF(CC68="","",OFFSET(Biblioteca!$I$2,MATCH(CC68,Biblioteca!$A$3:$A$200,0),0))</f>
        <v/>
      </c>
      <c r="CF69" s="124"/>
      <c r="CG69" s="125"/>
      <c r="CH69" s="117" t="str">
        <f>IF(CH68="","",IFS(CS69="A",Montagem!$H$30,CU69="T","Realizar a maior quantidade de repetições por "&amp;CM68&amp;" segundos | ",CU69="I",IF(CT69="U","Manter a posição por "&amp;CM68&amp;" segundos de um lado e trocar para o outro na sequência | ","Manter a posição por "&amp;CM68&amp;" segundos | "),CT69="A","Realizar alternadamente "&amp;CM68&amp;" repetições cada lado | ",CT69="U","Realizar "&amp;CM68&amp;" repetições de um lado e trocar para o outro na sequência | ",CS69="P",OFFSET(Biblioteca!$H$2,MATCH(CT68,Biblioteca!$A$3:$A$200,0),0),TRUE,""))</f>
        <v/>
      </c>
      <c r="CL69" s="118" t="str">
        <f>IF(CH68="","",IFS(CS69="H","Carga Sugerida: "&amp;ROUNDUP(CV68/2,0)&amp;" kg de cada lado (Total: "&amp;ROUNDUP(CV68/2,0)*2&amp;" kg)",CS69="C","Este exercício usa o Peso Corporal como carga",CS69="E","Este exercício usa a resistência da banda elástica como carga",CS69="O","Carga Sugerida: "&amp;INT(CV68)&amp;" kg",TRUE,""))</f>
        <v/>
      </c>
      <c r="CQ69" s="66"/>
      <c r="CR69" s="111">
        <f>CR68</f>
        <v>1</v>
      </c>
      <c r="CS69" s="120" t="str">
        <f>LEFT(CV69)</f>
        <v/>
      </c>
      <c r="CT69" s="121" t="str">
        <f>MID(CV69,2,1)</f>
        <v/>
      </c>
      <c r="CU69" s="122" t="str">
        <f>RIGHT(CV69)</f>
        <v/>
      </c>
      <c r="CV69" s="123" t="str">
        <f>IF(CT68="","",OFFSET(Biblioteca!$I$2,MATCH(CT68,Biblioteca!$A$3:$A$200,0),0))</f>
        <v/>
      </c>
      <c r="CW69" s="124"/>
      <c r="CX69" s="125"/>
      <c r="CY69" s="117" t="str">
        <f>IF(CY68="","",IFS(DJ69="A",Montagem!$I$30,DL69="T","Realizar a maior quantidade de repetições por "&amp;DD68&amp;" segundos | ",DL69="I",IF(DK69="U","Manter a posição por "&amp;DD68&amp;" segundos de um lado e trocar para o outro na sequência | ","Manter a posição por "&amp;DD68&amp;" segundos | "),DK69="A","Realizar alternadamente "&amp;DD68&amp;" repetições cada lado | ",DK69="U","Realizar "&amp;DD68&amp;" repetições de um lado e trocar para o outro na sequência | ",DJ69="P",OFFSET(Biblioteca!$H$2,MATCH(DK68,Biblioteca!$A$3:$A$200,0),0),TRUE,""))</f>
        <v/>
      </c>
      <c r="DC69" s="118" t="str">
        <f>IF(CY68="","",IFS(DJ69="H","Carga Sugerida: "&amp;ROUNDUP(DM68/2,0)&amp;" kg de cada lado (Total: "&amp;ROUNDUP(DM68/2,0)*2&amp;" kg)",DJ69="C","Este exercício usa o Peso Corporal como carga",DJ69="E","Este exercício usa a resistência da banda elástica como carga",DJ69="O","Carga Sugerida: "&amp;INT(DM68)&amp;" kg",TRUE,""))</f>
        <v/>
      </c>
      <c r="DH69" s="66"/>
      <c r="DI69" s="111">
        <f>DI68</f>
        <v>1</v>
      </c>
      <c r="DJ69" s="120" t="str">
        <f>LEFT(DM69)</f>
        <v/>
      </c>
      <c r="DK69" s="121" t="str">
        <f>MID(DM69,2,1)</f>
        <v/>
      </c>
      <c r="DL69" s="122" t="str">
        <f>RIGHT(DM69)</f>
        <v/>
      </c>
      <c r="DM69" s="123" t="str">
        <f>IF(DK68="","",OFFSET(Biblioteca!$I$2,MATCH(DK68,Biblioteca!$A$3:$A$200,0),0))</f>
        <v/>
      </c>
      <c r="DN69" s="124"/>
      <c r="DO69" s="125"/>
      <c r="DP69" s="57"/>
      <c r="DQ69" s="56"/>
      <c r="DR69" s="56"/>
      <c r="DS69" s="56"/>
      <c r="DT69" s="56"/>
      <c r="DU69" s="56"/>
      <c r="DV69" s="56"/>
      <c r="DW69" s="56"/>
      <c r="DX69" s="56"/>
      <c r="DY69" s="56"/>
    </row>
    <row r="70">
      <c r="A70" s="115" t="str">
        <f>IF(M70="","",HYPERLINK(OFFSET(Biblioteca!$B$2,MATCH(M70,Biblioteca!$A$3:$A$200,0),0),M70))</f>
        <v/>
      </c>
      <c r="D70" s="103" t="str">
        <f>Montagem!Q43</f>
        <v/>
      </c>
      <c r="E70" s="104" t="str">
        <f>Montagem!R43</f>
        <v/>
      </c>
      <c r="F70" s="104" t="str">
        <f>Montagem!S43</f>
        <v/>
      </c>
      <c r="G70" s="104" t="str">
        <f>Montagem!T43</f>
        <v/>
      </c>
      <c r="H70" s="104" t="str">
        <f>Montagem!U43</f>
        <v/>
      </c>
      <c r="I70" s="104" t="str">
        <f>Montagem!V43</f>
        <v/>
      </c>
      <c r="J70" s="105"/>
      <c r="K70" s="106">
        <f>Montagem!K43</f>
        <v>1</v>
      </c>
      <c r="L70" s="111" t="str">
        <f>Montagem!W43</f>
        <v/>
      </c>
      <c r="M70" s="111" t="str">
        <f>Montagem!L43</f>
        <v/>
      </c>
      <c r="N70" s="111" t="str">
        <f>Montagem!X43</f>
        <v/>
      </c>
      <c r="O70" s="106" t="str">
        <f>IF(N70="",L70,N70)</f>
        <v/>
      </c>
      <c r="P70" s="106" t="str">
        <f>IF(L71="C",'Dados de Base'!$D$5*0.1,IF(L71="E",5,IF(J70="",O70,J70)))</f>
        <v/>
      </c>
      <c r="Q70" s="108"/>
      <c r="R70" s="115" t="str">
        <f>IF(AD70="","",HYPERLINK(OFFSET(Biblioteca!$B$2,MATCH(AD70,Biblioteca!$A$3:$A$200,0),0),AD70))</f>
        <v/>
      </c>
      <c r="U70" s="109" t="str">
        <f>Montagem!AF43</f>
        <v/>
      </c>
      <c r="V70" s="110" t="str">
        <f>Montagem!AG43</f>
        <v/>
      </c>
      <c r="W70" s="110" t="str">
        <f>Montagem!AH43</f>
        <v/>
      </c>
      <c r="X70" s="110" t="str">
        <f>Montagem!AI43</f>
        <v/>
      </c>
      <c r="Y70" s="110" t="str">
        <f>Montagem!AJ43</f>
        <v/>
      </c>
      <c r="Z70" s="110" t="str">
        <f>Montagem!AK43</f>
        <v/>
      </c>
      <c r="AA70" s="114"/>
      <c r="AB70" s="111">
        <f>Montagem!Z43</f>
        <v>1</v>
      </c>
      <c r="AC70" s="111" t="str">
        <f>Montagem!AL43</f>
        <v/>
      </c>
      <c r="AD70" s="129" t="str">
        <f>Montagem!AA43</f>
        <v/>
      </c>
      <c r="AE70" s="111" t="str">
        <f>Montagem!AM43</f>
        <v/>
      </c>
      <c r="AF70" s="106" t="str">
        <f>IF(AE70="",AC70,AE70)</f>
        <v/>
      </c>
      <c r="AG70" s="106" t="str">
        <f>IF(AC71="C",'Dados de Base'!$D$5*0.1,IF(AC71="E",5,IF(AA70="",AF70,AA70)))</f>
        <v/>
      </c>
      <c r="AH70" s="108"/>
      <c r="AI70" s="115" t="str">
        <f>IF(AU70="","",HYPERLINK(OFFSET(Biblioteca!$B$2,MATCH(AU70,Biblioteca!$A$3:$A$200,0),0),AU70))</f>
        <v/>
      </c>
      <c r="AL70" s="109" t="str">
        <f>Montagem!AU43</f>
        <v/>
      </c>
      <c r="AM70" s="110" t="str">
        <f>Montagem!AV43</f>
        <v/>
      </c>
      <c r="AN70" s="110" t="str">
        <f>Montagem!AW43</f>
        <v/>
      </c>
      <c r="AO70" s="110" t="str">
        <f>Montagem!AX43</f>
        <v/>
      </c>
      <c r="AP70" s="110" t="str">
        <f>Montagem!AY43</f>
        <v/>
      </c>
      <c r="AQ70" s="110" t="str">
        <f>Montagem!AZ43</f>
        <v/>
      </c>
      <c r="AR70" s="114"/>
      <c r="AS70" s="111">
        <f>Montagem!AO43</f>
        <v>1</v>
      </c>
      <c r="AT70" s="111" t="str">
        <f>Montagem!BA43</f>
        <v/>
      </c>
      <c r="AU70" s="111" t="str">
        <f>Montagem!AP43</f>
        <v/>
      </c>
      <c r="AV70" s="111" t="str">
        <f>Montagem!BB43</f>
        <v/>
      </c>
      <c r="AW70" s="106" t="str">
        <f>IF(AV70="",AT70,AV70)</f>
        <v/>
      </c>
      <c r="AX70" s="106" t="str">
        <f>IF(AT71="C",'Dados de Base'!$D$5*0.1,IF(AT71="E",5,IF(AR70="",AW70,AR70)))</f>
        <v/>
      </c>
      <c r="AY70" s="108"/>
      <c r="AZ70" s="115" t="str">
        <f>IF(BL70="","",HYPERLINK(OFFSET(Biblioteca!$B$2,MATCH(BL70,Biblioteca!$A$3:$A$200,0),0),BL70))</f>
        <v/>
      </c>
      <c r="BC70" s="109" t="str">
        <f>Montagem!BJ43</f>
        <v/>
      </c>
      <c r="BD70" s="110" t="str">
        <f>Montagem!BK43</f>
        <v/>
      </c>
      <c r="BE70" s="110" t="str">
        <f>Montagem!BL43</f>
        <v/>
      </c>
      <c r="BF70" s="110" t="str">
        <f>Montagem!BM43</f>
        <v/>
      </c>
      <c r="BG70" s="110" t="str">
        <f>Montagem!BN43</f>
        <v/>
      </c>
      <c r="BH70" s="110" t="str">
        <f>Montagem!BO43</f>
        <v/>
      </c>
      <c r="BI70" s="114"/>
      <c r="BJ70" s="111">
        <f>Montagem!BD43</f>
        <v>1</v>
      </c>
      <c r="BK70" s="111" t="str">
        <f>Montagem!BP43</f>
        <v/>
      </c>
      <c r="BL70" s="111" t="str">
        <f>Montagem!BE43</f>
        <v/>
      </c>
      <c r="BM70" s="111" t="str">
        <f>Montagem!BQ43</f>
        <v/>
      </c>
      <c r="BN70" s="106" t="str">
        <f>IF(BM70="",BK70,BM70)</f>
        <v/>
      </c>
      <c r="BO70" s="106" t="str">
        <f>IF(BK71="C",'Dados de Base'!$D$5*0.1,IF(BK71="E",5,IF(BI70="",BN70,BI70)))</f>
        <v/>
      </c>
      <c r="BP70" s="108"/>
      <c r="BQ70" s="115" t="str">
        <f>IF(CC70="","",HYPERLINK(OFFSET(Biblioteca!$B$2,MATCH(CC70,Biblioteca!$A$3:$A$200,0),0),CC70))</f>
        <v/>
      </c>
      <c r="BT70" s="109" t="str">
        <f>Montagem!BY43</f>
        <v/>
      </c>
      <c r="BU70" s="110" t="str">
        <f>Montagem!BZ43</f>
        <v/>
      </c>
      <c r="BV70" s="110" t="str">
        <f>Montagem!CA43</f>
        <v/>
      </c>
      <c r="BW70" s="110" t="str">
        <f>Montagem!CB43</f>
        <v/>
      </c>
      <c r="BX70" s="110" t="str">
        <f>Montagem!CC43</f>
        <v/>
      </c>
      <c r="BY70" s="110" t="str">
        <f>Montagem!CD43</f>
        <v/>
      </c>
      <c r="BZ70" s="114"/>
      <c r="CA70" s="111">
        <f>Montagem!BS43</f>
        <v>1</v>
      </c>
      <c r="CB70" s="111" t="str">
        <f>Montagem!CE43</f>
        <v/>
      </c>
      <c r="CC70" s="111" t="str">
        <f>Montagem!BT43</f>
        <v/>
      </c>
      <c r="CD70" s="111" t="str">
        <f>Montagem!CF43</f>
        <v/>
      </c>
      <c r="CE70" s="106" t="str">
        <f>IF(CD70="",CB70,CD70)</f>
        <v/>
      </c>
      <c r="CF70" s="106" t="str">
        <f>IF(CB71="C",'Dados de Base'!$D$5*0.1,IF(CB71="E",5,IF(BZ70="",CE70,BZ70)))</f>
        <v/>
      </c>
      <c r="CG70" s="108"/>
      <c r="CH70" s="115" t="str">
        <f>IF(CT70="","",HYPERLINK(OFFSET(Biblioteca!$B$2,MATCH(CT70,Biblioteca!$A$3:$A$200,0),0),CT70))</f>
        <v/>
      </c>
      <c r="CK70" s="109" t="str">
        <f>Montagem!CN43</f>
        <v/>
      </c>
      <c r="CL70" s="110" t="str">
        <f>Montagem!CO43</f>
        <v/>
      </c>
      <c r="CM70" s="110" t="str">
        <f>Montagem!CP43</f>
        <v/>
      </c>
      <c r="CN70" s="110" t="str">
        <f>Montagem!CQ43</f>
        <v/>
      </c>
      <c r="CO70" s="110" t="str">
        <f>Montagem!CR43</f>
        <v/>
      </c>
      <c r="CP70" s="110" t="str">
        <f>Montagem!CS43</f>
        <v/>
      </c>
      <c r="CQ70" s="114"/>
      <c r="CR70" s="111">
        <f>Montagem!CH43</f>
        <v>1</v>
      </c>
      <c r="CS70" s="111" t="str">
        <f>Montagem!CT43</f>
        <v/>
      </c>
      <c r="CT70" s="111" t="str">
        <f>Montagem!CI43</f>
        <v/>
      </c>
      <c r="CU70" s="145" t="str">
        <f>Montagem!CU43</f>
        <v/>
      </c>
      <c r="CV70" s="106" t="str">
        <f>IF(CU70="",CS70,CU70)</f>
        <v/>
      </c>
      <c r="CW70" s="106" t="str">
        <f>IF(CS71="C",'Dados de Base'!$D$5*0.1,IF(CS71="E",5,IF(CQ70="",CV70,CQ70)))</f>
        <v/>
      </c>
      <c r="CX70" s="108"/>
      <c r="CY70" s="115" t="str">
        <f>IF(DK70="","",HYPERLINK(OFFSET(Biblioteca!$B$2,MATCH(DK70,Biblioteca!$A$3:$A$200,0),0),DK70))</f>
        <v/>
      </c>
      <c r="DB70" s="130" t="str">
        <f>Montagem!DC43</f>
        <v/>
      </c>
      <c r="DC70" s="131" t="str">
        <f>Montagem!DD43</f>
        <v/>
      </c>
      <c r="DD70" s="131" t="str">
        <f>Montagem!DE43</f>
        <v/>
      </c>
      <c r="DE70" s="131" t="str">
        <f>Montagem!DF43</f>
        <v/>
      </c>
      <c r="DF70" s="131" t="str">
        <f>Montagem!DG43</f>
        <v/>
      </c>
      <c r="DG70" s="131" t="str">
        <f>Montagem!DH43</f>
        <v/>
      </c>
      <c r="DH70" s="114"/>
      <c r="DI70" s="111">
        <f>Montagem!CW43</f>
        <v>1</v>
      </c>
      <c r="DJ70" s="111" t="str">
        <f>Montagem!DI43</f>
        <v/>
      </c>
      <c r="DK70" s="111" t="str">
        <f>Montagem!CX43</f>
        <v/>
      </c>
      <c r="DL70" s="145" t="str">
        <f>Montagem!DJ43</f>
        <v/>
      </c>
      <c r="DM70" s="106" t="str">
        <f>IF(DL70="",DJ70,DL70)</f>
        <v/>
      </c>
      <c r="DN70" s="106" t="str">
        <f>IF(DJ71="C",'Dados de Base'!$D$5*0.1,IF(DJ71="E",5,IF(DH70="",DM70,DH70)))</f>
        <v/>
      </c>
      <c r="DO70" s="108"/>
      <c r="DP70" s="106"/>
      <c r="DQ70" s="106"/>
      <c r="DR70" s="106"/>
      <c r="DS70" s="106"/>
      <c r="DT70" s="106"/>
      <c r="DU70" s="106"/>
      <c r="DV70" s="106"/>
      <c r="DW70" s="106"/>
      <c r="DX70" s="106"/>
      <c r="DY70" s="106"/>
    </row>
    <row r="71">
      <c r="A71" s="117" t="str">
        <f>IF(A70="","",IFS(L71="A",Montagem!$C$30,N71="T","Realizar a maior quantidade de repetições por "&amp;F70&amp;" segundos | ",N71="I",IF(M71="U","Manter a posição por "&amp;F70&amp;" segundos de um lado e trocar para o outro na sequência | ","Manter a posição por "&amp;F70&amp;" segundos | "),M71="A","Realizar alternadamente "&amp;F70&amp;" repetições cada lado | ",M71="U","Realizar "&amp;F70&amp;" repetições de um lado e trocar para o outro na sequência | ",L71="P",OFFSET(Biblioteca!$H$2,MATCH(M70,Biblioteca!$A$3:$A$200,0),0),TRUE,""))</f>
        <v/>
      </c>
      <c r="E71" s="118" t="str">
        <f>IF(A70="","",IFS(L71="H","Carga Sugerida: "&amp;ROUNDUP(O70/2,0)&amp;" kg de cada lado (Total: "&amp;ROUNDUP(O70/2,0)*2&amp;" kg)",L71="C","Este exercício usa o Peso Corporal como carga",L71="E","Este exercício usa a resistência da banda elástica como carga",L71="O","Carga Sugerida: "&amp;INT(O70)&amp;" kg",TRUE,""))</f>
        <v/>
      </c>
      <c r="J71" s="66"/>
      <c r="K71" s="106">
        <f>K70</f>
        <v>1</v>
      </c>
      <c r="L71" s="120" t="str">
        <f>LEFT(O71)</f>
        <v/>
      </c>
      <c r="M71" s="121" t="str">
        <f>MID(O71,2,1)</f>
        <v/>
      </c>
      <c r="N71" s="122" t="str">
        <f>RIGHT(O71)</f>
        <v/>
      </c>
      <c r="O71" s="123" t="str">
        <f>IF(M70="","",OFFSET(Biblioteca!$I$2,MATCH(M70,Biblioteca!$A$3:$A$200,0),0))</f>
        <v/>
      </c>
      <c r="P71" s="124"/>
      <c r="Q71" s="125"/>
      <c r="R71" s="117" t="str">
        <f>IF(R70="","",IFS(AC71="A",Montagem!$D$30,AE71="T","Realizar a maior quantidade de repetições por "&amp;W70&amp;" segundos | ",AE71="I",IF(AD71="U","Manter a posição por "&amp;W70&amp;" segundos de um lado e trocar para o outro na sequência | ","Manter a posição por "&amp;W70&amp;" segundos | "),AD71="A","Realizar alternadamente "&amp;W70&amp;" repetições cada lado | ",AD71="U","Realizar "&amp;W70&amp;" repetições de um lado e trocar para o outro na sequência | ",AC71="P",OFFSET(Biblioteca!$H$2,MATCH(AD70,Biblioteca!$A$3:$A$200,0),0),TRUE,""))</f>
        <v/>
      </c>
      <c r="V71" s="118" t="str">
        <f>IF(R70="","",IFS(AC71="H","Carga Sugerida: "&amp;ROUNDUP(AF70/2,0)&amp;" kg de cada lado (Total: "&amp;ROUNDUP(AF70/2,0)*2&amp;" kg)",AC71="C","Este exercício usa o Peso Corporal como carga",AC71="E","Este exercício usa a resistência da banda elástica como carga",AC71="O","Carga Sugerida: "&amp;INT(AF70)&amp;" kg",TRUE,""))</f>
        <v/>
      </c>
      <c r="AA71" s="66"/>
      <c r="AB71" s="111">
        <f>AB70</f>
        <v>1</v>
      </c>
      <c r="AC71" s="120" t="str">
        <f>LEFT(AF71)</f>
        <v/>
      </c>
      <c r="AD71" s="121" t="str">
        <f>MID(AF71,2,1)</f>
        <v/>
      </c>
      <c r="AE71" s="122" t="str">
        <f>RIGHT(AF71)</f>
        <v/>
      </c>
      <c r="AF71" s="123" t="str">
        <f>IF(AD70="","",OFFSET(Biblioteca!$I$2,MATCH(AD70,Biblioteca!$A$3:$A$200,0),0))</f>
        <v/>
      </c>
      <c r="AG71" s="124"/>
      <c r="AH71" s="125"/>
      <c r="AI71" s="117" t="str">
        <f>IF(AI70="","",IFS(AT71="A",Montagem!$E$30,AV71="T","Realizar a maior quantidade de repetições por "&amp;AN70&amp;" segundos | ",AV71="I",IF(AU71="U","Manter a posição por "&amp;AN70&amp;" segundos de um lado e trocar para o outro na sequência | ","Manter a posição por "&amp;AN70&amp;" segundos | "),AU71="A","Realizar alternadamente "&amp;AN70&amp;" repetições cada lado | ",AU71="U","Realizar "&amp;AN70&amp;" repetições de um lado e trocar para o outro na sequência | ",AT71="P",OFFSET(Biblioteca!$H$2,MATCH(AU70,Biblioteca!$A$3:$A$200,0),0),TRUE,""))</f>
        <v/>
      </c>
      <c r="AM71" s="118" t="str">
        <f>IF(AI70="","",IFS(AT71="H","Carga Sugerida: "&amp;ROUNDUP(AW70/2,0)&amp;" kg de cada lado (Total: "&amp;ROUNDUP(AW70/2,0)*2&amp;" kg)",AT71="C","Este exercício usa o Peso Corporal como carga",AT71="E","Este exercício usa a resistência da banda elástica como carga",AT71="O","Carga Sugerida: "&amp;INT(AW70)&amp;" kg",TRUE,""))</f>
        <v/>
      </c>
      <c r="AR71" s="66"/>
      <c r="AS71" s="111">
        <f>AS70</f>
        <v>1</v>
      </c>
      <c r="AT71" s="120" t="str">
        <f>LEFT(AW71)</f>
        <v/>
      </c>
      <c r="AU71" s="121" t="str">
        <f>MID(AW71,2,1)</f>
        <v/>
      </c>
      <c r="AV71" s="122" t="str">
        <f>RIGHT(AW71)</f>
        <v/>
      </c>
      <c r="AW71" s="123" t="str">
        <f>IF(AU70="","",OFFSET(Biblioteca!$I$2,MATCH(AU70,Biblioteca!$A$3:$A$200,0),0))</f>
        <v/>
      </c>
      <c r="AX71" s="124"/>
      <c r="AY71" s="125"/>
      <c r="AZ71" s="117" t="str">
        <f>IF(AZ70="","",IFS(BK71="A",Montagem!$F$30,BM71="T","Realizar a maior quantidade de repetições por "&amp;BE70&amp;" segundos | ",BM71="I",IF(BL71="U","Manter a posição por "&amp;BE70&amp;" segundos de um lado e trocar para o outro na sequência | ","Manter a posição por "&amp;BE70&amp;" segundos | "),BL71="A","Realizar alternadamente "&amp;BE70&amp;" repetições cada lado | ",BL71="U","Realizar "&amp;BE70&amp;" repetições de um lado e trocar para o outro na sequência | ",BK71="P",OFFSET(Biblioteca!$H$2,MATCH(BL70,Biblioteca!$A$3:$A$200,0),0),TRUE,""))</f>
        <v/>
      </c>
      <c r="BD71" s="118" t="str">
        <f>IF(AZ70="","",IFS(BK71="H","Carga Sugerida: "&amp;ROUNDUP(BN70/2,0)&amp;" kg de cada lado (Total: "&amp;ROUNDUP(BN70/2,0)*2&amp;" kg)",BK71="C","Este exercício usa o Peso Corporal como carga",BK71="E","Este exercício usa a resistência da banda elástica como carga",BK71="O","Carga Sugerida: "&amp;INT(BN70)&amp;" kg",TRUE,""))</f>
        <v/>
      </c>
      <c r="BI71" s="66"/>
      <c r="BJ71" s="111">
        <f>BJ70</f>
        <v>1</v>
      </c>
      <c r="BK71" s="120" t="str">
        <f>LEFT(BN71)</f>
        <v/>
      </c>
      <c r="BL71" s="121" t="str">
        <f>MID(BN71,2,1)</f>
        <v/>
      </c>
      <c r="BM71" s="122" t="str">
        <f>RIGHT(BN71)</f>
        <v/>
      </c>
      <c r="BN71" s="123" t="str">
        <f>IF(BL70="","",OFFSET(Biblioteca!$I$2,MATCH(BL70,Biblioteca!$A$3:$A$200,0),0))</f>
        <v/>
      </c>
      <c r="BO71" s="124"/>
      <c r="BP71" s="125"/>
      <c r="BQ71" s="117" t="str">
        <f>IF(BQ70="","",IFS(CB71="A",Montagem!$G$30,CD71="T","Realizar a maior quantidade de repetições por "&amp;BV70&amp;" segundos | ",CD71="I",IF(CC71="U","Manter a posição por "&amp;BV70&amp;" segundos de um lado e trocar para o outro na sequência | ","Manter a posição por "&amp;BV70&amp;" segundos | "),CC71="A","Realizar alternadamente "&amp;BV70&amp;" repetições cada lado | ",CC71="U","Realizar "&amp;BV70&amp;" repetições de um lado e trocar para o outro na sequência | ",CB71="P",OFFSET(Biblioteca!$H$2,MATCH(CC70,Biblioteca!$A$3:$A$200,0),0),TRUE,""))</f>
        <v/>
      </c>
      <c r="BU71" s="118" t="str">
        <f>IF(BQ70="","",IFS(CB71="H","Carga Sugerida: "&amp;ROUNDUP(CE70/2,0)&amp;" kg de cada lado (Total: "&amp;ROUNDUP(CE70/2,0)*2&amp;" kg)",CB71="C","Este exercício usa o Peso Corporal como carga",CB71="E","Este exercício usa a resistência da banda elástica como carga",CB71="O","Carga Sugerida: "&amp;INT(CE70)&amp;" kg",TRUE,""))</f>
        <v/>
      </c>
      <c r="BZ71" s="66"/>
      <c r="CA71" s="111">
        <f>CA70</f>
        <v>1</v>
      </c>
      <c r="CB71" s="120" t="str">
        <f>LEFT(CE71)</f>
        <v/>
      </c>
      <c r="CC71" s="121" t="str">
        <f>MID(CE71,2,1)</f>
        <v/>
      </c>
      <c r="CD71" s="122" t="str">
        <f>RIGHT(CE71)</f>
        <v/>
      </c>
      <c r="CE71" s="123" t="str">
        <f>IF(CC70="","",OFFSET(Biblioteca!$I$2,MATCH(CC70,Biblioteca!$A$3:$A$200,0),0))</f>
        <v/>
      </c>
      <c r="CF71" s="124"/>
      <c r="CG71" s="125"/>
      <c r="CH71" s="117" t="str">
        <f>IF(CH70="","",IFS(CS71="A",Montagem!$H$30,CU71="T","Realizar a maior quantidade de repetições por "&amp;CM70&amp;" segundos | ",CU71="I",IF(CT71="U","Manter a posição por "&amp;CM70&amp;" segundos de um lado e trocar para o outro na sequência | ","Manter a posição por "&amp;CM70&amp;" segundos | "),CT71="A","Realizar alternadamente "&amp;CM70&amp;" repetições cada lado | ",CT71="U","Realizar "&amp;CM70&amp;" repetições de um lado e trocar para o outro na sequência | ",CS71="P",OFFSET(Biblioteca!$H$2,MATCH(CT70,Biblioteca!$A$3:$A$200,0),0),TRUE,""))</f>
        <v/>
      </c>
      <c r="CL71" s="118" t="str">
        <f>IF(CH70="","",IFS(CS71="H","Carga Sugerida: "&amp;ROUNDUP(CV70/2,0)&amp;" kg de cada lado (Total: "&amp;ROUNDUP(CV70/2,0)*2&amp;" kg)",CS71="C","Este exercício usa o Peso Corporal como carga",CS71="E","Este exercício usa a resistência da banda elástica como carga",CS71="O","Carga Sugerida: "&amp;INT(CV70)&amp;" kg",TRUE,""))</f>
        <v/>
      </c>
      <c r="CQ71" s="66"/>
      <c r="CR71" s="111">
        <f>CR70</f>
        <v>1</v>
      </c>
      <c r="CS71" s="120" t="str">
        <f>LEFT(CV71)</f>
        <v/>
      </c>
      <c r="CT71" s="121" t="str">
        <f>MID(CV71,2,1)</f>
        <v/>
      </c>
      <c r="CU71" s="122" t="str">
        <f>RIGHT(CV71)</f>
        <v/>
      </c>
      <c r="CV71" s="123" t="str">
        <f>IF(CT70="","",OFFSET(Biblioteca!$I$2,MATCH(CT70,Biblioteca!$A$3:$A$200,0),0))</f>
        <v/>
      </c>
      <c r="CW71" s="124"/>
      <c r="CX71" s="125"/>
      <c r="CY71" s="117" t="str">
        <f>IF(CY70="","",IFS(DJ71="A",Montagem!$I$30,DL71="T","Realizar a maior quantidade de repetições por "&amp;DD70&amp;" segundos | ",DL71="I",IF(DK71="U","Manter a posição por "&amp;DD70&amp;" segundos de um lado e trocar para o outro na sequência | ","Manter a posição por "&amp;DD70&amp;" segundos | "),DK71="A","Realizar alternadamente "&amp;DD70&amp;" repetições cada lado | ",DK71="U","Realizar "&amp;DD70&amp;" repetições de um lado e trocar para o outro na sequência | ",DJ71="P",OFFSET(Biblioteca!$H$2,MATCH(DK70,Biblioteca!$A$3:$A$200,0),0),TRUE,""))</f>
        <v/>
      </c>
      <c r="DC71" s="118" t="str">
        <f>IF(CY70="","",IFS(DJ71="H","Carga Sugerida: "&amp;ROUNDUP(DM70/2,0)&amp;" kg de cada lado (Total: "&amp;ROUNDUP(DM70/2,0)*2&amp;" kg)",DJ71="C","Este exercício usa o Peso Corporal como carga",DJ71="E","Este exercício usa a resistência da banda elástica como carga",DJ71="O","Carga Sugerida: "&amp;INT(DM70)&amp;" kg",TRUE,""))</f>
        <v/>
      </c>
      <c r="DH71" s="66"/>
      <c r="DI71" s="111">
        <f>DI70</f>
        <v>1</v>
      </c>
      <c r="DJ71" s="120" t="str">
        <f>LEFT(DM71)</f>
        <v/>
      </c>
      <c r="DK71" s="121" t="str">
        <f>MID(DM71,2,1)</f>
        <v/>
      </c>
      <c r="DL71" s="122" t="str">
        <f>RIGHT(DM71)</f>
        <v/>
      </c>
      <c r="DM71" s="123" t="str">
        <f>IF(DK70="","",OFFSET(Biblioteca!$I$2,MATCH(DK70,Biblioteca!$A$3:$A$200,0),0))</f>
        <v/>
      </c>
      <c r="DN71" s="124"/>
      <c r="DO71" s="125"/>
      <c r="DP71" s="57"/>
      <c r="DQ71" s="56"/>
      <c r="DR71" s="56"/>
      <c r="DS71" s="56"/>
      <c r="DT71" s="56"/>
      <c r="DU71" s="56"/>
      <c r="DV71" s="56"/>
      <c r="DW71" s="56"/>
      <c r="DX71" s="56"/>
      <c r="DY71" s="56"/>
    </row>
    <row r="72">
      <c r="A72" s="115" t="str">
        <f>IF(M72="","",HYPERLINK(OFFSET(Biblioteca!$B$2,MATCH(M72,Biblioteca!$A$3:$A$200,0),0),M72))</f>
        <v/>
      </c>
      <c r="D72" s="103" t="str">
        <f>Montagem!Q44</f>
        <v/>
      </c>
      <c r="E72" s="104" t="str">
        <f>Montagem!R44</f>
        <v/>
      </c>
      <c r="F72" s="104" t="str">
        <f>Montagem!S44</f>
        <v/>
      </c>
      <c r="G72" s="104" t="str">
        <f>Montagem!T44</f>
        <v/>
      </c>
      <c r="H72" s="104" t="str">
        <f>Montagem!U44</f>
        <v/>
      </c>
      <c r="I72" s="104" t="str">
        <f>Montagem!V44</f>
        <v/>
      </c>
      <c r="J72" s="144"/>
      <c r="K72" s="106">
        <f>Montagem!K44</f>
        <v>1</v>
      </c>
      <c r="L72" s="111" t="str">
        <f>Montagem!W44</f>
        <v/>
      </c>
      <c r="M72" s="111" t="str">
        <f>Montagem!L44</f>
        <v/>
      </c>
      <c r="N72" s="111" t="str">
        <f>Montagem!X44</f>
        <v/>
      </c>
      <c r="O72" s="106" t="str">
        <f>IF(N72="",L72,N72)</f>
        <v/>
      </c>
      <c r="P72" s="106" t="str">
        <f>IF(L73="C",'Dados de Base'!$D$5*0.1,IF(L73="E",5,IF(J72="",O72,J72)))</f>
        <v/>
      </c>
      <c r="Q72" s="108"/>
      <c r="R72" s="115" t="str">
        <f>IF(AD72="","",HYPERLINK(OFFSET(Biblioteca!$B$2,MATCH(AD72,Biblioteca!$A$3:$A$200,0),0),AD72))</f>
        <v/>
      </c>
      <c r="U72" s="109" t="str">
        <f>Montagem!AF44</f>
        <v/>
      </c>
      <c r="V72" s="110" t="str">
        <f>Montagem!AG44</f>
        <v/>
      </c>
      <c r="W72" s="110" t="str">
        <f>Montagem!AH44</f>
        <v/>
      </c>
      <c r="X72" s="110" t="str">
        <f>Montagem!AI44</f>
        <v/>
      </c>
      <c r="Y72" s="110" t="str">
        <f>Montagem!AJ44</f>
        <v/>
      </c>
      <c r="Z72" s="110" t="str">
        <f>Montagem!AK44</f>
        <v/>
      </c>
      <c r="AA72" s="114"/>
      <c r="AB72" s="111">
        <f>Montagem!Z44</f>
        <v>1</v>
      </c>
      <c r="AC72" s="111" t="str">
        <f>Montagem!AL44</f>
        <v/>
      </c>
      <c r="AD72" s="129" t="str">
        <f>Montagem!AA44</f>
        <v/>
      </c>
      <c r="AE72" s="111" t="str">
        <f>Montagem!AM44</f>
        <v/>
      </c>
      <c r="AF72" s="106" t="str">
        <f>IF(AE72="",AC72,AE72)</f>
        <v/>
      </c>
      <c r="AG72" s="106" t="str">
        <f>IF(AC73="C",'Dados de Base'!$D$5*0.1,IF(AC73="E",5,IF(AA72="",AF72,AA72)))</f>
        <v/>
      </c>
      <c r="AH72" s="108"/>
      <c r="AI72" s="115" t="str">
        <f>IF(AU72="","",HYPERLINK(OFFSET(Biblioteca!$B$2,MATCH(AU72,Biblioteca!$A$3:$A$200,0),0),AU72))</f>
        <v/>
      </c>
      <c r="AL72" s="109" t="str">
        <f>Montagem!AU44</f>
        <v/>
      </c>
      <c r="AM72" s="110" t="str">
        <f>Montagem!AV44</f>
        <v/>
      </c>
      <c r="AN72" s="110" t="str">
        <f>Montagem!AW44</f>
        <v/>
      </c>
      <c r="AO72" s="110" t="str">
        <f>Montagem!AX44</f>
        <v/>
      </c>
      <c r="AP72" s="110" t="str">
        <f>Montagem!AY44</f>
        <v/>
      </c>
      <c r="AQ72" s="110" t="str">
        <f>Montagem!AZ44</f>
        <v/>
      </c>
      <c r="AR72" s="114"/>
      <c r="AS72" s="111">
        <f>Montagem!AO44</f>
        <v>1</v>
      </c>
      <c r="AT72" s="111" t="str">
        <f>Montagem!BA44</f>
        <v/>
      </c>
      <c r="AU72" s="111" t="str">
        <f>Montagem!AP44</f>
        <v/>
      </c>
      <c r="AV72" s="111" t="str">
        <f>Montagem!BB44</f>
        <v/>
      </c>
      <c r="AW72" s="106" t="str">
        <f>IF(AV72="",AT72,AV72)</f>
        <v/>
      </c>
      <c r="AX72" s="106" t="str">
        <f>IF(AT73="C",'Dados de Base'!$D$5*0.1,IF(AT73="E",5,IF(AR72="",AW72,AR72)))</f>
        <v/>
      </c>
      <c r="AY72" s="108"/>
      <c r="AZ72" s="115" t="str">
        <f>IF(BL72="","",HYPERLINK(OFFSET(Biblioteca!$B$2,MATCH(BL72,Biblioteca!$A$3:$A$200,0),0),BL72))</f>
        <v/>
      </c>
      <c r="BC72" s="109" t="str">
        <f>Montagem!BJ44</f>
        <v/>
      </c>
      <c r="BD72" s="110" t="str">
        <f>Montagem!BK44</f>
        <v/>
      </c>
      <c r="BE72" s="110" t="str">
        <f>Montagem!BL44</f>
        <v/>
      </c>
      <c r="BF72" s="110" t="str">
        <f>Montagem!BM44</f>
        <v/>
      </c>
      <c r="BG72" s="110" t="str">
        <f>Montagem!BN44</f>
        <v/>
      </c>
      <c r="BH72" s="110" t="str">
        <f>Montagem!BO44</f>
        <v/>
      </c>
      <c r="BI72" s="114"/>
      <c r="BJ72" s="111">
        <f>Montagem!BD44</f>
        <v>1</v>
      </c>
      <c r="BK72" s="111" t="str">
        <f>Montagem!BP44</f>
        <v/>
      </c>
      <c r="BL72" s="111" t="str">
        <f>Montagem!BE44</f>
        <v/>
      </c>
      <c r="BM72" s="111" t="str">
        <f>Montagem!BQ44</f>
        <v/>
      </c>
      <c r="BN72" s="106" t="str">
        <f>IF(BM72="",BK72,BM72)</f>
        <v/>
      </c>
      <c r="BO72" s="106" t="str">
        <f>IF(BK73="C",'Dados de Base'!$D$5*0.1,IF(BK73="E",5,IF(BI72="",BN72,BI72)))</f>
        <v/>
      </c>
      <c r="BP72" s="108"/>
      <c r="BQ72" s="115" t="str">
        <f>IF(CC72="","",HYPERLINK(OFFSET(Biblioteca!$B$2,MATCH(CC72,Biblioteca!$A$3:$A$200,0),0),CC72))</f>
        <v/>
      </c>
      <c r="BT72" s="109" t="str">
        <f>Montagem!BY44</f>
        <v/>
      </c>
      <c r="BU72" s="110" t="str">
        <f>Montagem!BZ44</f>
        <v/>
      </c>
      <c r="BV72" s="110" t="str">
        <f>Montagem!CA44</f>
        <v/>
      </c>
      <c r="BW72" s="110" t="str">
        <f>Montagem!CB44</f>
        <v/>
      </c>
      <c r="BX72" s="110" t="str">
        <f>Montagem!CC44</f>
        <v/>
      </c>
      <c r="BY72" s="110" t="str">
        <f>Montagem!CD44</f>
        <v/>
      </c>
      <c r="BZ72" s="114"/>
      <c r="CA72" s="111">
        <f>Montagem!BS44</f>
        <v>1</v>
      </c>
      <c r="CB72" s="111" t="str">
        <f>Montagem!CE44</f>
        <v/>
      </c>
      <c r="CC72" s="111" t="str">
        <f>Montagem!BT44</f>
        <v/>
      </c>
      <c r="CD72" s="111" t="str">
        <f>Montagem!CF44</f>
        <v/>
      </c>
      <c r="CE72" s="106" t="str">
        <f>IF(CD72="",CB72,CD72)</f>
        <v/>
      </c>
      <c r="CF72" s="106" t="str">
        <f>IF(CB73="C",'Dados de Base'!$D$5*0.1,IF(CB73="E",5,IF(BZ72="",CE72,BZ72)))</f>
        <v/>
      </c>
      <c r="CG72" s="108"/>
      <c r="CH72" s="115" t="str">
        <f>IF(CT72="","",HYPERLINK(OFFSET(Biblioteca!$B$2,MATCH(CT72,Biblioteca!$A$3:$A$200,0),0),CT72))</f>
        <v/>
      </c>
      <c r="CK72" s="109" t="str">
        <f>Montagem!CN44</f>
        <v/>
      </c>
      <c r="CL72" s="110" t="str">
        <f>Montagem!CO44</f>
        <v/>
      </c>
      <c r="CM72" s="110" t="str">
        <f>Montagem!CP44</f>
        <v/>
      </c>
      <c r="CN72" s="110" t="str">
        <f>Montagem!CQ44</f>
        <v/>
      </c>
      <c r="CO72" s="110" t="str">
        <f>Montagem!CR44</f>
        <v/>
      </c>
      <c r="CP72" s="110" t="str">
        <f>Montagem!CS44</f>
        <v/>
      </c>
      <c r="CQ72" s="114"/>
      <c r="CR72" s="111">
        <f>Montagem!CH44</f>
        <v>1</v>
      </c>
      <c r="CS72" s="111" t="str">
        <f>Montagem!CT44</f>
        <v/>
      </c>
      <c r="CT72" s="111" t="str">
        <f>Montagem!CI44</f>
        <v/>
      </c>
      <c r="CU72" s="145" t="str">
        <f>Montagem!CU44</f>
        <v/>
      </c>
      <c r="CV72" s="106" t="str">
        <f>IF(CU72="",CS72,CU72)</f>
        <v/>
      </c>
      <c r="CW72" s="106" t="str">
        <f>IF(CS73="C",'Dados de Base'!$D$5*0.1,IF(CS73="E",5,IF(CQ72="",CV72,CQ72)))</f>
        <v/>
      </c>
      <c r="CX72" s="108"/>
      <c r="CY72" s="115" t="str">
        <f>IF(DK72="","",HYPERLINK(OFFSET(Biblioteca!$B$2,MATCH(DK72,Biblioteca!$A$3:$A$200,0),0),DK72))</f>
        <v/>
      </c>
      <c r="DB72" s="130" t="str">
        <f>Montagem!DC44</f>
        <v/>
      </c>
      <c r="DC72" s="131" t="str">
        <f>Montagem!DD44</f>
        <v/>
      </c>
      <c r="DD72" s="131" t="str">
        <f>Montagem!DE44</f>
        <v/>
      </c>
      <c r="DE72" s="131" t="str">
        <f>Montagem!DF44</f>
        <v/>
      </c>
      <c r="DF72" s="131" t="str">
        <f>Montagem!DG44</f>
        <v/>
      </c>
      <c r="DG72" s="131" t="str">
        <f>Montagem!DH44</f>
        <v/>
      </c>
      <c r="DH72" s="114"/>
      <c r="DI72" s="111">
        <f>Montagem!CW44</f>
        <v>1</v>
      </c>
      <c r="DJ72" s="111" t="str">
        <f>Montagem!DI44</f>
        <v/>
      </c>
      <c r="DK72" s="111" t="str">
        <f>Montagem!CX44</f>
        <v/>
      </c>
      <c r="DL72" s="145" t="str">
        <f>Montagem!DJ44</f>
        <v/>
      </c>
      <c r="DM72" s="106" t="str">
        <f>IF(DL72="",DJ72,DL72)</f>
        <v/>
      </c>
      <c r="DN72" s="106" t="str">
        <f>IF(DJ73="C",'Dados de Base'!$D$5*0.1,IF(DJ73="E",5,IF(DH72="",DM72,DH72)))</f>
        <v/>
      </c>
      <c r="DO72" s="108"/>
      <c r="DP72" s="106"/>
      <c r="DQ72" s="106"/>
      <c r="DR72" s="106"/>
      <c r="DS72" s="106"/>
      <c r="DT72" s="106"/>
      <c r="DU72" s="106"/>
      <c r="DV72" s="106"/>
      <c r="DW72" s="106"/>
      <c r="DX72" s="106"/>
      <c r="DY72" s="106"/>
    </row>
    <row r="73">
      <c r="A73" s="117" t="str">
        <f>IF(A72="","",IFS(L73="A",Montagem!$C$30,N73="T","Realizar a maior quantidade de repetições por "&amp;F72&amp;" segundos | ",N73="I",IF(M73="U","Manter a posição por "&amp;F72&amp;" segundos de um lado e trocar para o outro na sequência | ","Manter a posição por "&amp;F72&amp;" segundos | "),M73="A","Realizar alternadamente "&amp;F72&amp;" repetições cada lado | ",M73="U","Realizar "&amp;F72&amp;" repetições de um lado e trocar para o outro na sequência | ",L73="P",OFFSET(Biblioteca!$H$2,MATCH(M72,Biblioteca!$A$3:$A$200,0),0),TRUE,""))</f>
        <v/>
      </c>
      <c r="E73" s="118" t="str">
        <f>IF(A72="","",IFS(L73="H","Carga Sugerida: "&amp;ROUNDUP(O72/2,0)&amp;" kg de cada lado (Total: "&amp;ROUNDUP(O72/2,0)*2&amp;" kg)",L73="C","Este exercício usa o Peso Corporal como carga",L73="E","Este exercício usa a resistência da banda elástica como carga",L73="O","Carga Sugerida: "&amp;INT(O72)&amp;" kg",TRUE,""))</f>
        <v/>
      </c>
      <c r="J73" s="66"/>
      <c r="K73" s="106">
        <f>K72</f>
        <v>1</v>
      </c>
      <c r="L73" s="120" t="str">
        <f>LEFT(O73)</f>
        <v/>
      </c>
      <c r="M73" s="121" t="str">
        <f>MID(O73,2,1)</f>
        <v/>
      </c>
      <c r="N73" s="122" t="str">
        <f>RIGHT(O73)</f>
        <v/>
      </c>
      <c r="O73" s="123" t="str">
        <f>IF(M72="","",OFFSET(Biblioteca!$I$2,MATCH(M72,Biblioteca!$A$3:$A$200,0),0))</f>
        <v/>
      </c>
      <c r="P73" s="124"/>
      <c r="Q73" s="125"/>
      <c r="R73" s="117" t="str">
        <f>IF(R72="","",IFS(AC73="A",Montagem!$D$30,AE73="T","Realizar a maior quantidade de repetições por "&amp;W72&amp;" segundos | ",AE73="I",IF(AD73="U","Manter a posição por "&amp;W72&amp;" segundos de um lado e trocar para o outro na sequência | ","Manter a posição por "&amp;W72&amp;" segundos | "),AD73="A","Realizar alternadamente "&amp;W72&amp;" repetições cada lado | ",AD73="U","Realizar "&amp;W72&amp;" repetições de um lado e trocar para o outro na sequência | ",AC73="P",OFFSET(Biblioteca!$H$2,MATCH(AD72,Biblioteca!$A$3:$A$200,0),0),TRUE,""))</f>
        <v/>
      </c>
      <c r="V73" s="118" t="str">
        <f>IF(R72="","",IFS(AC73="H","Carga Sugerida: "&amp;ROUNDUP(AF72/2,0)&amp;" kg de cada lado (Total: "&amp;ROUNDUP(AF72/2,0)*2&amp;" kg)",AC73="C","Este exercício usa o Peso Corporal como carga",AC73="E","Este exercício usa a resistência da banda elástica como carga",AC73="O","Carga Sugerida: "&amp;INT(AF72)&amp;" kg",TRUE,""))</f>
        <v/>
      </c>
      <c r="AA73" s="66"/>
      <c r="AB73" s="111">
        <f>AB72</f>
        <v>1</v>
      </c>
      <c r="AC73" s="120" t="str">
        <f>LEFT(AF73)</f>
        <v/>
      </c>
      <c r="AD73" s="121" t="str">
        <f>MID(AF73,2,1)</f>
        <v/>
      </c>
      <c r="AE73" s="122" t="str">
        <f>RIGHT(AF73)</f>
        <v/>
      </c>
      <c r="AF73" s="123" t="str">
        <f>IF(AD72="","",OFFSET(Biblioteca!$I$2,MATCH(AD72,Biblioteca!$A$3:$A$200,0),0))</f>
        <v/>
      </c>
      <c r="AG73" s="124"/>
      <c r="AH73" s="125"/>
      <c r="AI73" s="117" t="str">
        <f>IF(AI72="","",IFS(AT73="A",Montagem!$E$30,AV73="T","Realizar a maior quantidade de repetições por "&amp;AN72&amp;" segundos | ",AV73="I",IF(AU73="U","Manter a posição por "&amp;AN72&amp;" segundos de um lado e trocar para o outro na sequência | ","Manter a posição por "&amp;AN72&amp;" segundos | "),AU73="A","Realizar alternadamente "&amp;AN72&amp;" repetições cada lado | ",AU73="U","Realizar "&amp;AN72&amp;" repetições de um lado e trocar para o outro na sequência | ",AT73="P",OFFSET(Biblioteca!$H$2,MATCH(AU72,Biblioteca!$A$3:$A$200,0),0),TRUE,""))</f>
        <v/>
      </c>
      <c r="AM73" s="118" t="str">
        <f>IF(AI72="","",IFS(AT73="H","Carga Sugerida: "&amp;ROUNDUP(AW72/2,0)&amp;" kg de cada lado (Total: "&amp;ROUNDUP(AW72/2,0)*2&amp;" kg)",AT73="C","Este exercício usa o Peso Corporal como carga",AT73="E","Este exercício usa a resistência da banda elástica como carga",AT73="O","Carga Sugerida: "&amp;INT(AW72)&amp;" kg",TRUE,""))</f>
        <v/>
      </c>
      <c r="AR73" s="66"/>
      <c r="AS73" s="111">
        <f>AS72</f>
        <v>1</v>
      </c>
      <c r="AT73" s="120" t="str">
        <f>LEFT(AW73)</f>
        <v/>
      </c>
      <c r="AU73" s="121" t="str">
        <f>MID(AW73,2,1)</f>
        <v/>
      </c>
      <c r="AV73" s="122" t="str">
        <f>RIGHT(AW73)</f>
        <v/>
      </c>
      <c r="AW73" s="123" t="str">
        <f>IF(AU72="","",OFFSET(Biblioteca!$I$2,MATCH(AU72,Biblioteca!$A$3:$A$200,0),0))</f>
        <v/>
      </c>
      <c r="AX73" s="124"/>
      <c r="AY73" s="125"/>
      <c r="AZ73" s="117" t="str">
        <f>IF(AZ72="","",IFS(BK73="A",Montagem!$F$30,BM73="T","Realizar a maior quantidade de repetições por "&amp;BE72&amp;" segundos | ",BM73="I",IF(BL73="U","Manter a posição por "&amp;BE72&amp;" segundos de um lado e trocar para o outro na sequência | ","Manter a posição por "&amp;BE72&amp;" segundos | "),BL73="A","Realizar alternadamente "&amp;BE72&amp;" repetições cada lado | ",BL73="U","Realizar "&amp;BE72&amp;" repetições de um lado e trocar para o outro na sequência | ",BK73="P",OFFSET(Biblioteca!$H$2,MATCH(BL72,Biblioteca!$A$3:$A$200,0),0),TRUE,""))</f>
        <v/>
      </c>
      <c r="BD73" s="118" t="str">
        <f>IF(AZ72="","",IFS(BK73="H","Carga Sugerida: "&amp;ROUNDUP(BN72/2,0)&amp;" kg de cada lado (Total: "&amp;ROUNDUP(BN72/2,0)*2&amp;" kg)",BK73="C","Este exercício usa o Peso Corporal como carga",BK73="E","Este exercício usa a resistência da banda elástica como carga",BK73="O","Carga Sugerida: "&amp;INT(BN72)&amp;" kg",TRUE,""))</f>
        <v/>
      </c>
      <c r="BI73" s="66"/>
      <c r="BJ73" s="111">
        <f>BJ72</f>
        <v>1</v>
      </c>
      <c r="BK73" s="120" t="str">
        <f>LEFT(BN73)</f>
        <v/>
      </c>
      <c r="BL73" s="121" t="str">
        <f>MID(BN73,2,1)</f>
        <v/>
      </c>
      <c r="BM73" s="122" t="str">
        <f>RIGHT(BN73)</f>
        <v/>
      </c>
      <c r="BN73" s="123" t="str">
        <f>IF(BL72="","",OFFSET(Biblioteca!$I$2,MATCH(BL72,Biblioteca!$A$3:$A$200,0),0))</f>
        <v/>
      </c>
      <c r="BO73" s="124"/>
      <c r="BP73" s="125"/>
      <c r="BQ73" s="117" t="str">
        <f>IF(BQ72="","",IFS(CB73="A",Montagem!$G$30,CD73="T","Realizar a maior quantidade de repetições por "&amp;BV72&amp;" segundos | ",CD73="I",IF(CC73="U","Manter a posição por "&amp;BV72&amp;" segundos de um lado e trocar para o outro na sequência | ","Manter a posição por "&amp;BV72&amp;" segundos | "),CC73="A","Realizar alternadamente "&amp;BV72&amp;" repetições cada lado | ",CC73="U","Realizar "&amp;BV72&amp;" repetições de um lado e trocar para o outro na sequência | ",CB73="P",OFFSET(Biblioteca!$H$2,MATCH(CC72,Biblioteca!$A$3:$A$200,0),0),TRUE,""))</f>
        <v/>
      </c>
      <c r="BU73" s="118" t="str">
        <f>IF(BQ72="","",IFS(CB73="H","Carga Sugerida: "&amp;ROUNDUP(CE72/2,0)&amp;" kg de cada lado (Total: "&amp;ROUNDUP(CE72/2,0)*2&amp;" kg)",CB73="C","Este exercício usa o Peso Corporal como carga",CB73="E","Este exercício usa a resistência da banda elástica como carga",CB73="O","Carga Sugerida: "&amp;INT(CE72)&amp;" kg",TRUE,""))</f>
        <v/>
      </c>
      <c r="BZ73" s="66"/>
      <c r="CA73" s="111">
        <f>CA72</f>
        <v>1</v>
      </c>
      <c r="CB73" s="120" t="str">
        <f>LEFT(CE73)</f>
        <v/>
      </c>
      <c r="CC73" s="121" t="str">
        <f>MID(CE73,2,1)</f>
        <v/>
      </c>
      <c r="CD73" s="122" t="str">
        <f>RIGHT(CE73)</f>
        <v/>
      </c>
      <c r="CE73" s="123" t="str">
        <f>IF(CC72="","",OFFSET(Biblioteca!$I$2,MATCH(CC72,Biblioteca!$A$3:$A$200,0),0))</f>
        <v/>
      </c>
      <c r="CF73" s="124"/>
      <c r="CG73" s="125"/>
      <c r="CH73" s="117" t="str">
        <f>IF(CH72="","",IFS(CS73="A",Montagem!$H$30,CU73="T","Realizar a maior quantidade de repetições por "&amp;CM72&amp;" segundos | ",CU73="I",IF(CT73="U","Manter a posição por "&amp;CM72&amp;" segundos de um lado e trocar para o outro na sequência | ","Manter a posição por "&amp;CM72&amp;" segundos | "),CT73="A","Realizar alternadamente "&amp;CM72&amp;" repetições cada lado | ",CT73="U","Realizar "&amp;CM72&amp;" repetições de um lado e trocar para o outro na sequência | ",CS73="P",OFFSET(Biblioteca!$H$2,MATCH(CT72,Biblioteca!$A$3:$A$200,0),0),TRUE,""))</f>
        <v/>
      </c>
      <c r="CL73" s="118" t="str">
        <f>IF(CH72="","",IFS(CS73="H","Carga Sugerida: "&amp;ROUNDUP(CV72/2,0)&amp;" kg de cada lado (Total: "&amp;ROUNDUP(CV72/2,0)*2&amp;" kg)",CS73="C","Este exercício usa o Peso Corporal como carga",CS73="E","Este exercício usa a resistência da banda elástica como carga",CS73="O","Carga Sugerida: "&amp;INT(CV72)&amp;" kg",TRUE,""))</f>
        <v/>
      </c>
      <c r="CQ73" s="66"/>
      <c r="CR73" s="111">
        <f>CR72</f>
        <v>1</v>
      </c>
      <c r="CS73" s="120" t="str">
        <f>LEFT(CV73)</f>
        <v/>
      </c>
      <c r="CT73" s="121" t="str">
        <f>MID(CV73,2,1)</f>
        <v/>
      </c>
      <c r="CU73" s="122" t="str">
        <f>RIGHT(CV73)</f>
        <v/>
      </c>
      <c r="CV73" s="123" t="str">
        <f>IF(CT72="","",OFFSET(Biblioteca!$I$2,MATCH(CT72,Biblioteca!$A$3:$A$200,0),0))</f>
        <v/>
      </c>
      <c r="CW73" s="124"/>
      <c r="CX73" s="125"/>
      <c r="CY73" s="117" t="str">
        <f>IF(CY72="","",IFS(DJ73="A",Montagem!$I$30,DL73="T","Realizar a maior quantidade de repetições por "&amp;DD72&amp;" segundos | ",DL73="I",IF(DK73="U","Manter a posição por "&amp;DD72&amp;" segundos de um lado e trocar para o outro na sequência | ","Manter a posição por "&amp;DD72&amp;" segundos | "),DK73="A","Realizar alternadamente "&amp;DD72&amp;" repetições cada lado | ",DK73="U","Realizar "&amp;DD72&amp;" repetições de um lado e trocar para o outro na sequência | ",DJ73="P",OFFSET(Biblioteca!$H$2,MATCH(DK72,Biblioteca!$A$3:$A$200,0),0),TRUE,""))</f>
        <v/>
      </c>
      <c r="DC73" s="118" t="str">
        <f>IF(CY72="","",IFS(DJ73="H","Carga Sugerida: "&amp;ROUNDUP(DM72/2,0)&amp;" kg de cada lado (Total: "&amp;ROUNDUP(DM72/2,0)*2&amp;" kg)",DJ73="C","Este exercício usa o Peso Corporal como carga",DJ73="E","Este exercício usa a resistência da banda elástica como carga",DJ73="O","Carga Sugerida: "&amp;INT(DM72)&amp;" kg",TRUE,""))</f>
        <v/>
      </c>
      <c r="DH73" s="66"/>
      <c r="DI73" s="111">
        <f>DI72</f>
        <v>1</v>
      </c>
      <c r="DJ73" s="120" t="str">
        <f>LEFT(DM73)</f>
        <v/>
      </c>
      <c r="DK73" s="121" t="str">
        <f>MID(DM73,2,1)</f>
        <v/>
      </c>
      <c r="DL73" s="122" t="str">
        <f>RIGHT(DM73)</f>
        <v/>
      </c>
      <c r="DM73" s="123" t="str">
        <f>IF(DK72="","",OFFSET(Biblioteca!$I$2,MATCH(DK72,Biblioteca!$A$3:$A$200,0),0))</f>
        <v/>
      </c>
      <c r="DN73" s="124"/>
      <c r="DO73" s="125"/>
      <c r="DP73" s="57"/>
      <c r="DQ73" s="56"/>
      <c r="DR73" s="56"/>
      <c r="DS73" s="56"/>
      <c r="DT73" s="56"/>
      <c r="DU73" s="56"/>
      <c r="DV73" s="56"/>
      <c r="DW73" s="56"/>
      <c r="DX73" s="56"/>
      <c r="DY73" s="56"/>
    </row>
    <row r="74">
      <c r="A74" s="154" t="s">
        <v>49</v>
      </c>
      <c r="B74" s="155"/>
      <c r="C74" s="155"/>
      <c r="D74" s="155"/>
      <c r="E74" s="155"/>
      <c r="F74" s="155"/>
      <c r="G74" s="155"/>
      <c r="H74" s="155"/>
      <c r="I74" s="155"/>
      <c r="J74" s="156"/>
      <c r="K74" s="57"/>
      <c r="L74" s="57"/>
      <c r="M74" s="57"/>
      <c r="N74" s="57"/>
      <c r="O74" s="57"/>
      <c r="P74" s="57"/>
      <c r="Q74" s="58"/>
      <c r="R74" s="154" t="s">
        <v>49</v>
      </c>
      <c r="S74" s="155"/>
      <c r="T74" s="155"/>
      <c r="U74" s="155"/>
      <c r="V74" s="155"/>
      <c r="W74" s="155"/>
      <c r="X74" s="155"/>
      <c r="Y74" s="155"/>
      <c r="Z74" s="155"/>
      <c r="AA74" s="156"/>
      <c r="AB74" s="57"/>
      <c r="AC74" s="57"/>
      <c r="AD74" s="57"/>
      <c r="AE74" s="57"/>
      <c r="AF74" s="57"/>
      <c r="AG74" s="57"/>
      <c r="AH74" s="58"/>
      <c r="AI74" s="154" t="s">
        <v>49</v>
      </c>
      <c r="AJ74" s="155"/>
      <c r="AK74" s="155"/>
      <c r="AL74" s="155"/>
      <c r="AM74" s="155"/>
      <c r="AN74" s="155"/>
      <c r="AO74" s="155"/>
      <c r="AP74" s="155"/>
      <c r="AQ74" s="155"/>
      <c r="AR74" s="156"/>
      <c r="AS74" s="57"/>
      <c r="AT74" s="57"/>
      <c r="AU74" s="57"/>
      <c r="AV74" s="57"/>
      <c r="AW74" s="57"/>
      <c r="AX74" s="57"/>
      <c r="AY74" s="58"/>
      <c r="AZ74" s="154" t="s">
        <v>49</v>
      </c>
      <c r="BA74" s="155"/>
      <c r="BB74" s="155"/>
      <c r="BC74" s="155"/>
      <c r="BD74" s="155"/>
      <c r="BE74" s="155"/>
      <c r="BF74" s="155"/>
      <c r="BG74" s="155"/>
      <c r="BH74" s="155"/>
      <c r="BI74" s="156"/>
      <c r="BJ74" s="57"/>
      <c r="BK74" s="57"/>
      <c r="BL74" s="57"/>
      <c r="BM74" s="57"/>
      <c r="BN74" s="57"/>
      <c r="BO74" s="57"/>
      <c r="BP74" s="58"/>
      <c r="BQ74" s="154" t="s">
        <v>49</v>
      </c>
      <c r="BR74" s="155"/>
      <c r="BS74" s="155"/>
      <c r="BT74" s="155"/>
      <c r="BU74" s="155"/>
      <c r="BV74" s="155"/>
      <c r="BW74" s="155"/>
      <c r="BX74" s="155"/>
      <c r="BY74" s="155"/>
      <c r="BZ74" s="156"/>
      <c r="CA74" s="57"/>
      <c r="CB74" s="57"/>
      <c r="CC74" s="57"/>
      <c r="CD74" s="57"/>
      <c r="CE74" s="57"/>
      <c r="CF74" s="57"/>
      <c r="CG74" s="58"/>
      <c r="CH74" s="154" t="s">
        <v>49</v>
      </c>
      <c r="CI74" s="155"/>
      <c r="CJ74" s="155"/>
      <c r="CK74" s="155"/>
      <c r="CL74" s="155"/>
      <c r="CM74" s="155"/>
      <c r="CN74" s="155"/>
      <c r="CO74" s="155"/>
      <c r="CP74" s="155"/>
      <c r="CQ74" s="156"/>
      <c r="CR74" s="57"/>
      <c r="CS74" s="57"/>
      <c r="CT74" s="57"/>
      <c r="CU74" s="57"/>
      <c r="CV74" s="57"/>
      <c r="CW74" s="57"/>
      <c r="CX74" s="58"/>
      <c r="CY74" s="154" t="s">
        <v>49</v>
      </c>
      <c r="CZ74" s="155"/>
      <c r="DA74" s="155"/>
      <c r="DB74" s="155"/>
      <c r="DC74" s="155"/>
      <c r="DD74" s="155"/>
      <c r="DE74" s="155"/>
      <c r="DF74" s="155"/>
      <c r="DG74" s="155"/>
      <c r="DH74" s="156"/>
      <c r="DI74" s="57"/>
      <c r="DJ74" s="57"/>
      <c r="DK74" s="57"/>
      <c r="DL74" s="57"/>
      <c r="DM74" s="57"/>
      <c r="DN74" s="57"/>
      <c r="DO74" s="58"/>
      <c r="DP74" s="57"/>
      <c r="DQ74" s="56"/>
      <c r="DR74" s="56"/>
      <c r="DS74" s="56"/>
      <c r="DT74" s="56"/>
      <c r="DU74" s="56"/>
      <c r="DV74" s="56"/>
      <c r="DW74" s="56"/>
      <c r="DX74" s="56"/>
      <c r="DY74" s="56"/>
    </row>
    <row r="75">
      <c r="A75" s="157"/>
      <c r="J75" s="66"/>
      <c r="K75" s="158"/>
      <c r="L75" s="158"/>
      <c r="M75" s="158"/>
      <c r="N75" s="158"/>
      <c r="O75" s="158"/>
      <c r="P75" s="158"/>
      <c r="Q75" s="158"/>
      <c r="R75" s="159"/>
      <c r="AA75" s="66"/>
      <c r="AB75" s="158"/>
      <c r="AC75" s="158"/>
      <c r="AD75" s="158"/>
      <c r="AE75" s="158"/>
      <c r="AF75" s="158"/>
      <c r="AG75" s="158"/>
      <c r="AH75" s="158"/>
      <c r="AI75" s="159"/>
      <c r="AR75" s="66"/>
      <c r="AS75" s="158"/>
      <c r="AT75" s="158"/>
      <c r="AU75" s="158"/>
      <c r="AV75" s="158"/>
      <c r="AW75" s="158"/>
      <c r="AX75" s="158"/>
      <c r="AY75" s="158"/>
      <c r="AZ75" s="160"/>
      <c r="BI75" s="66"/>
      <c r="BJ75" s="158"/>
      <c r="BK75" s="158"/>
      <c r="BL75" s="158"/>
      <c r="BM75" s="158"/>
      <c r="BN75" s="158"/>
      <c r="BO75" s="158"/>
      <c r="BP75" s="158"/>
      <c r="BQ75" s="160"/>
      <c r="BZ75" s="66"/>
      <c r="CA75" s="158"/>
      <c r="CB75" s="158"/>
      <c r="CC75" s="158"/>
      <c r="CD75" s="158"/>
      <c r="CE75" s="158"/>
      <c r="CF75" s="158"/>
      <c r="CG75" s="158"/>
      <c r="CH75" s="159"/>
      <c r="CQ75" s="66"/>
      <c r="CR75" s="158"/>
      <c r="CS75" s="158"/>
      <c r="CT75" s="158"/>
      <c r="CU75" s="158"/>
      <c r="CV75" s="158"/>
      <c r="CW75" s="158"/>
      <c r="CX75" s="158"/>
      <c r="CY75" s="159"/>
      <c r="DH75" s="66"/>
      <c r="DI75" s="57"/>
      <c r="DJ75" s="57"/>
      <c r="DK75" s="57"/>
      <c r="DL75" s="57"/>
      <c r="DM75" s="57"/>
      <c r="DN75" s="57"/>
      <c r="DO75" s="58"/>
      <c r="DP75" s="57"/>
      <c r="DQ75" s="56"/>
      <c r="DR75" s="56"/>
      <c r="DS75" s="56"/>
      <c r="DT75" s="56"/>
      <c r="DU75" s="56"/>
      <c r="DV75" s="56"/>
      <c r="DW75" s="56"/>
      <c r="DX75" s="56"/>
      <c r="DY75" s="56"/>
    </row>
    <row r="76">
      <c r="A76" s="157"/>
      <c r="J76" s="66"/>
      <c r="K76" s="158"/>
      <c r="L76" s="158"/>
      <c r="M76" s="158"/>
      <c r="N76" s="158"/>
      <c r="O76" s="158"/>
      <c r="P76" s="158"/>
      <c r="Q76" s="158"/>
      <c r="R76" s="159"/>
      <c r="AA76" s="66"/>
      <c r="AB76" s="158"/>
      <c r="AC76" s="158"/>
      <c r="AD76" s="158"/>
      <c r="AE76" s="158"/>
      <c r="AF76" s="158"/>
      <c r="AG76" s="158"/>
      <c r="AH76" s="158"/>
      <c r="AI76" s="159"/>
      <c r="AR76" s="66"/>
      <c r="AS76" s="158"/>
      <c r="AT76" s="158"/>
      <c r="AU76" s="158"/>
      <c r="AV76" s="158"/>
      <c r="AW76" s="158"/>
      <c r="AX76" s="158"/>
      <c r="AY76" s="158"/>
      <c r="AZ76" s="160"/>
      <c r="BI76" s="66"/>
      <c r="BJ76" s="158"/>
      <c r="BK76" s="158"/>
      <c r="BL76" s="158"/>
      <c r="BM76" s="158"/>
      <c r="BN76" s="158"/>
      <c r="BO76" s="158"/>
      <c r="BP76" s="158"/>
      <c r="BQ76" s="160"/>
      <c r="BZ76" s="66"/>
      <c r="CA76" s="158"/>
      <c r="CB76" s="158"/>
      <c r="CC76" s="158"/>
      <c r="CD76" s="158"/>
      <c r="CE76" s="158"/>
      <c r="CF76" s="158"/>
      <c r="CG76" s="158"/>
      <c r="CH76" s="159"/>
      <c r="CQ76" s="66"/>
      <c r="CR76" s="158"/>
      <c r="CS76" s="158"/>
      <c r="CT76" s="158"/>
      <c r="CU76" s="158"/>
      <c r="CV76" s="158"/>
      <c r="CW76" s="158"/>
      <c r="CX76" s="158"/>
      <c r="CY76" s="157"/>
      <c r="DH76" s="66"/>
      <c r="DI76" s="57"/>
      <c r="DJ76" s="57"/>
      <c r="DK76" s="57"/>
      <c r="DL76" s="57"/>
      <c r="DM76" s="57"/>
      <c r="DN76" s="57"/>
      <c r="DO76" s="58"/>
      <c r="DP76" s="57"/>
      <c r="DQ76" s="56"/>
      <c r="DR76" s="56"/>
      <c r="DS76" s="56"/>
      <c r="DT76" s="56"/>
      <c r="DU76" s="56"/>
      <c r="DV76" s="56"/>
      <c r="DW76" s="56"/>
      <c r="DX76" s="56"/>
      <c r="DY76" s="56"/>
    </row>
    <row r="77">
      <c r="A77" s="159"/>
      <c r="J77" s="66"/>
      <c r="K77" s="158"/>
      <c r="L77" s="158"/>
      <c r="M77" s="158"/>
      <c r="N77" s="158"/>
      <c r="O77" s="158"/>
      <c r="P77" s="158"/>
      <c r="Q77" s="158"/>
      <c r="R77" s="157"/>
      <c r="AA77" s="66"/>
      <c r="AB77" s="158"/>
      <c r="AC77" s="158"/>
      <c r="AD77" s="158"/>
      <c r="AE77" s="158"/>
      <c r="AF77" s="158"/>
      <c r="AG77" s="158"/>
      <c r="AH77" s="158"/>
      <c r="AI77" s="159"/>
      <c r="AR77" s="66"/>
      <c r="AS77" s="158"/>
      <c r="AT77" s="158"/>
      <c r="AU77" s="158"/>
      <c r="AV77" s="158"/>
      <c r="AW77" s="158"/>
      <c r="AX77" s="158"/>
      <c r="AY77" s="158"/>
      <c r="AZ77" s="161"/>
      <c r="BI77" s="66"/>
      <c r="BJ77" s="158"/>
      <c r="BK77" s="158"/>
      <c r="BL77" s="158"/>
      <c r="BM77" s="158"/>
      <c r="BN77" s="158"/>
      <c r="BO77" s="158"/>
      <c r="BP77" s="158"/>
      <c r="BQ77" s="160"/>
      <c r="BZ77" s="66"/>
      <c r="CA77" s="158"/>
      <c r="CB77" s="158"/>
      <c r="CC77" s="158"/>
      <c r="CD77" s="158"/>
      <c r="CE77" s="158"/>
      <c r="CF77" s="158"/>
      <c r="CG77" s="158"/>
      <c r="CH77" s="157"/>
      <c r="CQ77" s="66"/>
      <c r="CR77" s="158"/>
      <c r="CS77" s="158"/>
      <c r="CT77" s="158"/>
      <c r="CU77" s="158"/>
      <c r="CV77" s="158"/>
      <c r="CW77" s="158"/>
      <c r="CX77" s="158"/>
      <c r="CY77" s="159"/>
      <c r="DH77" s="66"/>
      <c r="DI77" s="57"/>
      <c r="DJ77" s="57"/>
      <c r="DK77" s="57"/>
      <c r="DL77" s="57"/>
      <c r="DM77" s="57"/>
      <c r="DN77" s="57"/>
      <c r="DO77" s="58"/>
      <c r="DP77" s="57"/>
      <c r="DQ77" s="56"/>
      <c r="DR77" s="56"/>
      <c r="DS77" s="56"/>
      <c r="DT77" s="56"/>
      <c r="DU77" s="56"/>
      <c r="DV77" s="56"/>
      <c r="DW77" s="56"/>
      <c r="DX77" s="56"/>
      <c r="DY77" s="56"/>
    </row>
    <row r="78">
      <c r="A78" s="159"/>
      <c r="J78" s="66"/>
      <c r="K78" s="158"/>
      <c r="L78" s="158"/>
      <c r="M78" s="158"/>
      <c r="N78" s="158"/>
      <c r="O78" s="158"/>
      <c r="P78" s="158"/>
      <c r="Q78" s="158"/>
      <c r="R78" s="159"/>
      <c r="AA78" s="66"/>
      <c r="AB78" s="158"/>
      <c r="AC78" s="158"/>
      <c r="AD78" s="158"/>
      <c r="AE78" s="158"/>
      <c r="AF78" s="158"/>
      <c r="AG78" s="158"/>
      <c r="AH78" s="158"/>
      <c r="AI78" s="157"/>
      <c r="AR78" s="66"/>
      <c r="AS78" s="158"/>
      <c r="AT78" s="158"/>
      <c r="AU78" s="158"/>
      <c r="AV78" s="158"/>
      <c r="AW78" s="158"/>
      <c r="AX78" s="158"/>
      <c r="AY78" s="158"/>
      <c r="AZ78" s="160"/>
      <c r="BI78" s="66"/>
      <c r="BJ78" s="158"/>
      <c r="BK78" s="158"/>
      <c r="BL78" s="158"/>
      <c r="BM78" s="158"/>
      <c r="BN78" s="158"/>
      <c r="BO78" s="158"/>
      <c r="BP78" s="158"/>
      <c r="BQ78" s="161"/>
      <c r="BZ78" s="66"/>
      <c r="CA78" s="158"/>
      <c r="CB78" s="158"/>
      <c r="CC78" s="158"/>
      <c r="CD78" s="158"/>
      <c r="CE78" s="158"/>
      <c r="CF78" s="158"/>
      <c r="CG78" s="158"/>
      <c r="CH78" s="159"/>
      <c r="CQ78" s="66"/>
      <c r="CR78" s="158"/>
      <c r="CS78" s="158"/>
      <c r="CT78" s="158"/>
      <c r="CU78" s="158"/>
      <c r="CV78" s="158"/>
      <c r="CW78" s="158"/>
      <c r="CX78" s="158"/>
      <c r="CY78" s="159"/>
      <c r="DH78" s="66"/>
      <c r="DI78" s="57"/>
      <c r="DJ78" s="57"/>
      <c r="DK78" s="57"/>
      <c r="DL78" s="57"/>
      <c r="DM78" s="57"/>
      <c r="DN78" s="57"/>
      <c r="DO78" s="58"/>
      <c r="DP78" s="57"/>
      <c r="DQ78" s="56"/>
      <c r="DR78" s="56"/>
      <c r="DS78" s="56"/>
      <c r="DT78" s="56"/>
      <c r="DU78" s="56"/>
      <c r="DV78" s="56"/>
      <c r="DW78" s="56"/>
      <c r="DX78" s="56"/>
      <c r="DY78" s="56"/>
    </row>
    <row r="79">
      <c r="A79" s="162"/>
      <c r="B79" s="163"/>
      <c r="C79" s="163"/>
      <c r="D79" s="163"/>
      <c r="E79" s="163"/>
      <c r="F79" s="163"/>
      <c r="G79" s="163"/>
      <c r="H79" s="163"/>
      <c r="I79" s="163"/>
      <c r="J79" s="164"/>
      <c r="K79" s="158"/>
      <c r="L79" s="158"/>
      <c r="M79" s="158"/>
      <c r="N79" s="158"/>
      <c r="O79" s="158"/>
      <c r="P79" s="158"/>
      <c r="Q79" s="158"/>
      <c r="R79" s="165"/>
      <c r="S79" s="163"/>
      <c r="T79" s="163"/>
      <c r="U79" s="163"/>
      <c r="V79" s="163"/>
      <c r="W79" s="163"/>
      <c r="X79" s="163"/>
      <c r="Y79" s="163"/>
      <c r="Z79" s="163"/>
      <c r="AA79" s="164"/>
      <c r="AB79" s="158"/>
      <c r="AC79" s="158"/>
      <c r="AD79" s="158"/>
      <c r="AE79" s="158"/>
      <c r="AF79" s="158"/>
      <c r="AG79" s="158"/>
      <c r="AH79" s="158"/>
      <c r="AI79" s="165"/>
      <c r="AJ79" s="163"/>
      <c r="AK79" s="163"/>
      <c r="AL79" s="163"/>
      <c r="AM79" s="163"/>
      <c r="AN79" s="163"/>
      <c r="AO79" s="163"/>
      <c r="AP79" s="163"/>
      <c r="AQ79" s="163"/>
      <c r="AR79" s="164"/>
      <c r="AS79" s="158"/>
      <c r="AT79" s="158"/>
      <c r="AU79" s="158"/>
      <c r="AV79" s="158"/>
      <c r="AW79" s="158"/>
      <c r="AX79" s="158"/>
      <c r="AY79" s="158"/>
      <c r="AZ79" s="166"/>
      <c r="BA79" s="163"/>
      <c r="BB79" s="163"/>
      <c r="BC79" s="163"/>
      <c r="BD79" s="163"/>
      <c r="BE79" s="163"/>
      <c r="BF79" s="163"/>
      <c r="BG79" s="163"/>
      <c r="BH79" s="163"/>
      <c r="BI79" s="164"/>
      <c r="BJ79" s="158"/>
      <c r="BK79" s="158"/>
      <c r="BL79" s="158"/>
      <c r="BM79" s="158"/>
      <c r="BN79" s="158"/>
      <c r="BO79" s="158"/>
      <c r="BP79" s="158"/>
      <c r="BQ79" s="165"/>
      <c r="BR79" s="163"/>
      <c r="BS79" s="163"/>
      <c r="BT79" s="163"/>
      <c r="BU79" s="163"/>
      <c r="BV79" s="163"/>
      <c r="BW79" s="163"/>
      <c r="BX79" s="163"/>
      <c r="BY79" s="163"/>
      <c r="BZ79" s="164"/>
      <c r="CA79" s="158"/>
      <c r="CB79" s="158"/>
      <c r="CC79" s="158"/>
      <c r="CD79" s="158"/>
      <c r="CE79" s="158"/>
      <c r="CF79" s="158"/>
      <c r="CG79" s="158"/>
      <c r="CH79" s="165"/>
      <c r="CI79" s="163"/>
      <c r="CJ79" s="163"/>
      <c r="CK79" s="163"/>
      <c r="CL79" s="163"/>
      <c r="CM79" s="163"/>
      <c r="CN79" s="163"/>
      <c r="CO79" s="163"/>
      <c r="CP79" s="163"/>
      <c r="CQ79" s="164"/>
      <c r="CR79" s="158"/>
      <c r="CS79" s="158"/>
      <c r="CT79" s="158"/>
      <c r="CU79" s="158"/>
      <c r="CV79" s="158"/>
      <c r="CW79" s="158"/>
      <c r="CX79" s="158"/>
      <c r="CY79" s="165"/>
      <c r="CZ79" s="163"/>
      <c r="DA79" s="163"/>
      <c r="DB79" s="163"/>
      <c r="DC79" s="163"/>
      <c r="DD79" s="163"/>
      <c r="DE79" s="163"/>
      <c r="DF79" s="163"/>
      <c r="DG79" s="163"/>
      <c r="DH79" s="164"/>
      <c r="DI79" s="57"/>
      <c r="DJ79" s="57"/>
      <c r="DK79" s="57"/>
      <c r="DL79" s="57"/>
      <c r="DM79" s="57"/>
      <c r="DN79" s="57"/>
      <c r="DO79" s="58"/>
      <c r="DP79" s="57"/>
      <c r="DQ79" s="56"/>
      <c r="DR79" s="56"/>
      <c r="DS79" s="56"/>
      <c r="DT79" s="56"/>
      <c r="DU79" s="56"/>
      <c r="DV79" s="56"/>
      <c r="DW79" s="56"/>
      <c r="DX79" s="56"/>
      <c r="DY79" s="56"/>
    </row>
    <row r="80">
      <c r="A80" s="167" t="s">
        <v>50</v>
      </c>
      <c r="B80" s="168"/>
      <c r="C80" s="168"/>
      <c r="D80" s="169"/>
      <c r="E80" s="168"/>
      <c r="F80" s="168"/>
      <c r="G80" s="168"/>
      <c r="H80" s="168"/>
      <c r="I80" s="168"/>
      <c r="J80" s="170"/>
      <c r="K80" s="106" t="str">
        <f>Montagem!X46</f>
        <v/>
      </c>
      <c r="L80" s="57">
        <f>MAX(M80,K80)</f>
        <v>0</v>
      </c>
      <c r="M80" s="57">
        <f>LEFT(D80,2)+0</f>
        <v>0</v>
      </c>
      <c r="N80" s="57"/>
      <c r="O80" s="57"/>
      <c r="P80" s="57"/>
      <c r="Q80" s="58"/>
      <c r="R80" s="167" t="s">
        <v>50</v>
      </c>
      <c r="S80" s="168"/>
      <c r="T80" s="168"/>
      <c r="U80" s="169"/>
      <c r="V80" s="168"/>
      <c r="W80" s="168"/>
      <c r="X80" s="168"/>
      <c r="Y80" s="168"/>
      <c r="Z80" s="168"/>
      <c r="AA80" s="170"/>
      <c r="AB80" s="106" t="str">
        <f>Montagem!AM46</f>
        <v/>
      </c>
      <c r="AC80" s="57">
        <f>MAX(AD80,AB80)</f>
        <v>0</v>
      </c>
      <c r="AD80" s="57">
        <f>LEFT(U80,2)+0</f>
        <v>0</v>
      </c>
      <c r="AE80" s="57"/>
      <c r="AF80" s="57"/>
      <c r="AG80" s="57"/>
      <c r="AH80" s="58"/>
      <c r="AI80" s="167" t="s">
        <v>50</v>
      </c>
      <c r="AJ80" s="168"/>
      <c r="AK80" s="168"/>
      <c r="AL80" s="169"/>
      <c r="AM80" s="168"/>
      <c r="AN80" s="168"/>
      <c r="AO80" s="168"/>
      <c r="AP80" s="168"/>
      <c r="AQ80" s="168"/>
      <c r="AR80" s="170"/>
      <c r="AS80" s="106" t="str">
        <f>Montagem!BB46</f>
        <v/>
      </c>
      <c r="AT80" s="57">
        <f>MAX(AU80,AS80)</f>
        <v>0</v>
      </c>
      <c r="AU80" s="57">
        <f>LEFT(AL80,2)+0</f>
        <v>0</v>
      </c>
      <c r="AV80" s="57"/>
      <c r="AW80" s="57"/>
      <c r="AX80" s="57"/>
      <c r="AY80" s="58"/>
      <c r="AZ80" s="167" t="s">
        <v>50</v>
      </c>
      <c r="BA80" s="168"/>
      <c r="BB80" s="168"/>
      <c r="BC80" s="169"/>
      <c r="BD80" s="168"/>
      <c r="BE80" s="168"/>
      <c r="BF80" s="168"/>
      <c r="BG80" s="168"/>
      <c r="BH80" s="168"/>
      <c r="BI80" s="170"/>
      <c r="BJ80" s="106" t="str">
        <f>Montagem!BQ46</f>
        <v/>
      </c>
      <c r="BK80" s="57">
        <f>MAX(BL80,BJ80)</f>
        <v>0</v>
      </c>
      <c r="BL80" s="57">
        <f>LEFT(BC80,2)+0</f>
        <v>0</v>
      </c>
      <c r="BM80" s="57"/>
      <c r="BN80" s="57"/>
      <c r="BO80" s="57"/>
      <c r="BP80" s="58"/>
      <c r="BQ80" s="167" t="s">
        <v>50</v>
      </c>
      <c r="BR80" s="168"/>
      <c r="BS80" s="168"/>
      <c r="BT80" s="169"/>
      <c r="BU80" s="168"/>
      <c r="BV80" s="168"/>
      <c r="BW80" s="168"/>
      <c r="BX80" s="168"/>
      <c r="BY80" s="168"/>
      <c r="BZ80" s="170"/>
      <c r="CA80" s="106" t="str">
        <f>Montagem!CF46</f>
        <v/>
      </c>
      <c r="CB80" s="57">
        <f>MAX(CC80,CA80)</f>
        <v>0</v>
      </c>
      <c r="CC80" s="57">
        <f>LEFT(BT80,2)+0</f>
        <v>0</v>
      </c>
      <c r="CD80" s="57"/>
      <c r="CE80" s="57"/>
      <c r="CF80" s="57"/>
      <c r="CG80" s="58"/>
      <c r="CH80" s="167" t="s">
        <v>50</v>
      </c>
      <c r="CI80" s="168"/>
      <c r="CJ80" s="168"/>
      <c r="CK80" s="169"/>
      <c r="CL80" s="168"/>
      <c r="CM80" s="168"/>
      <c r="CN80" s="168"/>
      <c r="CO80" s="168"/>
      <c r="CP80" s="168"/>
      <c r="CQ80" s="170"/>
      <c r="CR80" s="106" t="str">
        <f>Montagem!CU46</f>
        <v/>
      </c>
      <c r="CS80" s="57">
        <f>MAX(CT80,CR80)</f>
        <v>0</v>
      </c>
      <c r="CT80" s="57">
        <f>LEFT(CK80,2)+0</f>
        <v>0</v>
      </c>
      <c r="CU80" s="57"/>
      <c r="CV80" s="57"/>
      <c r="CW80" s="57"/>
      <c r="CX80" s="58"/>
      <c r="CY80" s="167" t="s">
        <v>50</v>
      </c>
      <c r="CZ80" s="168"/>
      <c r="DA80" s="168"/>
      <c r="DB80" s="169"/>
      <c r="DC80" s="168"/>
      <c r="DD80" s="168"/>
      <c r="DE80" s="168"/>
      <c r="DF80" s="168"/>
      <c r="DG80" s="168"/>
      <c r="DH80" s="170"/>
      <c r="DI80" s="106" t="str">
        <f>Montagem!DJ46</f>
        <v/>
      </c>
      <c r="DJ80" s="57">
        <f>MAX(DK80,DI80)</f>
        <v>0</v>
      </c>
      <c r="DK80" s="57">
        <f>LEFT(DB80,2)+0</f>
        <v>0</v>
      </c>
      <c r="DL80" s="57"/>
      <c r="DM80" s="57"/>
      <c r="DN80" s="57"/>
      <c r="DO80" s="58"/>
      <c r="DP80" s="57"/>
      <c r="DQ80" s="56"/>
      <c r="DR80" s="56"/>
      <c r="DS80" s="56"/>
      <c r="DT80" s="56"/>
      <c r="DU80" s="56"/>
      <c r="DV80" s="56"/>
      <c r="DW80" s="56"/>
      <c r="DX80" s="56"/>
      <c r="DY80" s="56"/>
    </row>
    <row r="81">
      <c r="A81" s="171" t="s">
        <v>51</v>
      </c>
      <c r="J81" s="66"/>
      <c r="K81" s="57"/>
      <c r="L81" s="57"/>
      <c r="M81" s="57"/>
      <c r="N81" s="57"/>
      <c r="O81" s="57"/>
      <c r="P81" s="57"/>
      <c r="Q81" s="58"/>
      <c r="R81" s="171" t="s">
        <v>51</v>
      </c>
      <c r="AA81" s="66"/>
      <c r="AB81" s="57"/>
      <c r="AC81" s="57"/>
      <c r="AD81" s="57"/>
      <c r="AE81" s="57"/>
      <c r="AF81" s="57"/>
      <c r="AG81" s="57"/>
      <c r="AH81" s="58"/>
      <c r="AI81" s="171" t="s">
        <v>51</v>
      </c>
      <c r="AR81" s="66"/>
      <c r="AS81" s="57"/>
      <c r="AT81" s="57"/>
      <c r="AU81" s="57"/>
      <c r="AV81" s="57"/>
      <c r="AW81" s="57"/>
      <c r="AX81" s="57"/>
      <c r="AY81" s="58"/>
      <c r="AZ81" s="171" t="s">
        <v>51</v>
      </c>
      <c r="BI81" s="66"/>
      <c r="BJ81" s="57"/>
      <c r="BK81" s="57"/>
      <c r="BL81" s="57"/>
      <c r="BM81" s="57"/>
      <c r="BN81" s="57"/>
      <c r="BO81" s="57"/>
      <c r="BP81" s="58"/>
      <c r="BQ81" s="171" t="s">
        <v>51</v>
      </c>
      <c r="BZ81" s="66"/>
      <c r="CA81" s="57"/>
      <c r="CB81" s="57"/>
      <c r="CC81" s="57"/>
      <c r="CD81" s="57"/>
      <c r="CE81" s="57"/>
      <c r="CF81" s="57"/>
      <c r="CG81" s="58"/>
      <c r="CH81" s="171" t="s">
        <v>51</v>
      </c>
      <c r="CQ81" s="66"/>
      <c r="CR81" s="57"/>
      <c r="CS81" s="57"/>
      <c r="CT81" s="57"/>
      <c r="CU81" s="57"/>
      <c r="CV81" s="57"/>
      <c r="CW81" s="57"/>
      <c r="CX81" s="58"/>
      <c r="CY81" s="171" t="s">
        <v>51</v>
      </c>
      <c r="DH81" s="66"/>
      <c r="DI81" s="57"/>
      <c r="DJ81" s="57"/>
      <c r="DK81" s="57"/>
      <c r="DL81" s="57"/>
      <c r="DM81" s="57"/>
      <c r="DN81" s="57"/>
      <c r="DO81" s="58"/>
      <c r="DP81" s="57"/>
      <c r="DQ81" s="56"/>
      <c r="DR81" s="56"/>
      <c r="DS81" s="56"/>
      <c r="DT81" s="56"/>
      <c r="DU81" s="56"/>
      <c r="DV81" s="56"/>
      <c r="DW81" s="56"/>
      <c r="DX81" s="56"/>
      <c r="DY81" s="56"/>
    </row>
    <row r="82">
      <c r="A82" s="172" t="s">
        <v>52</v>
      </c>
      <c r="B82" s="173"/>
      <c r="C82" s="174" t="s">
        <v>53</v>
      </c>
      <c r="D82" s="173"/>
      <c r="E82" s="174" t="s">
        <v>54</v>
      </c>
      <c r="F82" s="175"/>
      <c r="G82" s="176"/>
      <c r="H82" s="175"/>
      <c r="I82" s="175"/>
      <c r="J82" s="177"/>
      <c r="K82" s="57"/>
      <c r="L82" s="57"/>
      <c r="M82" s="57"/>
      <c r="N82" s="57"/>
      <c r="O82" s="57"/>
      <c r="P82" s="57"/>
      <c r="Q82" s="58"/>
      <c r="R82" s="172" t="s">
        <v>52</v>
      </c>
      <c r="S82" s="178"/>
      <c r="T82" s="174" t="s">
        <v>53</v>
      </c>
      <c r="U82" s="179"/>
      <c r="V82" s="174" t="s">
        <v>54</v>
      </c>
      <c r="W82" s="175"/>
      <c r="X82" s="180"/>
      <c r="Y82" s="175"/>
      <c r="Z82" s="175"/>
      <c r="AA82" s="177"/>
      <c r="AB82" s="57"/>
      <c r="AC82" s="57"/>
      <c r="AD82" s="57"/>
      <c r="AE82" s="57"/>
      <c r="AF82" s="57"/>
      <c r="AG82" s="57"/>
      <c r="AH82" s="58"/>
      <c r="AI82" s="172" t="s">
        <v>52</v>
      </c>
      <c r="AJ82" s="178"/>
      <c r="AK82" s="174" t="s">
        <v>53</v>
      </c>
      <c r="AL82" s="179"/>
      <c r="AM82" s="174" t="s">
        <v>54</v>
      </c>
      <c r="AN82" s="175"/>
      <c r="AO82" s="180"/>
      <c r="AP82" s="175"/>
      <c r="AQ82" s="175"/>
      <c r="AR82" s="177"/>
      <c r="AS82" s="57"/>
      <c r="AT82" s="57"/>
      <c r="AU82" s="57"/>
      <c r="AV82" s="57"/>
      <c r="AW82" s="57"/>
      <c r="AX82" s="57"/>
      <c r="AY82" s="58"/>
      <c r="AZ82" s="172" t="s">
        <v>52</v>
      </c>
      <c r="BA82" s="181"/>
      <c r="BB82" s="174" t="s">
        <v>53</v>
      </c>
      <c r="BC82" s="181"/>
      <c r="BD82" s="174" t="s">
        <v>54</v>
      </c>
      <c r="BE82" s="175"/>
      <c r="BF82" s="182"/>
      <c r="BG82" s="175"/>
      <c r="BH82" s="175"/>
      <c r="BI82" s="177"/>
      <c r="BJ82" s="57"/>
      <c r="BK82" s="57"/>
      <c r="BL82" s="57"/>
      <c r="BM82" s="57"/>
      <c r="BN82" s="57"/>
      <c r="BO82" s="57"/>
      <c r="BP82" s="58"/>
      <c r="BQ82" s="172" t="s">
        <v>52</v>
      </c>
      <c r="BR82" s="181"/>
      <c r="BS82" s="174" t="s">
        <v>53</v>
      </c>
      <c r="BT82" s="181"/>
      <c r="BU82" s="174" t="s">
        <v>54</v>
      </c>
      <c r="BV82" s="175"/>
      <c r="BW82" s="182"/>
      <c r="BX82" s="175"/>
      <c r="BY82" s="175"/>
      <c r="BZ82" s="177"/>
      <c r="CA82" s="57"/>
      <c r="CB82" s="57"/>
      <c r="CC82" s="57"/>
      <c r="CD82" s="57"/>
      <c r="CE82" s="57"/>
      <c r="CF82" s="57"/>
      <c r="CG82" s="58"/>
      <c r="CH82" s="172" t="s">
        <v>52</v>
      </c>
      <c r="CI82" s="181"/>
      <c r="CJ82" s="174" t="s">
        <v>53</v>
      </c>
      <c r="CK82" s="181"/>
      <c r="CL82" s="174" t="s">
        <v>54</v>
      </c>
      <c r="CM82" s="175"/>
      <c r="CN82" s="182"/>
      <c r="CO82" s="175"/>
      <c r="CP82" s="175"/>
      <c r="CQ82" s="177"/>
      <c r="CR82" s="57"/>
      <c r="CS82" s="57"/>
      <c r="CT82" s="57"/>
      <c r="CU82" s="57"/>
      <c r="CV82" s="57"/>
      <c r="CW82" s="57"/>
      <c r="CX82" s="58"/>
      <c r="CY82" s="172" t="s">
        <v>52</v>
      </c>
      <c r="CZ82" s="181"/>
      <c r="DA82" s="174" t="s">
        <v>53</v>
      </c>
      <c r="DB82" s="181"/>
      <c r="DC82" s="174" t="s">
        <v>54</v>
      </c>
      <c r="DD82" s="175"/>
      <c r="DE82" s="182"/>
      <c r="DF82" s="175"/>
      <c r="DG82" s="175"/>
      <c r="DH82" s="177"/>
      <c r="DI82" s="57"/>
      <c r="DJ82" s="57"/>
      <c r="DK82" s="57"/>
      <c r="DL82" s="57"/>
      <c r="DM82" s="57"/>
      <c r="DN82" s="57"/>
      <c r="DO82" s="58"/>
      <c r="DP82" s="57"/>
      <c r="DQ82" s="56"/>
      <c r="DR82" s="56"/>
      <c r="DS82" s="56"/>
      <c r="DT82" s="56"/>
      <c r="DU82" s="56"/>
      <c r="DV82" s="56"/>
      <c r="DW82" s="56"/>
      <c r="DX82" s="56"/>
      <c r="DY82" s="56"/>
    </row>
    <row r="83">
      <c r="A83" s="183" t="str">
        <f>IF(L80=0,"","Você conseguiu! Foram levantadas ")</f>
        <v/>
      </c>
      <c r="E83" s="184" t="str">
        <f>IF(L80=0,"",SUM(E16*F16*P16,E18*F18*P18,E20*F20*P20,E22*F22*P22,E26*F26*P26,E28*F28*P28,E30*F30*P30,E32*F32*P32,E34*F34*P34,E36*F36*P36,E38*F38*P38,E40*F40*P40,E42*F42*P42,E44*F44*P44,E46*F46*P46,E48*F48*P48,E50*F50*P50,E52*F52*P52,E54*F54*P54,E56*F56*P56,E58*F58*P58,E60*F60*P60,E62*F62*P62,E64*F64*P64,E68*F68*P68,E70*F70*P70,E72*F72*P72)/1000)</f>
        <v/>
      </c>
      <c r="G83" s="185" t="str">
        <f>IF(L80=0,"","toneladas")</f>
        <v/>
      </c>
      <c r="J83" s="66"/>
      <c r="K83" s="186"/>
      <c r="L83" s="187"/>
      <c r="M83" s="187"/>
      <c r="N83" s="187"/>
      <c r="O83" s="187"/>
      <c r="P83" s="187"/>
      <c r="Q83" s="188"/>
      <c r="R83" s="183" t="str">
        <f>IF(AC80=0,"","Você conseguiu! Foram levantadas ")</f>
        <v/>
      </c>
      <c r="V83" s="184" t="str">
        <f>IF(AC80=0,"",SUM(V16*W16*AG16,V18*W18*AG18,V20*W20*AG20,V22*W22*AG22,V26*W26*AG26,V28*W28*AG28,V30*W30*AG30,V32*W32*AG32,V34*W34*AG34,V36*W36*AG36,V38*W38*AG38,V40*W40*AG40,V42*W42*AG42,V44*W44*AG44,V46*W46*AG46,V48*W48*AG48,V50*W50*AG50,V52*W52*AG52,V54*W54*AG54,V56*W56*AG56,V58*W58*AG58,V60*W60*AG60,V62*W62*AG62,V64*W64*AG64,V68*W68*AG68,V70*W70*AG70,V72*W72*AG72)/1000)</f>
        <v/>
      </c>
      <c r="X83" s="185" t="str">
        <f>IF(AC80=0,"","toneladas")</f>
        <v/>
      </c>
      <c r="AA83" s="66"/>
      <c r="AB83" s="186"/>
      <c r="AC83" s="187"/>
      <c r="AD83" s="187"/>
      <c r="AE83" s="187"/>
      <c r="AF83" s="187"/>
      <c r="AG83" s="187"/>
      <c r="AH83" s="188"/>
      <c r="AI83" s="189" t="str">
        <f>IF(AT80=0,"","Você conseguiu! Foram levantadas ")</f>
        <v/>
      </c>
      <c r="AM83" s="184" t="str">
        <f>IF(AT80=0,"",SUM(AM16*AN16*AX16,AM18*AN18*AX18,AM20*AN20*AX20,AM22*AN22*AX22,AM26*AN26*AX26,AM28*AN28*AX28,AM30*AN30*AX30,AM32*AN32*AX32,AM34*AN34*AX34,AM36*AN36*AX36,AM38*AN38*AX38,AM40*AN40*AX40,AM42*AN42*AX42,AM44*AN44*AX44,AM46*AN46*AX46,AM48*AN48*AX48,AM50*AN50*AX50,AM52*AN52*AX52,AM54*AN54*AX54,AM56*AN56*AX56,AM58*AN58*AX58,AM60*AN60*AX60,AM62*AN62*AX62,AM64*AN64*AX64,AM68*AN68*AX68,AM70*AN70*AX70,AM72*AN72*AX72)/1000)</f>
        <v/>
      </c>
      <c r="AO83" s="185" t="str">
        <f>IF(AT80=0,"","toneladas")</f>
        <v/>
      </c>
      <c r="AR83" s="66"/>
      <c r="AS83" s="186"/>
      <c r="AT83" s="187"/>
      <c r="AU83" s="187"/>
      <c r="AV83" s="187"/>
      <c r="AW83" s="187"/>
      <c r="AX83" s="187"/>
      <c r="AY83" s="188"/>
      <c r="AZ83" s="183" t="str">
        <f>IF(BK80=0,"","Você conseguiu! Foram levantadas ")</f>
        <v/>
      </c>
      <c r="BD83" s="184" t="str">
        <f>IF(BK80=0,"",SUM(BD16*BE16*BO16,BD18*BE18*BO18,BD20*BE20*BO20,BD22*BE22*BO22,BD26*BE26*BO26,BD28*BE28*BO28,BD30*BE30*BO30,BD32*BE32*BO32,BD34*BE34*BO34,BD36*BE36*BO36,BD38*BE38*BO38,BD40*BE40*BO40,BD42*BE42*BO42,BD44*BE44*BO44,BD46*BE46*BO46,BD48*BE48*BO48,BD50*BE50*BO50,BD52*BE52*BO52,BD54*BE54*BO54,BD56*BE56*BO56,BD58*BE58*BO58,BD60*BE60*BO60,BD62*BE62*BO62,BD64*BE64*BO64,BD68*BE68*BO68,BD70*BE70*BO70,BD72*BE72*BO72)/1000)</f>
        <v/>
      </c>
      <c r="BF83" s="185" t="str">
        <f>IF(BK80=0,"","toneladas")</f>
        <v/>
      </c>
      <c r="BI83" s="66"/>
      <c r="BJ83" s="186"/>
      <c r="BK83" s="187"/>
      <c r="BL83" s="187"/>
      <c r="BM83" s="187"/>
      <c r="BN83" s="187"/>
      <c r="BO83" s="187"/>
      <c r="BP83" s="188"/>
      <c r="BQ83" s="189" t="str">
        <f>IF(CB80=0,"","Você conseguiu! Foram levantadas ")</f>
        <v/>
      </c>
      <c r="BU83" s="184" t="str">
        <f>IF(CB80=0,"",SUM(BU16*BV16*CF16,BU18*BV18*CF18,BU20*BV20*CF20,BU22*BV22*CF22,BU26*BV26*CF26,BU28*BV28*CF28,BU30*BV30*CF30,BU32*BV32*CF32,BU34*BV34*CF34,BU36*BV36*CF36,BU38*BV38*CF38,BU40*BV40*CF40,BU42*BV42*CF42,BU44*BV44*CF44,BU46*BV46*CF46,BU48*BV48*CF48,BU50*BV50*CF50,BU52*BV52*CF52,BU54*BV54*CF54,BU56*BV56*CF56,BU58*BV58*CF58,BU60*BV60*CF60,BU62*BV62*CF62,BU64*BV64*CF64,BU68*BV68*CF68,BU70*BV70*CF70,BU72*BV72*CF72)/1000)</f>
        <v/>
      </c>
      <c r="BW83" s="185" t="str">
        <f>IF(CB80=0,"","toneladas")</f>
        <v/>
      </c>
      <c r="BZ83" s="66"/>
      <c r="CA83" s="186"/>
      <c r="CB83" s="187"/>
      <c r="CC83" s="187"/>
      <c r="CD83" s="187"/>
      <c r="CE83" s="187"/>
      <c r="CF83" s="187"/>
      <c r="CG83" s="188"/>
      <c r="CH83" s="183" t="str">
        <f>IF(CS80=0,"","Você conseguiu! Foram levantadas ")</f>
        <v/>
      </c>
      <c r="CL83" s="184" t="str">
        <f>IF(CS80=0,"",SUM(CL16*CM16*CW16,CL18*CM18*CW18,CL20*CM20*CW20,CL22*CM22*CW22,CL26*CM26*CW26,CL28*CM28*CW28,CL30*CM30*CW30,CL32*CM32*CW32,CL34*CM34*CW34,CL36*CM36*CW36,CL38*CM38*CW38,CL40*CM40*CW40,CL42*CM42*CW42,CL44*CM44*CW44,CL46*CM46*CW46,CL48*CM48*CW48,CL50*CM50*CW50,CL52*CM52*CW52,CL54*CM54*CW54,CL56*CM56*CW56,CL58*CM58*CW58,CL60*CM60*CW60,CL62*CM62*CW62,CL64*CM64*CW64,CL68*CM68*CW68,CL70*CM70*CW70,CL72*CM72*CW72)/1000)</f>
        <v/>
      </c>
      <c r="CN83" s="185" t="str">
        <f>IF(CS80=0,"","toneladas")</f>
        <v/>
      </c>
      <c r="CQ83" s="66"/>
      <c r="CR83" s="186"/>
      <c r="CS83" s="187"/>
      <c r="CT83" s="187"/>
      <c r="CU83" s="187"/>
      <c r="CV83" s="187"/>
      <c r="CW83" s="187"/>
      <c r="CX83" s="188"/>
      <c r="CY83" s="189" t="str">
        <f>IF(DJ80=0,"","Você conseguiu! Foram levantadas ")</f>
        <v/>
      </c>
      <c r="DC83" s="184" t="str">
        <f>IF(DJ80=0,"",SUM(DC16*DD16*DN16,DC18*DD18*DN18,DC20*DD20*DN20,DC22*DD22*DN22,DC26*DD26*DN26,DC28*DD28*DN28,DC30*DD30*DN30,DC32*DD32*DN32,DC34*DD34*DN34,DC36*DD36*DN36,DC38*DD38*DN38,DC40*DD40*DN40,DC42*DD42*DN42,DC44*DD44*DN44,DC46*DD46*DN46,DC48*DD48*DN48,DC50*DD50*DN50,DC52*DD52*DN52,DC54*DD54*DN54,DC56*DD56*DN56,DC58*DD58*DN58,DC60*DD60*DN60,DC62*DD62*DN62,DC64*DD64*DN64,DC68*DD68*DN68,DC70*DD70*DN70,DC72*DD72*DN72)/1000)</f>
        <v/>
      </c>
      <c r="DE83" s="185" t="str">
        <f>IF(DJ80=0,"","toneladas")</f>
        <v/>
      </c>
      <c r="DH83" s="66"/>
      <c r="DI83" s="186"/>
      <c r="DJ83" s="187"/>
      <c r="DK83" s="187"/>
      <c r="DL83" s="187"/>
      <c r="DM83" s="187"/>
      <c r="DN83" s="187"/>
      <c r="DO83" s="188"/>
      <c r="DP83" s="186"/>
      <c r="DQ83" s="186"/>
      <c r="DR83" s="186"/>
      <c r="DS83" s="186"/>
      <c r="DT83" s="186"/>
      <c r="DU83" s="186"/>
      <c r="DV83" s="186"/>
      <c r="DW83" s="186"/>
      <c r="DX83" s="186"/>
      <c r="DY83" s="186"/>
    </row>
    <row r="84">
      <c r="A84" s="190" t="str">
        <f>IF(L80=0,"","nesta sessão!")</f>
        <v/>
      </c>
      <c r="C84" s="57"/>
      <c r="D84" s="57"/>
      <c r="E84" s="137"/>
      <c r="F84" s="137"/>
      <c r="G84" s="137"/>
      <c r="H84" s="57"/>
      <c r="I84" s="57"/>
      <c r="J84" s="191"/>
      <c r="K84" s="57"/>
      <c r="L84" s="192"/>
      <c r="M84" s="192"/>
      <c r="N84" s="192"/>
      <c r="O84" s="192"/>
      <c r="P84" s="192"/>
      <c r="Q84" s="58"/>
      <c r="R84" s="190" t="str">
        <f>IF(AC80=0,"","nesta sessão!")</f>
        <v/>
      </c>
      <c r="T84" s="57"/>
      <c r="U84" s="57"/>
      <c r="V84" s="137"/>
      <c r="W84" s="137"/>
      <c r="X84" s="137"/>
      <c r="Y84" s="57"/>
      <c r="Z84" s="57"/>
      <c r="AA84" s="191"/>
      <c r="AB84" s="57"/>
      <c r="AC84" s="192"/>
      <c r="AD84" s="192"/>
      <c r="AE84" s="192"/>
      <c r="AF84" s="192"/>
      <c r="AG84" s="192"/>
      <c r="AH84" s="58"/>
      <c r="AI84" s="193" t="str">
        <f>IF(AT80=0,"","nesta sessão!")</f>
        <v/>
      </c>
      <c r="AK84" s="57"/>
      <c r="AL84" s="57"/>
      <c r="AM84" s="137"/>
      <c r="AN84" s="137"/>
      <c r="AO84" s="137"/>
      <c r="AP84" s="57"/>
      <c r="AQ84" s="57"/>
      <c r="AR84" s="191"/>
      <c r="AS84" s="57"/>
      <c r="AT84" s="192"/>
      <c r="AU84" s="192"/>
      <c r="AV84" s="192"/>
      <c r="AW84" s="192"/>
      <c r="AX84" s="192"/>
      <c r="AY84" s="58"/>
      <c r="AZ84" s="190" t="str">
        <f>IF(BK80=0,"","nesta sessão!")</f>
        <v/>
      </c>
      <c r="BB84" s="57"/>
      <c r="BC84" s="57"/>
      <c r="BD84" s="137"/>
      <c r="BE84" s="137"/>
      <c r="BF84" s="137"/>
      <c r="BG84" s="57"/>
      <c r="BH84" s="57"/>
      <c r="BI84" s="191"/>
      <c r="BJ84" s="57"/>
      <c r="BK84" s="192"/>
      <c r="BL84" s="192"/>
      <c r="BM84" s="192"/>
      <c r="BN84" s="192"/>
      <c r="BO84" s="192"/>
      <c r="BP84" s="58"/>
      <c r="BQ84" s="193" t="str">
        <f>IF(CB80=0,"","nesta sessão!")</f>
        <v/>
      </c>
      <c r="BS84" s="57"/>
      <c r="BT84" s="57"/>
      <c r="BU84" s="137"/>
      <c r="BV84" s="137"/>
      <c r="BW84" s="137"/>
      <c r="BX84" s="57"/>
      <c r="BY84" s="57"/>
      <c r="BZ84" s="191"/>
      <c r="CA84" s="57"/>
      <c r="CB84" s="192"/>
      <c r="CC84" s="192"/>
      <c r="CD84" s="192"/>
      <c r="CE84" s="192"/>
      <c r="CF84" s="192"/>
      <c r="CG84" s="58"/>
      <c r="CH84" s="190" t="str">
        <f>IF(CS80=0,"","nesta sessão!")</f>
        <v/>
      </c>
      <c r="CJ84" s="57"/>
      <c r="CK84" s="57"/>
      <c r="CL84" s="137"/>
      <c r="CM84" s="137"/>
      <c r="CN84" s="137"/>
      <c r="CO84" s="57"/>
      <c r="CP84" s="57"/>
      <c r="CQ84" s="191"/>
      <c r="CR84" s="57"/>
      <c r="CS84" s="192"/>
      <c r="CT84" s="192"/>
      <c r="CU84" s="192"/>
      <c r="CV84" s="192"/>
      <c r="CW84" s="192"/>
      <c r="CX84" s="58"/>
      <c r="CY84" s="193" t="str">
        <f>IF(DJ80=0,"","nesta sessão!")</f>
        <v/>
      </c>
      <c r="DA84" s="57"/>
      <c r="DB84" s="57"/>
      <c r="DC84" s="137"/>
      <c r="DD84" s="137"/>
      <c r="DE84" s="137"/>
      <c r="DF84" s="57"/>
      <c r="DG84" s="57"/>
      <c r="DH84" s="191"/>
      <c r="DI84" s="57"/>
      <c r="DJ84" s="192"/>
      <c r="DK84" s="192"/>
      <c r="DL84" s="192"/>
      <c r="DM84" s="192"/>
      <c r="DN84" s="192"/>
      <c r="DO84" s="58"/>
      <c r="DP84" s="57"/>
      <c r="DQ84" s="56"/>
      <c r="DR84" s="56"/>
      <c r="DS84" s="56"/>
      <c r="DT84" s="56"/>
      <c r="DU84" s="56"/>
      <c r="DV84" s="56"/>
      <c r="DW84" s="56"/>
      <c r="DX84" s="56"/>
      <c r="DY84" s="56"/>
    </row>
    <row r="85">
      <c r="A85" s="194" t="str">
        <f>IF(L80=0,"","Seu progresso semanal:")</f>
        <v/>
      </c>
      <c r="D85" s="195" t="str">
        <f>IFS(K3=0,"Missão cumprida! Parabéns!!!",K3=1,"Falta pouco, Você consegue!",TRUE,"Muito bem! Continue assim!")</f>
        <v>Muito bem! Continue assim!</v>
      </c>
      <c r="J85" s="66"/>
      <c r="K85" s="57"/>
      <c r="L85" s="192"/>
      <c r="M85" s="192"/>
      <c r="N85" s="196"/>
      <c r="O85" s="196"/>
      <c r="P85" s="196"/>
      <c r="Q85" s="58"/>
      <c r="R85" s="194" t="str">
        <f>IF(AC80=0,"","Seu progresso semanal:")</f>
        <v/>
      </c>
      <c r="U85" s="195" t="str">
        <f>IFS(AB3=0,"Missão cumprida! Parabéns!!!",AB3=1,"Falta pouco, Você consegue!",TRUE,"Muito bem! Continue assim!")</f>
        <v>Missão cumprida! Parabéns!!!</v>
      </c>
      <c r="AA85" s="66"/>
      <c r="AB85" s="57"/>
      <c r="AC85" s="192"/>
      <c r="AD85" s="192"/>
      <c r="AE85" s="196"/>
      <c r="AF85" s="196"/>
      <c r="AG85" s="196"/>
      <c r="AH85" s="58"/>
      <c r="AI85" s="197" t="str">
        <f>IF(AT80=0,"","Seu progresso semanal:")</f>
        <v/>
      </c>
      <c r="AL85" s="195" t="str">
        <f>IFS(AS3=0,"Missão cumprida! Parabéns!!!",AS3=1,"Falta pouco, Você consegue!",TRUE,"Muito bem! Continue assim!")</f>
        <v>Missão cumprida! Parabéns!!!</v>
      </c>
      <c r="AR85" s="66"/>
      <c r="AS85" s="57"/>
      <c r="AT85" s="192"/>
      <c r="AU85" s="192"/>
      <c r="AV85" s="196"/>
      <c r="AW85" s="196"/>
      <c r="AX85" s="196"/>
      <c r="AY85" s="58"/>
      <c r="AZ85" s="194" t="str">
        <f>IF(BK80=0,"","Seu progresso semanal:")</f>
        <v/>
      </c>
      <c r="BC85" s="195" t="str">
        <f>IFS(BJ3=0,"Missão cumprida! Parabéns!!!",BJ3=1,"Falta pouco, Você consegue!",TRUE,"Muito bem! Continue assim!")</f>
        <v>Missão cumprida! Parabéns!!!</v>
      </c>
      <c r="BI85" s="66"/>
      <c r="BJ85" s="57"/>
      <c r="BK85" s="192"/>
      <c r="BL85" s="192"/>
      <c r="BM85" s="196"/>
      <c r="BN85" s="196"/>
      <c r="BO85" s="196"/>
      <c r="BP85" s="58"/>
      <c r="BQ85" s="197" t="str">
        <f>IF(CB80=0,"","Seu progresso semanal:")</f>
        <v/>
      </c>
      <c r="BT85" s="195" t="str">
        <f>IFS(CA3=0,"Missão cumprida! Parabéns!!!",CA3=1,"Falta pouco, Você consegue!",TRUE,"Muito bem! Continue assim!")</f>
        <v>Missão cumprida! Parabéns!!!</v>
      </c>
      <c r="BZ85" s="66"/>
      <c r="CA85" s="57"/>
      <c r="CB85" s="192"/>
      <c r="CC85" s="192"/>
      <c r="CD85" s="196"/>
      <c r="CE85" s="196"/>
      <c r="CF85" s="196"/>
      <c r="CG85" s="58"/>
      <c r="CH85" s="194" t="str">
        <f>IF(CS80=0,"","Seu progresso semanal:")</f>
        <v/>
      </c>
      <c r="CK85" s="195" t="str">
        <f>IFS(CR3=0,"Missão cumprida! Parabéns!!!",CR3=1,"Falta pouco, Você consegue!",TRUE,"Muito bem! Continue assim!")</f>
        <v>Missão cumprida! Parabéns!!!</v>
      </c>
      <c r="CQ85" s="66"/>
      <c r="CR85" s="57"/>
      <c r="CS85" s="192"/>
      <c r="CT85" s="192"/>
      <c r="CU85" s="196"/>
      <c r="CV85" s="196"/>
      <c r="CW85" s="196"/>
      <c r="CX85" s="58"/>
      <c r="CY85" s="197" t="str">
        <f>IF(DJ80=0,"","Seu progresso semanal:")</f>
        <v/>
      </c>
      <c r="DB85" s="195" t="str">
        <f>IFS(DI3=0,"Missão cumprida! Parabéns!!!",DI3=1,"Falta pouco, Você consegue!",TRUE,"Muito bem! Continue assim!")</f>
        <v>Missão cumprida! Parabéns!!!</v>
      </c>
      <c r="DH85" s="66"/>
      <c r="DI85" s="57"/>
      <c r="DJ85" s="192"/>
      <c r="DK85" s="192"/>
      <c r="DL85" s="196"/>
      <c r="DM85" s="196"/>
      <c r="DN85" s="196"/>
      <c r="DO85" s="58"/>
      <c r="DP85" s="57"/>
      <c r="DQ85" s="56"/>
      <c r="DR85" s="56"/>
      <c r="DS85" s="56"/>
      <c r="DT85" s="56"/>
      <c r="DU85" s="56"/>
      <c r="DV85" s="56"/>
      <c r="DW85" s="56"/>
      <c r="DX85" s="56"/>
      <c r="DY85" s="56"/>
    </row>
    <row r="86">
      <c r="A86" s="198"/>
      <c r="B86" s="149"/>
      <c r="C86" s="149"/>
      <c r="D86" s="57"/>
      <c r="E86" s="137"/>
      <c r="G86" s="137"/>
      <c r="J86" s="191"/>
      <c r="K86" s="57"/>
      <c r="L86" s="196"/>
      <c r="M86" s="196"/>
      <c r="N86" s="196"/>
      <c r="O86" s="196"/>
      <c r="P86" s="196"/>
      <c r="Q86" s="58"/>
      <c r="R86" s="198"/>
      <c r="S86" s="149"/>
      <c r="T86" s="149"/>
      <c r="U86" s="57"/>
      <c r="V86" s="137"/>
      <c r="X86" s="137"/>
      <c r="AA86" s="191"/>
      <c r="AB86" s="57"/>
      <c r="AC86" s="196"/>
      <c r="AD86" s="196"/>
      <c r="AE86" s="196"/>
      <c r="AF86" s="196"/>
      <c r="AG86" s="196"/>
      <c r="AH86" s="58"/>
      <c r="AI86" s="198"/>
      <c r="AJ86" s="149"/>
      <c r="AK86" s="149"/>
      <c r="AL86" s="57"/>
      <c r="AM86" s="137"/>
      <c r="AO86" s="137"/>
      <c r="AR86" s="191"/>
      <c r="AS86" s="57"/>
      <c r="AT86" s="196"/>
      <c r="AU86" s="196"/>
      <c r="AV86" s="196"/>
      <c r="AW86" s="196"/>
      <c r="AX86" s="196"/>
      <c r="AY86" s="58"/>
      <c r="AZ86" s="198"/>
      <c r="BA86" s="149"/>
      <c r="BB86" s="149"/>
      <c r="BC86" s="57"/>
      <c r="BD86" s="137"/>
      <c r="BF86" s="137"/>
      <c r="BI86" s="191"/>
      <c r="BJ86" s="57"/>
      <c r="BK86" s="196"/>
      <c r="BL86" s="196"/>
      <c r="BM86" s="196"/>
      <c r="BN86" s="196"/>
      <c r="BO86" s="196"/>
      <c r="BP86" s="58"/>
      <c r="BQ86" s="198"/>
      <c r="BR86" s="149"/>
      <c r="BS86" s="149"/>
      <c r="BT86" s="57"/>
      <c r="BU86" s="137"/>
      <c r="BW86" s="137"/>
      <c r="BZ86" s="191"/>
      <c r="CA86" s="57"/>
      <c r="CB86" s="196"/>
      <c r="CC86" s="196"/>
      <c r="CD86" s="196"/>
      <c r="CE86" s="196"/>
      <c r="CF86" s="196"/>
      <c r="CG86" s="58"/>
      <c r="CH86" s="198"/>
      <c r="CI86" s="149"/>
      <c r="CJ86" s="149"/>
      <c r="CK86" s="57"/>
      <c r="CL86" s="137"/>
      <c r="CN86" s="137"/>
      <c r="CQ86" s="191"/>
      <c r="CR86" s="57"/>
      <c r="CS86" s="196"/>
      <c r="CT86" s="196"/>
      <c r="CU86" s="196"/>
      <c r="CV86" s="196"/>
      <c r="CW86" s="196"/>
      <c r="CX86" s="58"/>
      <c r="CY86" s="198"/>
      <c r="CZ86" s="149"/>
      <c r="DA86" s="149"/>
      <c r="DB86" s="57"/>
      <c r="DC86" s="137"/>
      <c r="DE86" s="137"/>
      <c r="DH86" s="191"/>
      <c r="DI86" s="57"/>
      <c r="DJ86" s="196"/>
      <c r="DK86" s="196"/>
      <c r="DL86" s="196"/>
      <c r="DM86" s="196"/>
      <c r="DN86" s="196"/>
      <c r="DO86" s="58"/>
      <c r="DP86" s="57"/>
      <c r="DQ86" s="56"/>
      <c r="DR86" s="56"/>
      <c r="DS86" s="56"/>
      <c r="DT86" s="56"/>
      <c r="DU86" s="56"/>
      <c r="DV86" s="56"/>
      <c r="DW86" s="56"/>
      <c r="DX86" s="56"/>
      <c r="DY86" s="56"/>
    </row>
    <row r="87">
      <c r="A87" s="199" t="str">
        <f>IF(L80=0,"",$DQ$18&amp;" de "&amp;J2)</f>
        <v/>
      </c>
      <c r="B87" s="200" t="str">
        <f>IF($J$2=2,$DQ$18/$J$2,"")</f>
        <v/>
      </c>
      <c r="C87" s="200" t="str">
        <f>IF($J$2=3,$DQ$18/$J$2,"")</f>
        <v/>
      </c>
      <c r="D87" s="200" t="str">
        <f>IF($J$2=4,$DQ$18/$J$2,"")</f>
        <v/>
      </c>
      <c r="E87" s="200" t="str">
        <f>IF($J$2=5,$DQ$18/$J$2,"")</f>
        <v/>
      </c>
      <c r="F87" s="201"/>
      <c r="G87" s="200">
        <f>IF($J$2=6,$DQ$18/$J$2,"")</f>
        <v>0</v>
      </c>
      <c r="H87" s="201"/>
      <c r="I87" s="201"/>
      <c r="J87" s="202" t="str">
        <f>IF($J$2=7,$DQ$18/$J$2,"")</f>
        <v/>
      </c>
      <c r="K87" s="57"/>
      <c r="L87" s="196"/>
      <c r="M87" s="196"/>
      <c r="N87" s="196"/>
      <c r="O87" s="196"/>
      <c r="P87" s="196"/>
      <c r="Q87" s="58"/>
      <c r="R87" s="199" t="str">
        <f>IF(AC80=0,"",$DQ$18&amp;" de "&amp;AA2)</f>
        <v/>
      </c>
      <c r="S87" s="200" t="str">
        <f>IF($J$2=2,$DQ$18/$J$2,"")</f>
        <v/>
      </c>
      <c r="T87" s="200" t="str">
        <f>IF($J$2=3,$DQ$18/$J$2,"")</f>
        <v/>
      </c>
      <c r="U87" s="200" t="str">
        <f>IF($J$2=4,$DQ$18/$J$2,"")</f>
        <v/>
      </c>
      <c r="V87" s="200" t="str">
        <f>IF($J$2=5,$DQ$18/$J$2,"")</f>
        <v/>
      </c>
      <c r="X87" s="200">
        <f>IF($J$2=6,$DQ$18/$J$2,"")</f>
        <v>0</v>
      </c>
      <c r="AA87" s="202" t="str">
        <f>IF($J$2=7,$DQ$18/$J$2,"")</f>
        <v/>
      </c>
      <c r="AB87" s="57"/>
      <c r="AC87" s="196"/>
      <c r="AD87" s="196"/>
      <c r="AE87" s="196"/>
      <c r="AF87" s="196"/>
      <c r="AG87" s="196"/>
      <c r="AH87" s="58"/>
      <c r="AI87" s="199" t="str">
        <f>IF(AT80=0,"",$DQ$18&amp;" de "&amp;AR2)</f>
        <v/>
      </c>
      <c r="AJ87" s="200" t="str">
        <f>IF($J$2=2,$DQ$18/$J$2,"")</f>
        <v/>
      </c>
      <c r="AK87" s="200" t="str">
        <f>IF($J$2=3,$DQ$18/$J$2,"")</f>
        <v/>
      </c>
      <c r="AL87" s="200" t="str">
        <f>IF($J$2=4,$DQ$18/$J$2,"")</f>
        <v/>
      </c>
      <c r="AM87" s="200" t="str">
        <f>IF($J$2=5,$DQ$18/$J$2,"")</f>
        <v/>
      </c>
      <c r="AO87" s="200">
        <f>IF($J$2=6,$DQ$18/$J$2,"")</f>
        <v>0</v>
      </c>
      <c r="AR87" s="202" t="str">
        <f>IF($J$2=7,$DQ$18/$J$2,"")</f>
        <v/>
      </c>
      <c r="AS87" s="57"/>
      <c r="AT87" s="196"/>
      <c r="AU87" s="196"/>
      <c r="AV87" s="196"/>
      <c r="AW87" s="196"/>
      <c r="AX87" s="196"/>
      <c r="AY87" s="58"/>
      <c r="AZ87" s="199" t="str">
        <f>IF(BK80=0,"",$DQ$18&amp;" de "&amp;BI2)</f>
        <v/>
      </c>
      <c r="BA87" s="200" t="str">
        <f>IF($J$2=2,$DQ$18/$J$2,"")</f>
        <v/>
      </c>
      <c r="BB87" s="200" t="str">
        <f>IF($J$2=3,$DQ$18/$J$2,"")</f>
        <v/>
      </c>
      <c r="BC87" s="200" t="str">
        <f>IF($J$2=4,$DQ$18/$J$2,"")</f>
        <v/>
      </c>
      <c r="BD87" s="200" t="str">
        <f>IF($J$2=5,$DQ$18/$J$2,"")</f>
        <v/>
      </c>
      <c r="BF87" s="200">
        <f>IF($J$2=6,$DQ$18/$J$2,"")</f>
        <v>0</v>
      </c>
      <c r="BI87" s="202" t="str">
        <f>IF($J$2=7,$DQ$18/$J$2,"")</f>
        <v/>
      </c>
      <c r="BJ87" s="57"/>
      <c r="BK87" s="196"/>
      <c r="BL87" s="196"/>
      <c r="BM87" s="196"/>
      <c r="BN87" s="196"/>
      <c r="BO87" s="196"/>
      <c r="BP87" s="58"/>
      <c r="BQ87" s="199" t="str">
        <f>IF(CB80=0,"",$DQ$18&amp;" de "&amp;BZ2)</f>
        <v/>
      </c>
      <c r="BR87" s="200" t="str">
        <f>IF($J$2=2,$DQ$18/$J$2,"")</f>
        <v/>
      </c>
      <c r="BS87" s="200" t="str">
        <f>IF($J$2=3,$DQ$18/$J$2,"")</f>
        <v/>
      </c>
      <c r="BT87" s="200" t="str">
        <f>IF($J$2=4,$DQ$18/$J$2,"")</f>
        <v/>
      </c>
      <c r="BU87" s="200" t="str">
        <f>IF($J$2=5,$DQ$18/$J$2,"")</f>
        <v/>
      </c>
      <c r="BW87" s="200">
        <f>IF($J$2=6,$DQ$18/$J$2,"")</f>
        <v>0</v>
      </c>
      <c r="BZ87" s="202" t="str">
        <f>IF($J$2=7,$DQ$18/$J$2,"")</f>
        <v/>
      </c>
      <c r="CA87" s="57"/>
      <c r="CB87" s="196"/>
      <c r="CC87" s="196"/>
      <c r="CD87" s="196"/>
      <c r="CE87" s="196"/>
      <c r="CF87" s="196"/>
      <c r="CG87" s="58"/>
      <c r="CH87" s="199" t="str">
        <f>IF(CS80=0,"",$DQ$18&amp;" de "&amp;CQ2)</f>
        <v/>
      </c>
      <c r="CI87" s="200" t="str">
        <f>IF($J$2=2,$DQ$18/$J$2,"")</f>
        <v/>
      </c>
      <c r="CJ87" s="200" t="str">
        <f>IF($J$2=3,$DQ$18/$J$2,"")</f>
        <v/>
      </c>
      <c r="CK87" s="200" t="str">
        <f>IF($J$2=4,$DQ$18/$J$2,"")</f>
        <v/>
      </c>
      <c r="CL87" s="200" t="str">
        <f>IF($J$2=5,$DQ$18/$J$2,"")</f>
        <v/>
      </c>
      <c r="CN87" s="200">
        <f>IF($J$2=6,$DQ$18/$J$2,"")</f>
        <v>0</v>
      </c>
      <c r="CQ87" s="202" t="str">
        <f>IF($J$2=7,$DQ$18/$J$2,"")</f>
        <v/>
      </c>
      <c r="CR87" s="57"/>
      <c r="CS87" s="196"/>
      <c r="CT87" s="196"/>
      <c r="CU87" s="196"/>
      <c r="CV87" s="196"/>
      <c r="CW87" s="196"/>
      <c r="CX87" s="58"/>
      <c r="CY87" s="199" t="str">
        <f>IF(DJ80=0,"",$DQ$18&amp;" de "&amp;DH2)</f>
        <v/>
      </c>
      <c r="CZ87" s="200" t="str">
        <f>IF($J$2=2,$DQ$18/$J$2,"")</f>
        <v/>
      </c>
      <c r="DA87" s="200" t="str">
        <f>IF($J$2=3,$DQ$18/$J$2,"")</f>
        <v/>
      </c>
      <c r="DB87" s="200" t="str">
        <f>IF($J$2=4,$DQ$18/$J$2,"")</f>
        <v/>
      </c>
      <c r="DC87" s="200" t="str">
        <f>IF($J$2=5,$DQ$18/$J$2,"")</f>
        <v/>
      </c>
      <c r="DE87" s="200">
        <f>IF($J$2=6,$DQ$18/$J$2,"")</f>
        <v>0</v>
      </c>
      <c r="DH87" s="202" t="str">
        <f>IF($J$2=7,$DQ$18/$J$2,"")</f>
        <v/>
      </c>
      <c r="DI87" s="57"/>
      <c r="DJ87" s="196"/>
      <c r="DK87" s="196"/>
      <c r="DL87" s="196"/>
      <c r="DM87" s="196"/>
      <c r="DN87" s="196"/>
      <c r="DO87" s="58"/>
      <c r="DP87" s="57"/>
      <c r="DQ87" s="56"/>
      <c r="DR87" s="56"/>
      <c r="DS87" s="56"/>
      <c r="DT87" s="56"/>
      <c r="DU87" s="56"/>
      <c r="DV87" s="56"/>
      <c r="DW87" s="56"/>
      <c r="DX87" s="56"/>
      <c r="DY87" s="56"/>
    </row>
    <row r="88">
      <c r="A88" s="194" t="str">
        <f>IF(L80=0,"","Outras informações :")</f>
        <v/>
      </c>
      <c r="C88" s="57"/>
      <c r="D88" s="57"/>
      <c r="E88" s="57"/>
      <c r="F88" s="57"/>
      <c r="G88" s="57"/>
      <c r="H88" s="57"/>
      <c r="I88" s="57"/>
      <c r="J88" s="191"/>
      <c r="K88" s="57"/>
      <c r="L88" s="196"/>
      <c r="M88" s="196"/>
      <c r="N88" s="196"/>
      <c r="O88" s="196"/>
      <c r="P88" s="196"/>
      <c r="Q88" s="58"/>
      <c r="R88" s="194" t="str">
        <f>IF(AC80=0,"","Outras informações :")</f>
        <v/>
      </c>
      <c r="T88" s="57"/>
      <c r="U88" s="57"/>
      <c r="V88" s="57"/>
      <c r="W88" s="57"/>
      <c r="X88" s="57"/>
      <c r="Y88" s="57"/>
      <c r="Z88" s="57"/>
      <c r="AA88" s="191"/>
      <c r="AB88" s="57"/>
      <c r="AC88" s="196"/>
      <c r="AD88" s="196"/>
      <c r="AE88" s="196"/>
      <c r="AF88" s="196"/>
      <c r="AG88" s="196"/>
      <c r="AH88" s="58"/>
      <c r="AI88" s="197" t="str">
        <f>IF(AT80=0,"","Outras informações :")</f>
        <v/>
      </c>
      <c r="AK88" s="57"/>
      <c r="AL88" s="57"/>
      <c r="AM88" s="57"/>
      <c r="AN88" s="57"/>
      <c r="AO88" s="57"/>
      <c r="AP88" s="57"/>
      <c r="AQ88" s="57"/>
      <c r="AR88" s="191"/>
      <c r="AS88" s="57"/>
      <c r="AT88" s="196"/>
      <c r="AU88" s="196"/>
      <c r="AV88" s="196"/>
      <c r="AW88" s="196"/>
      <c r="AX88" s="196"/>
      <c r="AY88" s="58"/>
      <c r="AZ88" s="194" t="str">
        <f>IF(BK80=0,"","Outras informações :")</f>
        <v/>
      </c>
      <c r="BB88" s="57"/>
      <c r="BC88" s="57"/>
      <c r="BD88" s="57"/>
      <c r="BE88" s="57"/>
      <c r="BF88" s="57"/>
      <c r="BG88" s="57"/>
      <c r="BH88" s="57"/>
      <c r="BI88" s="191"/>
      <c r="BJ88" s="57"/>
      <c r="BK88" s="196"/>
      <c r="BL88" s="196"/>
      <c r="BM88" s="196"/>
      <c r="BN88" s="196"/>
      <c r="BO88" s="196"/>
      <c r="BP88" s="58"/>
      <c r="BQ88" s="197" t="str">
        <f>IF(CB80=0,"","Outras informações :")</f>
        <v/>
      </c>
      <c r="BS88" s="57"/>
      <c r="BT88" s="57"/>
      <c r="BU88" s="57"/>
      <c r="BV88" s="57"/>
      <c r="BW88" s="57"/>
      <c r="BX88" s="57"/>
      <c r="BY88" s="57"/>
      <c r="BZ88" s="191"/>
      <c r="CA88" s="57"/>
      <c r="CB88" s="196"/>
      <c r="CC88" s="196"/>
      <c r="CD88" s="196"/>
      <c r="CE88" s="196"/>
      <c r="CF88" s="196"/>
      <c r="CG88" s="58"/>
      <c r="CH88" s="194" t="str">
        <f>IF(CS80=0,"","Outras informações :")</f>
        <v/>
      </c>
      <c r="CJ88" s="57"/>
      <c r="CK88" s="57"/>
      <c r="CL88" s="57"/>
      <c r="CM88" s="57"/>
      <c r="CN88" s="57"/>
      <c r="CO88" s="57"/>
      <c r="CP88" s="57"/>
      <c r="CQ88" s="191"/>
      <c r="CR88" s="57"/>
      <c r="CS88" s="196"/>
      <c r="CT88" s="196"/>
      <c r="CU88" s="196"/>
      <c r="CV88" s="196"/>
      <c r="CW88" s="196"/>
      <c r="CX88" s="58"/>
      <c r="CY88" s="197" t="str">
        <f>IF(DJ80=0,"","Outras informações :")</f>
        <v/>
      </c>
      <c r="DA88" s="57"/>
      <c r="DB88" s="57"/>
      <c r="DC88" s="57"/>
      <c r="DD88" s="57"/>
      <c r="DE88" s="57"/>
      <c r="DF88" s="57"/>
      <c r="DG88" s="57"/>
      <c r="DH88" s="191"/>
      <c r="DI88" s="57"/>
      <c r="DJ88" s="196"/>
      <c r="DK88" s="196"/>
      <c r="DL88" s="196"/>
      <c r="DM88" s="196"/>
      <c r="DN88" s="196"/>
      <c r="DO88" s="58"/>
      <c r="DP88" s="57"/>
      <c r="DQ88" s="56"/>
      <c r="DR88" s="56"/>
      <c r="DS88" s="56"/>
      <c r="DT88" s="56"/>
      <c r="DU88" s="56"/>
      <c r="DV88" s="56"/>
      <c r="DW88" s="56"/>
      <c r="DX88" s="56"/>
      <c r="DY88" s="56"/>
    </row>
    <row r="89">
      <c r="A89" s="194" t="str">
        <f>IF(L80=0,"","Tempo sobre tensão")</f>
        <v/>
      </c>
      <c r="D89" s="56">
        <f>SUM(E16*F16*(H16+I16),E18*F18*(H18+I18),E20*F20*(H20+I20),E22*F22*(H22+I22),E26*F26*(H26+I26),E28*F28*(H28+I28),E30*F30*(H30+I30),E32*F32*(H32+I32),E34*F34*(H34+I34),E36*F36*(H36+I36),E38*F38*(H38+I38),E40*F40*(H40+I40),E42*F42*(H42+I42),E44*F44*(H44+I44),E46*F46*(H46+I46),E48*F48*(H48+I48),E50*F50*(H50+I50),E52*F52*(H52+I52),E54*F54*(H54+I54),E56*F56*(H56+I56),E58*F58*(H58+I58),E60*F60*(H60+I60),E62*F62*(H62+I62),E64*F64*(H64+I64),E68*F68*(H68+I68),E70*F70*(H70+I70),E72*F72*(H72+I72))/60</f>
        <v>21.66666667</v>
      </c>
      <c r="E89" s="57" t="str">
        <f>IF(L80=0,"","Densidade")</f>
        <v/>
      </c>
      <c r="H89" s="186" t="str">
        <f>IF(L80=0,"",D89/(K89+0.0000001))</f>
        <v/>
      </c>
      <c r="J89" s="66"/>
      <c r="K89" s="57">
        <f>SUM(IF(E16=0,1,E16)*G16,IF(E18=0,1,E18)*G18,IF(E20=0,1,E20)*G20,IF(E22=0,1,E22)*G22,IF(E26=0,1,E26)*G26,IF(E28=0,1,E28)*G28,IF(E30=0,1,E30)*G30,IF(E32=0,1,E32)*G32,IF(E34=0,1,E34)*G34,IF(E36=0,1,E36)*G36,IF(E38=0,1,E38)*G38,IF(E40=0,1,E40)*G40,IF(E42=0,1,E42)*G42,IF(E44=0,1,E44)*G44,IF(E46=0,1,E46)*G46,IF(E48=0,1,E48)*G48,IF(E50=0,1,E50)*G50,IF(E52=0,1,E52)*G52,IF(E54=0,1,E54)*G54,IF(E56=0,1,E56)*G56,IF(E58=0,1,E58)*G58,IF(E60=0,1,E60)*G60,IF(E62=0,1,E62)*G62,IF(E64=0,1,E64)*G64,IF(E68=0,1,E68)*G68,IF(E70=0,1,E70)*G70,IF(E72=0,1,E72)*G72)/60</f>
        <v>16.58333333</v>
      </c>
      <c r="L89" s="196"/>
      <c r="M89" s="196"/>
      <c r="N89" s="196"/>
      <c r="O89" s="196"/>
      <c r="P89" s="196"/>
      <c r="Q89" s="58"/>
      <c r="R89" s="194" t="str">
        <f>IF(AC80=0,"","Tempo sobre tensão")</f>
        <v/>
      </c>
      <c r="U89" s="56">
        <f>SUM(V16*W16*(Y16+Z16),V18*W18*(Y18+Z18),V20*W20*(Y20+Z20),V22*W22*(Y22+Z22),V26*W26*(Y26+Z26),V28*W28*(Y28+Z28),V30*W30*(Y30+Z30),V32*W32*(Y32+Z32),V34*W34*(Y34+Z34),V36*W36*(Y36+Z36),V38*W38*(Y38+Z38),V40*W40*(Y40+Z40),V42*W42*(Y42+Z42),V44*W44*(Y44+Z44),V46*W46*(Y46+Z46),V48*W48*(Y48+Z48),V50*W50*(Y50+Z50),V52*W52*(Y52+Z52),V54*W54*(Y54+Z54),V56*W56*(Y56+Z56),V58*W58*(Y58+Z58),V60*W60*(Y60+Z60),V62*W62*(Y62+Z62),V64*W64*(Y64+Z64),V68*W68*(Y68+Z68),V70*W70*(Y70+Z70),V72*W72*(Y72+Z72))/60</f>
        <v>20.75</v>
      </c>
      <c r="V89" s="57" t="str">
        <f>IF(AC80=0,"","Densidade")</f>
        <v/>
      </c>
      <c r="Y89" s="186" t="str">
        <f>IF(AC80=0,"",U89/(AB89+0.0000001))</f>
        <v/>
      </c>
      <c r="AA89" s="66"/>
      <c r="AB89" s="57">
        <f>SUM(IF(V16=0,1,V16)*X16,IF(V18=0,1,V18)*X18,IF(V20=0,1,V20)*X20,IF(V22=0,1,V22)*X22,IF(V26=0,1,V26)*X26,IF(V28=0,1,V28)*X28,IF(V30=0,1,V30)*X30,IF(V32=0,1,V32)*X32,IF(V34=0,1,V34)*X34,IF(V36=0,1,V36)*X36,IF(V38=0,1,V38)*X38,IF(V40=0,1,V40)*X40,IF(V42=0,1,V42)*X42,IF(V44=0,1,V44)*X44,IF(V46=0,1,V46)*X46,IF(V48=0,1,V48)*X48,IF(V50=0,1,V50)*X50,IF(V52=0,1,V52)*X52,IF(V54=0,1,V54)*X54,IF(V56=0,1,V56)*X56,IF(V58=0,1,V58)*X58,IF(V60=0,1,V60)*X60,IF(V62=0,1,V62)*X62,IF(V64=0,1,V64)*X64,IF(V68=0,1,V68)*X68,IF(V70=0,1,V70)*X70,IF(V72=0,1,V72)*X72)/60</f>
        <v>15.5</v>
      </c>
      <c r="AC89" s="196"/>
      <c r="AD89" s="196"/>
      <c r="AE89" s="196"/>
      <c r="AF89" s="196"/>
      <c r="AG89" s="196"/>
      <c r="AH89" s="58"/>
      <c r="AI89" s="197" t="str">
        <f>IF(AT80=0,"","Tempo sobre tensão")</f>
        <v/>
      </c>
      <c r="AL89" s="56">
        <f>SUM(AM16*AN16*(AP16+AQ16),AM18*AN18*(AP18+AQ18),AM20*AN20*(AP20+AQ20),AM22*AN22*(AP22+AQ22),AM26*AN26*(AP26+AQ26),AM28*AN28*(AP28+AQ28),AM30*AN30*(AP30+AQ30),AM32*AN32*(AP32+AQ32),AM34*AN34*(AP34+AQ34),AM36*AN36*(AP36+AQ36),AM38*AN38*(AP38+AQ38),AM40*AN40*(AP40+AQ40),AM42*AN42*(AP42+AQ42),AM44*AN44*(AP44+AQ44),AM46*AN46*(AP46+AQ46),AM48*AN48*(AP48+AQ48),AM50*AN50*(AP50+AQ50),AM52*AN52*(AP52+AQ52),AM54*AN54*(AP54+AQ54),AM56*AN56*(AP56+AQ56),AM58*AN58*(AP58+AQ58),AM60*AN60*(AP60+AQ60),AM62*AN62*(AP62+AQ62),AM64*AN64*(AP64+AQ64),AM68*AN68*(AP68+AQ68),AM70*AN70*(AP70+AQ70),AM72*AN72*(AP72+AQ72))/60</f>
        <v>2.166666667</v>
      </c>
      <c r="AM89" s="57" t="str">
        <f>IF(AT80=0,"","Densidade")</f>
        <v/>
      </c>
      <c r="AP89" s="203" t="str">
        <f>IF(AT80=0,"",AL89/(AS89+0.0000001))</f>
        <v/>
      </c>
      <c r="AR89" s="66"/>
      <c r="AS89" s="57">
        <f>SUM(IF(AM16=0,1,AM16)*AO16,IF(AM18=0,1,AM18)*AO18,IF(AM20=0,1,AM20)*AO20,IF(AM22=0,1,AM22)*AO22,IF(AM26=0,1,AM26)*AO26,IF(AM28=0,1,AM28)*AO28,IF(AM30=0,1,AM30)*AO30,IF(AM32=0,1,AM32)*AO32,IF(AM34=0,1,AM34)*AO34,IF(AM36=0,1,AM36)*AO36,IF(AM38=0,1,AM38)*AO38,IF(AM40=0,1,AM40)*AO40,IF(AM42=0,1,AM42)*AO42,IF(AM44=0,1,AM44)*AO44,IF(AM46=0,1,AM46)*AO46,IF(AM48=0,1,AM48)*AO48,IF(AM50=0,1,AM50)*AO50,IF(AM52=0,1,AM52)*AO52,IF(AM54=0,1,AM54)*AO54,IF(AM56=0,1,AM56)*AO56,IF(AM58=0,1,AM58)*AO58,IF(AM60=0,1,AM60)*AO60,IF(AM62=0,1,AM62)*AO62,IF(AM64=0,1,AM64)*AO64,IF(AM68=0,1,AM68)*AO68,IF(AM70=0,1,AM70)*AO70,IF(AM72=0,1,AM72)*AO72)/60</f>
        <v>1.666666667</v>
      </c>
      <c r="AT89" s="196"/>
      <c r="AU89" s="196"/>
      <c r="AV89" s="196"/>
      <c r="AW89" s="196"/>
      <c r="AX89" s="196"/>
      <c r="AY89" s="58"/>
      <c r="AZ89" s="194" t="str">
        <f>IF(BK80=0,"","Tempo sobre tensão")</f>
        <v/>
      </c>
      <c r="BC89" s="56">
        <f>SUM(BD16*BE16*(BG16+BH16),BD18*BE18*(BG18+BH18),BD20*BE20*(BG20+BH20),BD22*BE22*(BG22+BH22),BD26*BE26*(BG26+BH26),BD28*BE28*(BG28+BH28),BD30*BE30*(BG30+BH30),BD32*BE32*(BG32+BH32),BD34*BE34*(BG34+BH34),BD36*BE36*(BG36+BH36),BD38*BE38*(BG38+BH38),BD40*BE40*(BG40+BH40),BD42*BE42*(BG42+BH42),BD44*BE44*(BG44+BH44),BD46*BE46*(BG46+BH46),BD48*BE48*(BG48+BH48),BD50*BE50*(BG50+BH50),BD52*BE52*(BG52+BH52),BD54*BE54*(BG54+BH54),BD56*BE56*(BG56+BH56),BD58*BE58*(BG58+BH58),BD60*BE60*(BG60+BH60),BD62*BE62*(BG62+BH62),BD64*BE64*(BG64+BH64),BD68*BE68*(BG68+BH68),BD70*BE70*(BG70+BH70),BD72*BE72*(BG72+BH72))/60</f>
        <v>19.5</v>
      </c>
      <c r="BD89" s="57" t="str">
        <f>IF(BK80=0,"","Densidade")</f>
        <v/>
      </c>
      <c r="BG89" s="186" t="str">
        <f>IF(BK80=0,"",BC89/(BJ89+0.0000001))</f>
        <v/>
      </c>
      <c r="BI89" s="66"/>
      <c r="BJ89" s="57">
        <f>SUM(IF(BD16=0,1,BD16)*BF16,IF(BD18=0,1,BD18)*BF18,IF(BD20=0,1,BD20)*BF20,IF(BD22=0,1,BD22)*BF22,IF(BD26=0,1,BD26)*BF26,IF(BD28=0,1,BD28)*BF28,IF(BD30=0,1,BD30)*BF30,IF(BD32=0,1,BD32)*BF32,IF(BD34=0,1,BD34)*BF34,IF(BD36=0,1,BD36)*BF36,IF(BD38=0,1,BD38)*BF38,IF(BD40=0,1,BD40)*BF40,IF(BD42=0,1,BD42)*BF42,IF(BD44=0,1,BD44)*BF44,IF(BD46=0,1,BD46)*BF46,IF(BD48=0,1,BD48)*BF48,IF(BD50=0,1,BD50)*BF50,IF(BD52=0,1,BD52)*BF52,IF(BD54=0,1,BD54)*BF54,IF(BD56=0,1,BD56)*BF56,IF(BD58=0,1,BD58)*BF58,IF(BD60=0,1,BD60)*BF60,IF(BD62=0,1,BD62)*BF62,IF(BD64=0,1,BD64)*BF64,IF(BD68=0,1,BD68)*BF68,IF(BD70=0,1,BD70)*BF70,IF(BD72=0,1,BD72)*BF72)/60</f>
        <v>15.5</v>
      </c>
      <c r="BK89" s="196"/>
      <c r="BL89" s="196"/>
      <c r="BM89" s="196"/>
      <c r="BN89" s="196"/>
      <c r="BO89" s="196"/>
      <c r="BP89" s="58"/>
      <c r="BQ89" s="197" t="str">
        <f>IF(CB80=0,"","Tempo sobre tensão")</f>
        <v/>
      </c>
      <c r="BT89" s="56">
        <f>SUM(BU16*BV16*(BX16+BY16),BU18*BV18*(BX18+BY18),BU20*BV20*(BX20+BY20),BU22*BV22*(BX22+BY22),BU26*BV26*(BX26+BY26),BU28*BV28*(BX28+BY28),BU30*BV30*(BX30+BY30),BU32*BV32*(BX32+BY32),BU34*BV34*(BX34+BY34),BU36*BV36*(BX36+BY36),BU38*BV38*(BX38+BY38),BU40*BV40*(BX40+BY40),BU42*BV42*(BX42+BY42),BU44*BV44*(BX44+BY44),BU46*BV46*(BX46+BY46),BU48*BV48*(BX48+BY48),BU50*BV50*(BX50+BY50),BU52*BV52*(BX52+BY52),BU54*BV54*(BX54+BY54),BU56*BV56*(BX56+BY56),BU58*BV58*(BX58+BY58),BU60*BV60*(BX60+BY60),BU62*BV62*(BX62+BY62),BU64*BV64*(BX64+BY64),BU68*BV68*(BX68+BY68),BU70*BV70*(BX70+BY70),BU72*BV72*(BX72+BY72))/60</f>
        <v>21.66666667</v>
      </c>
      <c r="BU89" s="57" t="str">
        <f>IF(CB80=0,"","Densidade")</f>
        <v/>
      </c>
      <c r="BX89" s="203" t="str">
        <f>IF(CB80=0,"",BT89/(CA89+0.0000001))</f>
        <v/>
      </c>
      <c r="BZ89" s="66"/>
      <c r="CA89" s="57">
        <f>SUM(IF(BU16=0,1,BU16)*BW16,IF(BU18=0,1,BU18)*BW18,IF(BU20=0,1,BU20)*BW20,IF(BU22=0,1,BU22)*BW22,IF(BU26=0,1,BU26)*BW26,IF(BU28=0,1,BU28)*BW28,IF(BU30=0,1,BU30)*BW30,IF(BU32=0,1,BU32)*BW32,IF(BU34=0,1,BU34)*BW34,IF(BU36=0,1,BU36)*BW36,IF(BU38=0,1,BU38)*BW38,IF(BU40=0,1,BU40)*BW40,IF(BU42=0,1,BU42)*BW42,IF(BU44=0,1,BU44)*BW44,IF(BU46=0,1,BU46)*BW46,IF(BU48=0,1,BU48)*BW48,IF(BU50=0,1,BU50)*BW50,IF(BU52=0,1,BU52)*BW52,IF(BU54=0,1,BU54)*BW54,IF(BU56=0,1,BU56)*BW56,IF(BU58=0,1,BU58)*BW58,IF(BU60=0,1,BU60)*BW60,IF(BU62=0,1,BU62)*BW62,IF(BU64=0,1,BU64)*BW64,IF(BU68=0,1,BU68)*BW68,IF(BU70=0,1,BU70)*BW70,IF(BU72=0,1,BU72)*BW72)/60</f>
        <v>16.58333333</v>
      </c>
      <c r="CB89" s="196"/>
      <c r="CC89" s="196"/>
      <c r="CD89" s="196"/>
      <c r="CE89" s="196"/>
      <c r="CF89" s="196"/>
      <c r="CG89" s="58"/>
      <c r="CH89" s="194" t="str">
        <f>IF(CS80=0,"","Tempo sobre tensão")</f>
        <v/>
      </c>
      <c r="CK89" s="56">
        <f>SUM(CL16*CM16*(CO16+CP16),CL18*CM18*(CO18+CP18),CL20*CM20*(CO20+CP20),CL22*CM22*(CO22+CP22),CL26*CM26*(CO26+CP26),CL28*CM28*(CO28+CP28),CL30*CM30*(CO30+CP30),CL32*CM32*(CO32+CP32),CL34*CM34*(CO34+CP34),CL36*CM36*(CO36+CP36),CL38*CM38*(CO38+CP38),CL40*CM40*(CO40+CP40),CL42*CM42*(CO42+CP42),CL44*CM44*(CO44+CP44),CL46*CM46*(CO46+CP46),CL48*CM48*(CO48+CP48),CL50*CM50*(CO50+CP50),CL52*CM52*(CO52+CP52),CL54*CM54*(CO54+CP54),CL56*CM56*(CO56+CP56),CL58*CM58*(CO58+CP58),CL60*CM60*(CO60+CP60),CL62*CM62*(CO62+CP62),CL64*CM64*(CO64+CP64),CL68*CM68*(CO68+CP68),CL70*CM70*(CO70+CP70),CL72*CM72*(CO72+CP72))/60</f>
        <v>1.666666667</v>
      </c>
      <c r="CL89" s="57" t="str">
        <f>IF(CS80=0,"","Densidade")</f>
        <v/>
      </c>
      <c r="CO89" s="203" t="str">
        <f>IF(CS80=0,"",CK89/(CR89+0.0000001))</f>
        <v/>
      </c>
      <c r="CQ89" s="66"/>
      <c r="CR89" s="57">
        <f>SUM(IF(CL16=0,1,CL16)*CN16,IF(CL18=0,1,CL18)*CN18,IF(CL20=0,1,CL20)*CN20,IF(CL22=0,1,CL22)*CN22,IF(CL26=0,1,CL26)*CN26,IF(CL28=0,1,CL28)*CN28,IF(CL30=0,1,CL30)*CN30,IF(CL32=0,1,CL32)*CN32,IF(CL34=0,1,CL34)*CN34,IF(CL36=0,1,CL36)*CN36,IF(CL38=0,1,CL38)*CN38,IF(CL40=0,1,CL40)*CN40,IF(CL42=0,1,CL42)*CN42,IF(CL44=0,1,CL44)*CN44,IF(CL46=0,1,CL46)*CN46,IF(CL48=0,1,CL48)*CN48,IF(CL50=0,1,CL50)*CN50,IF(CL52=0,1,CL52)*CN52,IF(CL54=0,1,CL54)*CN54,IF(CL56=0,1,CL56)*CN56,IF(CL58=0,1,CL58)*CN58,IF(CL60=0,1,CL60)*CN60,IF(CL62=0,1,CL62)*CN62,IF(CL64=0,1,CL64)*CN64,IF(CL68=0,1,CL68)*CN68,IF(CL70=0,1,CL70)*CN70,IF(CL72=0,1,CL72)*CN72)/60</f>
        <v>1.666666667</v>
      </c>
      <c r="CS89" s="196"/>
      <c r="CT89" s="196"/>
      <c r="CU89" s="196"/>
      <c r="CV89" s="196"/>
      <c r="CW89" s="196"/>
      <c r="CX89" s="58"/>
      <c r="CY89" s="197" t="str">
        <f>IF(DJ80=0,"","Tempo sobre tensão")</f>
        <v/>
      </c>
      <c r="DB89" s="56">
        <f>SUM(DC16*DD16*(DF16+DG16),DC18*DD18*(DF18+DG18),DC20*DD20*(DF20+DG20),DC22*DD22*(DF22+DG22),DC26*DD26*(DF26+DG26),DC28*DD28*(DF28+DG28),DC30*DD30*(DF30+DG30),DC32*DD32*(DF32+DG32),DC34*DD34*(DF34+DG34),DC36*DD36*(DF36+DG36),DC38*DD38*(DF38+DG38),DC40*DD40*(DF40+DG40),DC42*DD42*(DF42+DG42),DC44*DD44*(DF44+DG44),DC46*DD46*(DF46+DG46),DC48*DD48*(DF48+DG48),DC50*DD50*(DF50+DG50),DC52*DD52*(DF52+DG52),DC54*DD54*(DF54+DG54),DC56*DD56*(DF56+DG56),DC58*DD58*(DF58+DG58),DC60*DD60*(DF60+DG60),DC62*DD62*(DF62+DG62),DC64*DD64*(DF64+DG64),DC68*DD68*(DF68+DG68),DC70*DD70*(DF70+DG70),DC72*DD72*(DF72+DG72))/60</f>
        <v>0</v>
      </c>
      <c r="DC89" s="57" t="str">
        <f>IF(DJ80=0,"","Densidade")</f>
        <v/>
      </c>
      <c r="DF89" s="203" t="str">
        <f>IF(DJ80=0,"",DB89/(DI89+0.0000001))</f>
        <v/>
      </c>
      <c r="DH89" s="66"/>
      <c r="DI89" s="57">
        <f>SUM(IF(DC16=0,1,DC16)*DE16,IF(DC18=0,1,DC18)*DE18,IF(DC20=0,1,DC20)*DE20,IF(DC22=0,1,DC22)*DE22,IF(DC26=0,1,DC26)*DE26,IF(DC28=0,1,DC28)*DE28,IF(DC30=0,1,DC30)*DE30,IF(DC32=0,1,DC32)*DE32,IF(DC34=0,1,DC34)*DE34,IF(DC36=0,1,DC36)*DE36,IF(DC38=0,1,DC38)*DE38,IF(DC40=0,1,DC40)*DE40,IF(DC42=0,1,DC42)*DE42,IF(DC44=0,1,DC44)*DE44,IF(DC46=0,1,DC46)*DE46,IF(DC48=0,1,DC48)*DE48,IF(DC50=0,1,DC50)*DE50,IF(DC52=0,1,DC52)*DE52,IF(DC54=0,1,DC54)*DE54,IF(DC56=0,1,DC56)*DE56,IF(DC58=0,1,DC58)*DE58,IF(DC60=0,1,DC60)*DE60,IF(DC62=0,1,DC62)*DE62,IF(DC64=0,1,DC64)*DE64,IF(DC68=0,1,DC68)*DE68,IF(DC70=0,1,DC70)*DE70,IF(DC72=0,1,DC72)*DE72)/60</f>
        <v>0</v>
      </c>
      <c r="DJ89" s="196"/>
      <c r="DK89" s="196"/>
      <c r="DL89" s="196"/>
      <c r="DM89" s="196"/>
      <c r="DN89" s="196"/>
      <c r="DO89" s="58"/>
      <c r="DP89" s="57"/>
      <c r="DQ89" s="56"/>
      <c r="DR89" s="56"/>
      <c r="DS89" s="56"/>
      <c r="DT89" s="56"/>
      <c r="DU89" s="56"/>
      <c r="DV89" s="56"/>
      <c r="DW89" s="56"/>
      <c r="DX89" s="56"/>
      <c r="DY89" s="56"/>
    </row>
    <row r="90">
      <c r="A90" s="194" t="str">
        <f>IF(L80=0,"","Carga Interna de treino")</f>
        <v/>
      </c>
      <c r="D90" s="56" t="str">
        <f>IF(L80=0,"",(L80*D89)+(L80*IF(ISNUMBER(B82),B82,B6)))</f>
        <v/>
      </c>
      <c r="E90" s="57" t="str">
        <f>IF(L80=0,"","Razão Ag/Cr")</f>
        <v/>
      </c>
      <c r="H90" s="186" t="str">
        <f>IF(L80=0,"",D90/'Dados de Base'!$J$7)</f>
        <v/>
      </c>
      <c r="J90" s="66"/>
      <c r="K90" s="57"/>
      <c r="L90" s="196"/>
      <c r="M90" s="196"/>
      <c r="N90" s="196"/>
      <c r="O90" s="196"/>
      <c r="P90" s="196"/>
      <c r="Q90" s="58"/>
      <c r="R90" s="194" t="str">
        <f>IF(AC80=0,"","Carga Interna de treino")</f>
        <v/>
      </c>
      <c r="U90" s="56" t="str">
        <f>IF(AC80=0,"",(AC80*U89)+(AC80*IF(ISNUMBER(S82),S82,S6)))</f>
        <v/>
      </c>
      <c r="V90" s="57" t="str">
        <f>IF(AC80=0,"","Razão Ag/Cr")</f>
        <v/>
      </c>
      <c r="Y90" s="186" t="str">
        <f>IF(AC80=0,"",U90/'Dados de Base'!$J$7)</f>
        <v/>
      </c>
      <c r="AA90" s="66"/>
      <c r="AB90" s="57"/>
      <c r="AC90" s="196"/>
      <c r="AD90" s="196"/>
      <c r="AE90" s="196"/>
      <c r="AF90" s="196"/>
      <c r="AG90" s="196"/>
      <c r="AH90" s="58"/>
      <c r="AI90" s="197" t="str">
        <f>IF(AT80=0,"","Carga Interna de treino")</f>
        <v/>
      </c>
      <c r="AL90" s="56" t="str">
        <f>IF(AT80=0,"",(AT80*AL89)+(AT80*IF(ISNUMBER(AJ82),AJ82,AJ6)))</f>
        <v/>
      </c>
      <c r="AM90" s="57" t="str">
        <f>IF(AT80=0,"","Razão Ag/Cr")</f>
        <v/>
      </c>
      <c r="AP90" s="186" t="str">
        <f>IF(AT80=0,"",AL90/'Dados de Base'!$J$7)</f>
        <v/>
      </c>
      <c r="AR90" s="66"/>
      <c r="AS90" s="57"/>
      <c r="AT90" s="196"/>
      <c r="AU90" s="196"/>
      <c r="AV90" s="196"/>
      <c r="AW90" s="196"/>
      <c r="AX90" s="196"/>
      <c r="AY90" s="58"/>
      <c r="AZ90" s="194" t="str">
        <f>IF(BK80=0,"","Carga Interna de treino")</f>
        <v/>
      </c>
      <c r="BC90" s="57" t="str">
        <f>IF(BK80=0,"",(BK80*BC89)+(BK80*IF(ISNUMBER(BA82),BA82,BA6)))</f>
        <v/>
      </c>
      <c r="BD90" s="57" t="str">
        <f>IF(BK80=0,"","Razão Ag/Cr")</f>
        <v/>
      </c>
      <c r="BG90" s="186" t="str">
        <f>IF(BK80=0,"",BC90/'Dados de Base'!$J$7)</f>
        <v/>
      </c>
      <c r="BI90" s="66"/>
      <c r="BJ90" s="57"/>
      <c r="BK90" s="196"/>
      <c r="BL90" s="196"/>
      <c r="BM90" s="196"/>
      <c r="BN90" s="196"/>
      <c r="BO90" s="196"/>
      <c r="BP90" s="58"/>
      <c r="BQ90" s="197" t="str">
        <f>IF(CB80=0,"","Carga Interna de treino")</f>
        <v/>
      </c>
      <c r="BT90" s="56" t="str">
        <f>IF(CB80=0,"",(CB80*BT89)+(CB80*IF(ISNUMBER(BR82),BR82,BR6)))</f>
        <v/>
      </c>
      <c r="BU90" s="57" t="str">
        <f>IF(CB80=0,"","Razão Ag/Cr")</f>
        <v/>
      </c>
      <c r="BX90" s="186" t="str">
        <f>IF(CB80=0,"",BT90/'Dados de Base'!$J$7)</f>
        <v/>
      </c>
      <c r="BZ90" s="66"/>
      <c r="CA90" s="57"/>
      <c r="CB90" s="196"/>
      <c r="CC90" s="196"/>
      <c r="CD90" s="196"/>
      <c r="CE90" s="196"/>
      <c r="CF90" s="196"/>
      <c r="CG90" s="58"/>
      <c r="CH90" s="194" t="str">
        <f>IF(CS80=0,"","Carga Interna de treino")</f>
        <v/>
      </c>
      <c r="CK90" s="57" t="str">
        <f>IF(CS80=0,"",(CS80*CK89)+(CS80*IF(ISNUMBER(CI82),CI82,CI6)))</f>
        <v/>
      </c>
      <c r="CL90" s="57" t="str">
        <f>IF(CS80=0,"","Razão Ag/Cr")</f>
        <v/>
      </c>
      <c r="CO90" s="186" t="str">
        <f>IF(CS80=0,"",CK90/'Dados de Base'!$J$7)</f>
        <v/>
      </c>
      <c r="CQ90" s="66"/>
      <c r="CR90" s="57"/>
      <c r="CS90" s="196"/>
      <c r="CT90" s="196"/>
      <c r="CU90" s="196"/>
      <c r="CV90" s="196"/>
      <c r="CW90" s="196"/>
      <c r="CX90" s="58"/>
      <c r="CY90" s="197" t="str">
        <f>IF(DJ80=0,"","Carga Interna de treino")</f>
        <v/>
      </c>
      <c r="DB90" s="56" t="str">
        <f>IF(DJ80=0,"",(DJ80*DB89)+(DJ80*IF(ISNUMBER(CZ82),CZ82,CZ6)))</f>
        <v/>
      </c>
      <c r="DC90" s="57" t="str">
        <f>IF(DJ80=0,"","Razão Ag/Cr")</f>
        <v/>
      </c>
      <c r="DF90" s="186" t="str">
        <f>IF(DJ80=0,"",DB90/'Dados de Base'!$J$7)</f>
        <v/>
      </c>
      <c r="DH90" s="66"/>
      <c r="DI90" s="57"/>
      <c r="DJ90" s="196"/>
      <c r="DK90" s="196"/>
      <c r="DL90" s="196"/>
      <c r="DM90" s="196"/>
      <c r="DN90" s="196"/>
      <c r="DO90" s="58"/>
      <c r="DP90" s="57"/>
      <c r="DQ90" s="56"/>
      <c r="DR90" s="56"/>
      <c r="DS90" s="56"/>
      <c r="DT90" s="56"/>
      <c r="DU90" s="56"/>
      <c r="DV90" s="56"/>
      <c r="DW90" s="56"/>
      <c r="DX90" s="56"/>
      <c r="DY90" s="56"/>
    </row>
    <row r="91">
      <c r="A91" s="204" t="s">
        <v>55</v>
      </c>
      <c r="B91" s="205"/>
      <c r="C91" s="205"/>
      <c r="D91" s="205"/>
      <c r="E91" s="205"/>
      <c r="F91" s="205"/>
      <c r="G91" s="205"/>
      <c r="H91" s="205"/>
      <c r="I91" s="205"/>
      <c r="J91" s="206"/>
      <c r="K91" s="57"/>
      <c r="L91" s="57"/>
      <c r="M91" s="57"/>
      <c r="N91" s="57"/>
      <c r="O91" s="57"/>
      <c r="P91" s="57"/>
      <c r="Q91" s="58"/>
      <c r="R91" s="207" t="s">
        <v>55</v>
      </c>
      <c r="S91" s="205"/>
      <c r="T91" s="205"/>
      <c r="U91" s="205"/>
      <c r="V91" s="205"/>
      <c r="W91" s="205"/>
      <c r="X91" s="205"/>
      <c r="Y91" s="205"/>
      <c r="Z91" s="205"/>
      <c r="AA91" s="206"/>
      <c r="AB91" s="57"/>
      <c r="AC91" s="57"/>
      <c r="AD91" s="57"/>
      <c r="AE91" s="57"/>
      <c r="AF91" s="57"/>
      <c r="AG91" s="57"/>
      <c r="AH91" s="58"/>
      <c r="AI91" s="204" t="s">
        <v>55</v>
      </c>
      <c r="AJ91" s="205"/>
      <c r="AK91" s="205"/>
      <c r="AL91" s="205"/>
      <c r="AM91" s="205"/>
      <c r="AN91" s="205"/>
      <c r="AO91" s="205"/>
      <c r="AP91" s="205"/>
      <c r="AQ91" s="205"/>
      <c r="AR91" s="206"/>
      <c r="AS91" s="57"/>
      <c r="AT91" s="57"/>
      <c r="AU91" s="57"/>
      <c r="AV91" s="57"/>
      <c r="AW91" s="57"/>
      <c r="AX91" s="57"/>
      <c r="AY91" s="58"/>
      <c r="AZ91" s="204" t="s">
        <v>55</v>
      </c>
      <c r="BA91" s="205"/>
      <c r="BB91" s="205"/>
      <c r="BC91" s="205"/>
      <c r="BD91" s="205"/>
      <c r="BE91" s="205"/>
      <c r="BF91" s="205"/>
      <c r="BG91" s="205"/>
      <c r="BH91" s="205"/>
      <c r="BI91" s="206"/>
      <c r="BJ91" s="57"/>
      <c r="BK91" s="57"/>
      <c r="BL91" s="57"/>
      <c r="BM91" s="57"/>
      <c r="BN91" s="57"/>
      <c r="BO91" s="57"/>
      <c r="BP91" s="58"/>
      <c r="BQ91" s="204" t="s">
        <v>55</v>
      </c>
      <c r="BR91" s="205"/>
      <c r="BS91" s="205"/>
      <c r="BT91" s="205"/>
      <c r="BU91" s="205"/>
      <c r="BV91" s="205"/>
      <c r="BW91" s="205"/>
      <c r="BX91" s="205"/>
      <c r="BY91" s="205"/>
      <c r="BZ91" s="206"/>
      <c r="CA91" s="57"/>
      <c r="CB91" s="57"/>
      <c r="CC91" s="57"/>
      <c r="CD91" s="57"/>
      <c r="CE91" s="57"/>
      <c r="CF91" s="57"/>
      <c r="CG91" s="58"/>
      <c r="CH91" s="204" t="s">
        <v>55</v>
      </c>
      <c r="CI91" s="205"/>
      <c r="CJ91" s="205"/>
      <c r="CK91" s="205"/>
      <c r="CL91" s="205"/>
      <c r="CM91" s="205"/>
      <c r="CN91" s="205"/>
      <c r="CO91" s="205"/>
      <c r="CP91" s="205"/>
      <c r="CQ91" s="206"/>
      <c r="CR91" s="57"/>
      <c r="CS91" s="57"/>
      <c r="CT91" s="57"/>
      <c r="CU91" s="57"/>
      <c r="CV91" s="57"/>
      <c r="CW91" s="57"/>
      <c r="CX91" s="58"/>
      <c r="CY91" s="204" t="s">
        <v>55</v>
      </c>
      <c r="CZ91" s="205"/>
      <c r="DA91" s="205"/>
      <c r="DB91" s="205"/>
      <c r="DC91" s="205"/>
      <c r="DD91" s="205"/>
      <c r="DE91" s="205"/>
      <c r="DF91" s="205"/>
      <c r="DG91" s="205"/>
      <c r="DH91" s="206"/>
      <c r="DI91" s="57"/>
      <c r="DJ91" s="57"/>
      <c r="DK91" s="57"/>
      <c r="DL91" s="57"/>
      <c r="DM91" s="57"/>
      <c r="DN91" s="57"/>
      <c r="DO91" s="58"/>
      <c r="DP91" s="57"/>
      <c r="DQ91" s="56"/>
      <c r="DR91" s="56"/>
      <c r="DS91" s="56"/>
      <c r="DT91" s="56"/>
      <c r="DU91" s="56"/>
      <c r="DV91" s="56"/>
      <c r="DW91" s="56"/>
      <c r="DX91" s="56"/>
      <c r="DY91" s="56"/>
    </row>
  </sheetData>
  <mergeCells count="946">
    <mergeCell ref="AZ66:BI66"/>
    <mergeCell ref="AZ67:BB67"/>
    <mergeCell ref="BQ67:BS67"/>
    <mergeCell ref="CH67:CJ67"/>
    <mergeCell ref="CY67:DA67"/>
    <mergeCell ref="AI65:AL65"/>
    <mergeCell ref="AM65:AR65"/>
    <mergeCell ref="BD65:BI65"/>
    <mergeCell ref="BU65:BZ65"/>
    <mergeCell ref="AI66:AR66"/>
    <mergeCell ref="BQ66:BZ66"/>
    <mergeCell ref="AI67:AK67"/>
    <mergeCell ref="BQ69:BT69"/>
    <mergeCell ref="BU69:BZ69"/>
    <mergeCell ref="BQ70:BS70"/>
    <mergeCell ref="BQ71:BT71"/>
    <mergeCell ref="BU71:BZ71"/>
    <mergeCell ref="CH69:CK69"/>
    <mergeCell ref="CL69:CQ69"/>
    <mergeCell ref="CH70:CJ70"/>
    <mergeCell ref="CH71:CK71"/>
    <mergeCell ref="CL71:CQ71"/>
    <mergeCell ref="CY69:DB69"/>
    <mergeCell ref="DC69:DH69"/>
    <mergeCell ref="CY70:DA70"/>
    <mergeCell ref="CY71:DB71"/>
    <mergeCell ref="DC71:DH71"/>
    <mergeCell ref="AI68:AK68"/>
    <mergeCell ref="AZ68:BB68"/>
    <mergeCell ref="BQ68:BS68"/>
    <mergeCell ref="CH68:CJ68"/>
    <mergeCell ref="CY68:DA68"/>
    <mergeCell ref="AI69:AL69"/>
    <mergeCell ref="AM69:AR69"/>
    <mergeCell ref="AZ72:BB72"/>
    <mergeCell ref="BQ72:BS72"/>
    <mergeCell ref="CH72:CJ72"/>
    <mergeCell ref="CY72:DA72"/>
    <mergeCell ref="AZ69:BC69"/>
    <mergeCell ref="BD69:BI69"/>
    <mergeCell ref="AI70:AK70"/>
    <mergeCell ref="AZ70:BB70"/>
    <mergeCell ref="AM71:AR71"/>
    <mergeCell ref="AZ71:BC71"/>
    <mergeCell ref="BD71:BI71"/>
    <mergeCell ref="CY74:DH74"/>
    <mergeCell ref="CY75:DH75"/>
    <mergeCell ref="CY76:DH76"/>
    <mergeCell ref="CY77:DH77"/>
    <mergeCell ref="CY78:DH78"/>
    <mergeCell ref="CY79:DH79"/>
    <mergeCell ref="CY81:DH81"/>
    <mergeCell ref="BU73:BZ73"/>
    <mergeCell ref="CH73:CK73"/>
    <mergeCell ref="CL73:CQ73"/>
    <mergeCell ref="CY73:DB73"/>
    <mergeCell ref="DC73:DH73"/>
    <mergeCell ref="CH74:CQ74"/>
    <mergeCell ref="CH75:CQ75"/>
    <mergeCell ref="AI71:AL71"/>
    <mergeCell ref="AI72:AK72"/>
    <mergeCell ref="AI73:AL73"/>
    <mergeCell ref="AM73:AR73"/>
    <mergeCell ref="AZ73:BC73"/>
    <mergeCell ref="BQ73:BT73"/>
    <mergeCell ref="BQ74:BZ74"/>
    <mergeCell ref="BT80:BZ80"/>
    <mergeCell ref="BQ81:BZ81"/>
    <mergeCell ref="CH81:CQ81"/>
    <mergeCell ref="AZ80:BB80"/>
    <mergeCell ref="BC80:BI80"/>
    <mergeCell ref="BQ80:BS80"/>
    <mergeCell ref="CH80:CJ80"/>
    <mergeCell ref="CK80:CQ80"/>
    <mergeCell ref="CY80:DA80"/>
    <mergeCell ref="DB80:DH80"/>
    <mergeCell ref="AI52:AK52"/>
    <mergeCell ref="AI53:AL53"/>
    <mergeCell ref="AM53:AR53"/>
    <mergeCell ref="BD53:BI53"/>
    <mergeCell ref="BU53:BZ53"/>
    <mergeCell ref="AI54:AK54"/>
    <mergeCell ref="AZ54:BB54"/>
    <mergeCell ref="AI55:AL55"/>
    <mergeCell ref="AM55:AR55"/>
    <mergeCell ref="BD55:BI55"/>
    <mergeCell ref="BU55:BZ55"/>
    <mergeCell ref="AI56:AK56"/>
    <mergeCell ref="AZ56:BB56"/>
    <mergeCell ref="BQ56:BS56"/>
    <mergeCell ref="DS57:DT57"/>
    <mergeCell ref="DU57:DW57"/>
    <mergeCell ref="CH58:CJ58"/>
    <mergeCell ref="CY58:DA58"/>
    <mergeCell ref="CL59:CQ59"/>
    <mergeCell ref="CY59:DB59"/>
    <mergeCell ref="DC59:DH59"/>
    <mergeCell ref="CY61:DB61"/>
    <mergeCell ref="CY62:DA62"/>
    <mergeCell ref="CY63:DB63"/>
    <mergeCell ref="CH59:CK59"/>
    <mergeCell ref="CH60:CJ60"/>
    <mergeCell ref="CY60:DA60"/>
    <mergeCell ref="CH61:CK61"/>
    <mergeCell ref="CL61:CQ61"/>
    <mergeCell ref="DC61:DH61"/>
    <mergeCell ref="CH62:CJ62"/>
    <mergeCell ref="CY65:DB65"/>
    <mergeCell ref="DC65:DH65"/>
    <mergeCell ref="CH66:CQ66"/>
    <mergeCell ref="CY66:DH66"/>
    <mergeCell ref="CH63:CK63"/>
    <mergeCell ref="CL63:CQ63"/>
    <mergeCell ref="DC63:DH63"/>
    <mergeCell ref="CH64:CJ64"/>
    <mergeCell ref="CY64:DA64"/>
    <mergeCell ref="CH65:CK65"/>
    <mergeCell ref="CL65:CQ65"/>
    <mergeCell ref="AI57:AL57"/>
    <mergeCell ref="AM57:AR57"/>
    <mergeCell ref="BD57:BI57"/>
    <mergeCell ref="BU57:BZ57"/>
    <mergeCell ref="AI58:AK58"/>
    <mergeCell ref="AZ58:BB58"/>
    <mergeCell ref="BQ58:BS58"/>
    <mergeCell ref="AI59:AL59"/>
    <mergeCell ref="AM59:AR59"/>
    <mergeCell ref="BD59:BI59"/>
    <mergeCell ref="BU59:BZ59"/>
    <mergeCell ref="AI60:AK60"/>
    <mergeCell ref="AZ60:BB60"/>
    <mergeCell ref="BQ60:BS60"/>
    <mergeCell ref="AZ48:BB48"/>
    <mergeCell ref="AZ49:BC49"/>
    <mergeCell ref="AZ47:BC47"/>
    <mergeCell ref="AZ50:BB50"/>
    <mergeCell ref="AZ51:BC51"/>
    <mergeCell ref="AZ53:BC53"/>
    <mergeCell ref="AZ55:BC55"/>
    <mergeCell ref="AZ57:BC57"/>
    <mergeCell ref="AZ59:BC59"/>
    <mergeCell ref="BD49:BI49"/>
    <mergeCell ref="BQ49:BT49"/>
    <mergeCell ref="BU49:BZ49"/>
    <mergeCell ref="BQ50:BS50"/>
    <mergeCell ref="AI47:AL47"/>
    <mergeCell ref="AM47:AR47"/>
    <mergeCell ref="BD47:BI47"/>
    <mergeCell ref="AI48:AK48"/>
    <mergeCell ref="AI49:AL49"/>
    <mergeCell ref="AM49:AR49"/>
    <mergeCell ref="AI50:AK50"/>
    <mergeCell ref="AI51:AL51"/>
    <mergeCell ref="AM51:AR51"/>
    <mergeCell ref="BD51:BI51"/>
    <mergeCell ref="BQ51:BT51"/>
    <mergeCell ref="BU51:BZ51"/>
    <mergeCell ref="AZ52:BB52"/>
    <mergeCell ref="BQ52:BS52"/>
    <mergeCell ref="BQ53:BT53"/>
    <mergeCell ref="BQ54:BS54"/>
    <mergeCell ref="BQ55:BT55"/>
    <mergeCell ref="BQ57:BT57"/>
    <mergeCell ref="BQ59:BT59"/>
    <mergeCell ref="BQ61:BT61"/>
    <mergeCell ref="BQ63:BT63"/>
    <mergeCell ref="BQ65:BT65"/>
    <mergeCell ref="AI61:AL61"/>
    <mergeCell ref="AM61:AR61"/>
    <mergeCell ref="BD61:BI61"/>
    <mergeCell ref="BU61:BZ61"/>
    <mergeCell ref="AI62:AK62"/>
    <mergeCell ref="AZ62:BB62"/>
    <mergeCell ref="BQ62:BS62"/>
    <mergeCell ref="AZ61:BC61"/>
    <mergeCell ref="AZ63:BC63"/>
    <mergeCell ref="AZ65:BC65"/>
    <mergeCell ref="AI63:AL63"/>
    <mergeCell ref="AM63:AR63"/>
    <mergeCell ref="BD63:BI63"/>
    <mergeCell ref="BU63:BZ63"/>
    <mergeCell ref="AI64:AK64"/>
    <mergeCell ref="AZ64:BB64"/>
    <mergeCell ref="BQ64:BS64"/>
    <mergeCell ref="AI74:AR74"/>
    <mergeCell ref="AI75:AR75"/>
    <mergeCell ref="AI76:AR76"/>
    <mergeCell ref="AI77:AR77"/>
    <mergeCell ref="AI78:AR78"/>
    <mergeCell ref="AI79:AR79"/>
    <mergeCell ref="AI80:AK80"/>
    <mergeCell ref="AL80:AR80"/>
    <mergeCell ref="AI81:AR81"/>
    <mergeCell ref="AM82:AN82"/>
    <mergeCell ref="AO82:AR82"/>
    <mergeCell ref="AI83:AL83"/>
    <mergeCell ref="AM83:AN83"/>
    <mergeCell ref="AO83:AR83"/>
    <mergeCell ref="AI88:AJ88"/>
    <mergeCell ref="AI89:AK89"/>
    <mergeCell ref="AM89:AO89"/>
    <mergeCell ref="AP89:AR89"/>
    <mergeCell ref="AI90:AK90"/>
    <mergeCell ref="AM90:AO90"/>
    <mergeCell ref="AP90:AR90"/>
    <mergeCell ref="AI84:AJ84"/>
    <mergeCell ref="AI85:AK85"/>
    <mergeCell ref="AL85:AR85"/>
    <mergeCell ref="AM86:AN86"/>
    <mergeCell ref="AO86:AQ86"/>
    <mergeCell ref="AM87:AN87"/>
    <mergeCell ref="AO87:AQ87"/>
    <mergeCell ref="BD73:BI73"/>
    <mergeCell ref="AZ74:BI74"/>
    <mergeCell ref="AZ75:BI75"/>
    <mergeCell ref="AZ76:BI76"/>
    <mergeCell ref="AZ77:BI77"/>
    <mergeCell ref="AZ78:BI78"/>
    <mergeCell ref="AZ79:BI79"/>
    <mergeCell ref="AZ81:BI81"/>
    <mergeCell ref="BD82:BE82"/>
    <mergeCell ref="BF82:BI82"/>
    <mergeCell ref="AZ83:BC83"/>
    <mergeCell ref="BD83:BE83"/>
    <mergeCell ref="BF83:BI83"/>
    <mergeCell ref="AZ84:BA84"/>
    <mergeCell ref="AZ89:BB89"/>
    <mergeCell ref="BD89:BF89"/>
    <mergeCell ref="BG89:BI89"/>
    <mergeCell ref="AZ90:BB90"/>
    <mergeCell ref="BD90:BF90"/>
    <mergeCell ref="BG90:BI90"/>
    <mergeCell ref="AZ85:BB85"/>
    <mergeCell ref="BC85:BI85"/>
    <mergeCell ref="BD86:BE86"/>
    <mergeCell ref="BF86:BH86"/>
    <mergeCell ref="BD87:BE87"/>
    <mergeCell ref="BF87:BH87"/>
    <mergeCell ref="AZ88:BA88"/>
    <mergeCell ref="BU90:BW90"/>
    <mergeCell ref="BX90:BZ90"/>
    <mergeCell ref="CH90:CJ90"/>
    <mergeCell ref="CL90:CN90"/>
    <mergeCell ref="CO90:CQ90"/>
    <mergeCell ref="CY90:DA90"/>
    <mergeCell ref="DC90:DE90"/>
    <mergeCell ref="DF90:DH90"/>
    <mergeCell ref="BU87:BV87"/>
    <mergeCell ref="BW87:BY87"/>
    <mergeCell ref="BQ88:BR88"/>
    <mergeCell ref="BQ89:BS89"/>
    <mergeCell ref="BU89:BW89"/>
    <mergeCell ref="BX89:BZ89"/>
    <mergeCell ref="BQ90:BS90"/>
    <mergeCell ref="AI12:AR12"/>
    <mergeCell ref="AI13:AR13"/>
    <mergeCell ref="AZ13:BI13"/>
    <mergeCell ref="BQ13:BZ13"/>
    <mergeCell ref="AI14:AR14"/>
    <mergeCell ref="BQ14:BZ14"/>
    <mergeCell ref="BQ15:BS15"/>
    <mergeCell ref="AZ14:BI14"/>
    <mergeCell ref="AZ15:BB15"/>
    <mergeCell ref="AZ16:BB16"/>
    <mergeCell ref="BQ16:BS16"/>
    <mergeCell ref="BD17:BI17"/>
    <mergeCell ref="BQ17:BT17"/>
    <mergeCell ref="BU17:BZ17"/>
    <mergeCell ref="AI11:AR11"/>
    <mergeCell ref="AZ11:BI11"/>
    <mergeCell ref="BQ11:BZ11"/>
    <mergeCell ref="CY11:DH11"/>
    <mergeCell ref="AZ12:BI12"/>
    <mergeCell ref="BQ12:BZ12"/>
    <mergeCell ref="CY12:DH12"/>
    <mergeCell ref="CH11:CQ11"/>
    <mergeCell ref="CH12:CQ12"/>
    <mergeCell ref="CH13:CQ13"/>
    <mergeCell ref="CY13:DH13"/>
    <mergeCell ref="CH14:CQ14"/>
    <mergeCell ref="CY14:DH14"/>
    <mergeCell ref="CY15:DA15"/>
    <mergeCell ref="AZ17:BC17"/>
    <mergeCell ref="AZ18:BB18"/>
    <mergeCell ref="AZ19:BC19"/>
    <mergeCell ref="BD19:BI19"/>
    <mergeCell ref="AZ20:BB20"/>
    <mergeCell ref="AZ21:BC21"/>
    <mergeCell ref="BD21:BI21"/>
    <mergeCell ref="BQ18:BS18"/>
    <mergeCell ref="BQ19:BT19"/>
    <mergeCell ref="BU19:BZ19"/>
    <mergeCell ref="BQ20:BS20"/>
    <mergeCell ref="BQ21:BT21"/>
    <mergeCell ref="BU21:BZ21"/>
    <mergeCell ref="AI20:AK20"/>
    <mergeCell ref="AI21:AL21"/>
    <mergeCell ref="AM21:AR21"/>
    <mergeCell ref="AI15:AK15"/>
    <mergeCell ref="AI16:AK16"/>
    <mergeCell ref="AI17:AL17"/>
    <mergeCell ref="AM17:AR17"/>
    <mergeCell ref="AI18:AK18"/>
    <mergeCell ref="AI19:AL19"/>
    <mergeCell ref="AM19:AR19"/>
    <mergeCell ref="CY26:DA26"/>
    <mergeCell ref="CY27:DB27"/>
    <mergeCell ref="DC27:DH27"/>
    <mergeCell ref="R28:T28"/>
    <mergeCell ref="R29:U29"/>
    <mergeCell ref="V29:AA29"/>
    <mergeCell ref="R30:T30"/>
    <mergeCell ref="R31:U31"/>
    <mergeCell ref="V31:AA31"/>
    <mergeCell ref="R32:T32"/>
    <mergeCell ref="R33:U33"/>
    <mergeCell ref="V33:AA33"/>
    <mergeCell ref="AM33:AR33"/>
    <mergeCell ref="AZ33:BC33"/>
    <mergeCell ref="BD33:BI33"/>
    <mergeCell ref="BQ33:BT33"/>
    <mergeCell ref="BU33:BZ33"/>
    <mergeCell ref="AZ35:BC35"/>
    <mergeCell ref="AZ36:BB36"/>
    <mergeCell ref="AZ37:BC37"/>
    <mergeCell ref="AI33:AL33"/>
    <mergeCell ref="AI34:AK34"/>
    <mergeCell ref="AZ34:BB34"/>
    <mergeCell ref="AI35:AL35"/>
    <mergeCell ref="AM35:AR35"/>
    <mergeCell ref="BD35:BI35"/>
    <mergeCell ref="AI36:AK36"/>
    <mergeCell ref="BQ39:BT39"/>
    <mergeCell ref="BU39:BZ39"/>
    <mergeCell ref="BQ40:BS40"/>
    <mergeCell ref="BQ34:BS34"/>
    <mergeCell ref="BQ35:BT35"/>
    <mergeCell ref="BU35:BZ35"/>
    <mergeCell ref="BQ36:BS36"/>
    <mergeCell ref="BQ37:BT37"/>
    <mergeCell ref="BU37:BZ37"/>
    <mergeCell ref="BQ38:BS38"/>
    <mergeCell ref="AZ38:BB38"/>
    <mergeCell ref="AZ40:BB40"/>
    <mergeCell ref="AZ39:BC39"/>
    <mergeCell ref="BD39:BI39"/>
    <mergeCell ref="AI37:AL37"/>
    <mergeCell ref="AM37:AR37"/>
    <mergeCell ref="BD37:BI37"/>
    <mergeCell ref="AI38:AK38"/>
    <mergeCell ref="AI39:AL39"/>
    <mergeCell ref="AM39:AR39"/>
    <mergeCell ref="AI40:AK40"/>
    <mergeCell ref="AI41:AL41"/>
    <mergeCell ref="AM41:AR41"/>
    <mergeCell ref="AZ41:BC41"/>
    <mergeCell ref="BD41:BI41"/>
    <mergeCell ref="BU41:BZ41"/>
    <mergeCell ref="AI42:AK42"/>
    <mergeCell ref="AZ42:BB42"/>
    <mergeCell ref="AI43:AL43"/>
    <mergeCell ref="AM43:AR43"/>
    <mergeCell ref="AZ43:BC43"/>
    <mergeCell ref="BD43:BI43"/>
    <mergeCell ref="BU43:BZ43"/>
    <mergeCell ref="AZ44:BB44"/>
    <mergeCell ref="BQ44:BS44"/>
    <mergeCell ref="AI44:AK44"/>
    <mergeCell ref="AI45:AL45"/>
    <mergeCell ref="AM45:AR45"/>
    <mergeCell ref="AZ45:BC45"/>
    <mergeCell ref="BD45:BI45"/>
    <mergeCell ref="AI46:AK46"/>
    <mergeCell ref="AZ46:BB46"/>
    <mergeCell ref="BQ47:BT47"/>
    <mergeCell ref="BQ48:BS48"/>
    <mergeCell ref="BQ41:BT41"/>
    <mergeCell ref="BQ42:BS42"/>
    <mergeCell ref="BQ43:BT43"/>
    <mergeCell ref="BQ45:BT45"/>
    <mergeCell ref="BU45:BZ45"/>
    <mergeCell ref="BQ46:BS46"/>
    <mergeCell ref="BU47:BZ47"/>
    <mergeCell ref="A23:D23"/>
    <mergeCell ref="A25:C25"/>
    <mergeCell ref="A26:C26"/>
    <mergeCell ref="A27:D27"/>
    <mergeCell ref="E27:J27"/>
    <mergeCell ref="A28:C28"/>
    <mergeCell ref="E29:J29"/>
    <mergeCell ref="A29:D29"/>
    <mergeCell ref="A30:C30"/>
    <mergeCell ref="A31:D31"/>
    <mergeCell ref="E31:J31"/>
    <mergeCell ref="A32:C32"/>
    <mergeCell ref="A33:D33"/>
    <mergeCell ref="E33:J33"/>
    <mergeCell ref="R36:T36"/>
    <mergeCell ref="R37:U37"/>
    <mergeCell ref="A35:D35"/>
    <mergeCell ref="E35:J35"/>
    <mergeCell ref="R35:U35"/>
    <mergeCell ref="V35:AA35"/>
    <mergeCell ref="A36:C36"/>
    <mergeCell ref="E37:J37"/>
    <mergeCell ref="V37:AA37"/>
    <mergeCell ref="R39:U39"/>
    <mergeCell ref="R40:T40"/>
    <mergeCell ref="A37:D37"/>
    <mergeCell ref="A38:C38"/>
    <mergeCell ref="R38:T38"/>
    <mergeCell ref="A39:D39"/>
    <mergeCell ref="E39:J39"/>
    <mergeCell ref="V39:AA39"/>
    <mergeCell ref="A40:C40"/>
    <mergeCell ref="R42:T42"/>
    <mergeCell ref="R43:U43"/>
    <mergeCell ref="A41:D41"/>
    <mergeCell ref="E41:J41"/>
    <mergeCell ref="R41:U41"/>
    <mergeCell ref="V41:AA41"/>
    <mergeCell ref="A42:C42"/>
    <mergeCell ref="E43:J43"/>
    <mergeCell ref="V43:AA43"/>
    <mergeCell ref="R45:U45"/>
    <mergeCell ref="R46:T46"/>
    <mergeCell ref="A43:D43"/>
    <mergeCell ref="A44:C44"/>
    <mergeCell ref="R44:T44"/>
    <mergeCell ref="A45:D45"/>
    <mergeCell ref="E45:J45"/>
    <mergeCell ref="V45:AA45"/>
    <mergeCell ref="A46:C46"/>
    <mergeCell ref="R48:T48"/>
    <mergeCell ref="R49:U49"/>
    <mergeCell ref="A47:D47"/>
    <mergeCell ref="E47:J47"/>
    <mergeCell ref="R47:U47"/>
    <mergeCell ref="V47:AA47"/>
    <mergeCell ref="A48:C48"/>
    <mergeCell ref="E49:J49"/>
    <mergeCell ref="V49:AA49"/>
    <mergeCell ref="R51:U51"/>
    <mergeCell ref="R52:T52"/>
    <mergeCell ref="A49:D49"/>
    <mergeCell ref="A50:C50"/>
    <mergeCell ref="R50:T50"/>
    <mergeCell ref="A51:D51"/>
    <mergeCell ref="E51:J51"/>
    <mergeCell ref="V51:AA51"/>
    <mergeCell ref="A52:C52"/>
    <mergeCell ref="BX6:BZ6"/>
    <mergeCell ref="CK6:CL6"/>
    <mergeCell ref="CM6:CN6"/>
    <mergeCell ref="CO6:CQ6"/>
    <mergeCell ref="DB6:DC6"/>
    <mergeCell ref="DD6:DE6"/>
    <mergeCell ref="DF6:DH6"/>
    <mergeCell ref="Y6:AA6"/>
    <mergeCell ref="AL6:AM6"/>
    <mergeCell ref="BC6:BD6"/>
    <mergeCell ref="BE6:BF6"/>
    <mergeCell ref="BG6:BI6"/>
    <mergeCell ref="BT6:BU6"/>
    <mergeCell ref="BV6:BW6"/>
    <mergeCell ref="AZ1:BI1"/>
    <mergeCell ref="BD2:BH2"/>
    <mergeCell ref="BA3:BI3"/>
    <mergeCell ref="BR3:BZ3"/>
    <mergeCell ref="CH1:CQ1"/>
    <mergeCell ref="CL2:CP2"/>
    <mergeCell ref="CI3:CQ3"/>
    <mergeCell ref="CZ3:DH3"/>
    <mergeCell ref="A1:J1"/>
    <mergeCell ref="AI1:AR1"/>
    <mergeCell ref="BQ1:BZ1"/>
    <mergeCell ref="CY1:DH1"/>
    <mergeCell ref="E2:I2"/>
    <mergeCell ref="AM2:AQ2"/>
    <mergeCell ref="BU2:BY2"/>
    <mergeCell ref="DC2:DG2"/>
    <mergeCell ref="CK4:CQ4"/>
    <mergeCell ref="CY4:DA4"/>
    <mergeCell ref="DB4:DH4"/>
    <mergeCell ref="AI4:AK4"/>
    <mergeCell ref="AL4:AR4"/>
    <mergeCell ref="AZ4:BB4"/>
    <mergeCell ref="BC4:BI4"/>
    <mergeCell ref="BQ4:BS4"/>
    <mergeCell ref="BT4:BZ4"/>
    <mergeCell ref="CH4:CJ4"/>
    <mergeCell ref="A5:J5"/>
    <mergeCell ref="R5:AA5"/>
    <mergeCell ref="AI5:AR5"/>
    <mergeCell ref="AZ5:BI5"/>
    <mergeCell ref="BQ5:BZ5"/>
    <mergeCell ref="CH5:CQ5"/>
    <mergeCell ref="CY5:DH5"/>
    <mergeCell ref="AZ7:BI7"/>
    <mergeCell ref="BQ7:BZ7"/>
    <mergeCell ref="CH7:CQ7"/>
    <mergeCell ref="CY7:DH7"/>
    <mergeCell ref="R1:AA1"/>
    <mergeCell ref="V2:Z2"/>
    <mergeCell ref="B3:J3"/>
    <mergeCell ref="S3:AA3"/>
    <mergeCell ref="AJ3:AR3"/>
    <mergeCell ref="A4:C4"/>
    <mergeCell ref="D4:J4"/>
    <mergeCell ref="CO8:CQ8"/>
    <mergeCell ref="DA8:DB8"/>
    <mergeCell ref="DD8:DE8"/>
    <mergeCell ref="DF8:DH8"/>
    <mergeCell ref="BE8:BF8"/>
    <mergeCell ref="BG8:BI8"/>
    <mergeCell ref="BS8:BT8"/>
    <mergeCell ref="BV8:BW8"/>
    <mergeCell ref="BX8:BZ8"/>
    <mergeCell ref="CJ8:CK8"/>
    <mergeCell ref="CM8:CN8"/>
    <mergeCell ref="BF9:BI9"/>
    <mergeCell ref="BQ9:BV9"/>
    <mergeCell ref="BW9:BZ9"/>
    <mergeCell ref="CH9:CM9"/>
    <mergeCell ref="CN9:CQ9"/>
    <mergeCell ref="CY9:DD9"/>
    <mergeCell ref="DE9:DH9"/>
    <mergeCell ref="A9:F9"/>
    <mergeCell ref="G9:J9"/>
    <mergeCell ref="R9:W9"/>
    <mergeCell ref="X9:AA9"/>
    <mergeCell ref="AI9:AN9"/>
    <mergeCell ref="AO9:AR9"/>
    <mergeCell ref="AZ9:BE9"/>
    <mergeCell ref="A10:J10"/>
    <mergeCell ref="R10:AA10"/>
    <mergeCell ref="AI10:AR10"/>
    <mergeCell ref="AZ10:BI10"/>
    <mergeCell ref="BQ10:BZ10"/>
    <mergeCell ref="CH10:CQ10"/>
    <mergeCell ref="CY10:DH10"/>
    <mergeCell ref="AN6:AO6"/>
    <mergeCell ref="AP6:AR6"/>
    <mergeCell ref="AI7:AR7"/>
    <mergeCell ref="AK8:AL8"/>
    <mergeCell ref="AN8:AO8"/>
    <mergeCell ref="AP8:AR8"/>
    <mergeCell ref="BB8:BC8"/>
    <mergeCell ref="A19:D19"/>
    <mergeCell ref="E19:J19"/>
    <mergeCell ref="V19:AA19"/>
    <mergeCell ref="A20:C20"/>
    <mergeCell ref="A21:D21"/>
    <mergeCell ref="E21:J21"/>
    <mergeCell ref="A22:C22"/>
    <mergeCell ref="R21:U21"/>
    <mergeCell ref="V21:AA21"/>
    <mergeCell ref="AI22:AK22"/>
    <mergeCell ref="AZ22:BB22"/>
    <mergeCell ref="BQ22:BS22"/>
    <mergeCell ref="AI23:AL23"/>
    <mergeCell ref="BQ23:BT23"/>
    <mergeCell ref="BQ25:BS25"/>
    <mergeCell ref="BQ26:BS26"/>
    <mergeCell ref="BQ27:BT27"/>
    <mergeCell ref="BQ29:BT29"/>
    <mergeCell ref="BQ31:BT31"/>
    <mergeCell ref="AZ27:BC27"/>
    <mergeCell ref="BD27:BI27"/>
    <mergeCell ref="BU27:BZ27"/>
    <mergeCell ref="AZ28:BB28"/>
    <mergeCell ref="BQ28:BS28"/>
    <mergeCell ref="AZ23:BC23"/>
    <mergeCell ref="BD23:BI23"/>
    <mergeCell ref="BU23:BZ23"/>
    <mergeCell ref="AZ24:BI24"/>
    <mergeCell ref="BQ24:BZ24"/>
    <mergeCell ref="AZ25:BB25"/>
    <mergeCell ref="AZ26:BB26"/>
    <mergeCell ref="AI29:AL29"/>
    <mergeCell ref="AM29:AR29"/>
    <mergeCell ref="AZ29:BC29"/>
    <mergeCell ref="BD29:BI29"/>
    <mergeCell ref="BU29:BZ29"/>
    <mergeCell ref="AZ30:BB30"/>
    <mergeCell ref="BQ30:BS30"/>
    <mergeCell ref="AI30:AK30"/>
    <mergeCell ref="AI31:AL31"/>
    <mergeCell ref="AM31:AR31"/>
    <mergeCell ref="AZ31:BC31"/>
    <mergeCell ref="BD31:BI31"/>
    <mergeCell ref="BU31:BZ31"/>
    <mergeCell ref="AZ32:BB32"/>
    <mergeCell ref="BQ32:BS32"/>
    <mergeCell ref="AM23:AR23"/>
    <mergeCell ref="AI24:AR24"/>
    <mergeCell ref="AI25:AK25"/>
    <mergeCell ref="AI26:AK26"/>
    <mergeCell ref="AI27:AL27"/>
    <mergeCell ref="AM27:AR27"/>
    <mergeCell ref="AI28:AK28"/>
    <mergeCell ref="AI32:AK32"/>
    <mergeCell ref="CH44:CJ44"/>
    <mergeCell ref="CH45:CK45"/>
    <mergeCell ref="CL45:CQ45"/>
    <mergeCell ref="CH46:CJ46"/>
    <mergeCell ref="CH47:CK47"/>
    <mergeCell ref="CL47:CQ47"/>
    <mergeCell ref="CH48:CJ48"/>
    <mergeCell ref="CH49:CK49"/>
    <mergeCell ref="CL49:CQ49"/>
    <mergeCell ref="CH50:CJ50"/>
    <mergeCell ref="CH51:CK51"/>
    <mergeCell ref="CL51:CQ51"/>
    <mergeCell ref="CH52:CJ52"/>
    <mergeCell ref="CL53:CQ53"/>
    <mergeCell ref="CH15:CJ15"/>
    <mergeCell ref="CH16:CJ16"/>
    <mergeCell ref="CH17:CK17"/>
    <mergeCell ref="CL17:CQ17"/>
    <mergeCell ref="CH18:CJ18"/>
    <mergeCell ref="CH19:CK19"/>
    <mergeCell ref="CL19:CQ19"/>
    <mergeCell ref="CH20:CJ20"/>
    <mergeCell ref="CH21:CK21"/>
    <mergeCell ref="CL21:CQ21"/>
    <mergeCell ref="CH22:CJ22"/>
    <mergeCell ref="CH23:CK23"/>
    <mergeCell ref="CL23:CQ23"/>
    <mergeCell ref="CH24:CQ24"/>
    <mergeCell ref="CH25:CJ25"/>
    <mergeCell ref="CH26:CJ26"/>
    <mergeCell ref="CH27:CK27"/>
    <mergeCell ref="CL27:CQ27"/>
    <mergeCell ref="CH28:CJ28"/>
    <mergeCell ref="CH29:CK29"/>
    <mergeCell ref="CL29:CQ29"/>
    <mergeCell ref="CH30:CJ30"/>
    <mergeCell ref="CH31:CK31"/>
    <mergeCell ref="CL31:CQ31"/>
    <mergeCell ref="CH32:CJ32"/>
    <mergeCell ref="CH33:CK33"/>
    <mergeCell ref="CL33:CQ33"/>
    <mergeCell ref="CH34:CJ34"/>
    <mergeCell ref="CH35:CK35"/>
    <mergeCell ref="CL35:CQ35"/>
    <mergeCell ref="CH36:CJ36"/>
    <mergeCell ref="CH37:CK37"/>
    <mergeCell ref="CL37:CQ37"/>
    <mergeCell ref="CH38:CJ38"/>
    <mergeCell ref="CL39:CQ39"/>
    <mergeCell ref="CH39:CK39"/>
    <mergeCell ref="CH40:CJ40"/>
    <mergeCell ref="CH41:CK41"/>
    <mergeCell ref="CL41:CQ41"/>
    <mergeCell ref="CH42:CJ42"/>
    <mergeCell ref="CH43:CK43"/>
    <mergeCell ref="CL43:CQ43"/>
    <mergeCell ref="CH53:CK53"/>
    <mergeCell ref="CH54:CJ54"/>
    <mergeCell ref="CH55:CK55"/>
    <mergeCell ref="CL55:CQ55"/>
    <mergeCell ref="CH56:CJ56"/>
    <mergeCell ref="CH57:CK57"/>
    <mergeCell ref="CL57:CQ57"/>
    <mergeCell ref="CY47:DB47"/>
    <mergeCell ref="DC47:DH47"/>
    <mergeCell ref="CY48:DA48"/>
    <mergeCell ref="CY49:DB49"/>
    <mergeCell ref="DC49:DH49"/>
    <mergeCell ref="CY50:DA50"/>
    <mergeCell ref="DC51:DH51"/>
    <mergeCell ref="CY51:DB51"/>
    <mergeCell ref="CY52:DA52"/>
    <mergeCell ref="CY53:DB53"/>
    <mergeCell ref="DC53:DH53"/>
    <mergeCell ref="CY54:DA54"/>
    <mergeCell ref="CY55:DB55"/>
    <mergeCell ref="DC55:DH55"/>
    <mergeCell ref="CY16:DA16"/>
    <mergeCell ref="CY17:DB17"/>
    <mergeCell ref="DC17:DH17"/>
    <mergeCell ref="CY18:DA18"/>
    <mergeCell ref="CY19:DB19"/>
    <mergeCell ref="DC19:DH19"/>
    <mergeCell ref="CY20:DA20"/>
    <mergeCell ref="CY21:DB21"/>
    <mergeCell ref="DC21:DH21"/>
    <mergeCell ref="CY22:DA22"/>
    <mergeCell ref="CY23:DB23"/>
    <mergeCell ref="DC23:DH23"/>
    <mergeCell ref="CY24:DH24"/>
    <mergeCell ref="CY25:DA25"/>
    <mergeCell ref="CY28:DA28"/>
    <mergeCell ref="CY29:DB29"/>
    <mergeCell ref="DC29:DH29"/>
    <mergeCell ref="CY30:DA30"/>
    <mergeCell ref="CY31:DB31"/>
    <mergeCell ref="DC31:DH31"/>
    <mergeCell ref="CY32:DA32"/>
    <mergeCell ref="CY33:DB33"/>
    <mergeCell ref="DC33:DH33"/>
    <mergeCell ref="CY34:DA34"/>
    <mergeCell ref="CY35:DB35"/>
    <mergeCell ref="DC35:DH35"/>
    <mergeCell ref="CY36:DA36"/>
    <mergeCell ref="DC37:DH37"/>
    <mergeCell ref="CY37:DB37"/>
    <mergeCell ref="CY38:DA38"/>
    <mergeCell ref="CY39:DB39"/>
    <mergeCell ref="DC39:DH39"/>
    <mergeCell ref="CY40:DA40"/>
    <mergeCell ref="CY41:DB41"/>
    <mergeCell ref="DC41:DH41"/>
    <mergeCell ref="CY42:DA42"/>
    <mergeCell ref="CY43:DB43"/>
    <mergeCell ref="DC43:DH43"/>
    <mergeCell ref="CY44:DA44"/>
    <mergeCell ref="CY45:DB45"/>
    <mergeCell ref="DC45:DH45"/>
    <mergeCell ref="CY46:DA46"/>
    <mergeCell ref="CY56:DA56"/>
    <mergeCell ref="CY57:DB57"/>
    <mergeCell ref="DC57:DH57"/>
    <mergeCell ref="A76:J76"/>
    <mergeCell ref="A77:J77"/>
    <mergeCell ref="A78:J78"/>
    <mergeCell ref="R72:T72"/>
    <mergeCell ref="R73:U73"/>
    <mergeCell ref="A74:J74"/>
    <mergeCell ref="R74:AA74"/>
    <mergeCell ref="A75:J75"/>
    <mergeCell ref="R75:AA75"/>
    <mergeCell ref="R76:AA76"/>
    <mergeCell ref="D80:J80"/>
    <mergeCell ref="A81:J81"/>
    <mergeCell ref="E82:F82"/>
    <mergeCell ref="G82:J82"/>
    <mergeCell ref="X82:AA82"/>
    <mergeCell ref="R77:AA77"/>
    <mergeCell ref="R78:AA78"/>
    <mergeCell ref="A79:J79"/>
    <mergeCell ref="R79:AA79"/>
    <mergeCell ref="A80:C80"/>
    <mergeCell ref="R80:T80"/>
    <mergeCell ref="U80:AA80"/>
    <mergeCell ref="A83:D83"/>
    <mergeCell ref="A84:B84"/>
    <mergeCell ref="A85:C85"/>
    <mergeCell ref="D85:J85"/>
    <mergeCell ref="R81:AA81"/>
    <mergeCell ref="V82:W82"/>
    <mergeCell ref="E83:F83"/>
    <mergeCell ref="G83:J83"/>
    <mergeCell ref="R83:U83"/>
    <mergeCell ref="V83:W83"/>
    <mergeCell ref="X83:AA83"/>
    <mergeCell ref="U85:AA85"/>
    <mergeCell ref="V86:W86"/>
    <mergeCell ref="V87:W87"/>
    <mergeCell ref="R84:S84"/>
    <mergeCell ref="R85:T85"/>
    <mergeCell ref="E86:F86"/>
    <mergeCell ref="G86:I86"/>
    <mergeCell ref="X86:Z86"/>
    <mergeCell ref="G87:I87"/>
    <mergeCell ref="X87:Z87"/>
    <mergeCell ref="E89:G89"/>
    <mergeCell ref="E90:G90"/>
    <mergeCell ref="R89:T89"/>
    <mergeCell ref="R90:T90"/>
    <mergeCell ref="V90:X90"/>
    <mergeCell ref="Y90:AA90"/>
    <mergeCell ref="R91:AA91"/>
    <mergeCell ref="E87:F87"/>
    <mergeCell ref="A88:B88"/>
    <mergeCell ref="R88:S88"/>
    <mergeCell ref="A89:C89"/>
    <mergeCell ref="H89:J89"/>
    <mergeCell ref="A90:C90"/>
    <mergeCell ref="H90:J90"/>
    <mergeCell ref="A91:J91"/>
    <mergeCell ref="R4:T4"/>
    <mergeCell ref="U4:AA4"/>
    <mergeCell ref="D6:E6"/>
    <mergeCell ref="F6:G6"/>
    <mergeCell ref="H6:J6"/>
    <mergeCell ref="U6:V6"/>
    <mergeCell ref="W6:X6"/>
    <mergeCell ref="A7:J7"/>
    <mergeCell ref="R7:AA7"/>
    <mergeCell ref="C8:D8"/>
    <mergeCell ref="F8:G8"/>
    <mergeCell ref="H8:J8"/>
    <mergeCell ref="T8:U8"/>
    <mergeCell ref="Y8:AA8"/>
    <mergeCell ref="A11:J11"/>
    <mergeCell ref="R11:AA11"/>
    <mergeCell ref="A12:J12"/>
    <mergeCell ref="R12:AA12"/>
    <mergeCell ref="A13:J13"/>
    <mergeCell ref="R13:AA13"/>
    <mergeCell ref="R14:AA14"/>
    <mergeCell ref="A14:J14"/>
    <mergeCell ref="A15:C15"/>
    <mergeCell ref="R15:T15"/>
    <mergeCell ref="A16:C16"/>
    <mergeCell ref="A17:D17"/>
    <mergeCell ref="E17:J17"/>
    <mergeCell ref="A18:C18"/>
    <mergeCell ref="R20:T20"/>
    <mergeCell ref="R22:T22"/>
    <mergeCell ref="E23:J23"/>
    <mergeCell ref="R23:U23"/>
    <mergeCell ref="V23:AA23"/>
    <mergeCell ref="A24:J24"/>
    <mergeCell ref="R24:AA24"/>
    <mergeCell ref="A34:C34"/>
    <mergeCell ref="R34:T34"/>
    <mergeCell ref="V89:X89"/>
    <mergeCell ref="Y89:AA89"/>
    <mergeCell ref="R17:U17"/>
    <mergeCell ref="V17:AA17"/>
    <mergeCell ref="R16:T16"/>
    <mergeCell ref="R18:T18"/>
    <mergeCell ref="R19:U19"/>
    <mergeCell ref="R25:T25"/>
    <mergeCell ref="R26:T26"/>
    <mergeCell ref="R27:U27"/>
    <mergeCell ref="V27:AA27"/>
    <mergeCell ref="R54:T54"/>
    <mergeCell ref="R55:U55"/>
    <mergeCell ref="A53:D53"/>
    <mergeCell ref="E53:J53"/>
    <mergeCell ref="R53:U53"/>
    <mergeCell ref="V53:AA53"/>
    <mergeCell ref="A54:C54"/>
    <mergeCell ref="E55:J55"/>
    <mergeCell ref="V55:AA55"/>
    <mergeCell ref="R57:U57"/>
    <mergeCell ref="R58:T58"/>
    <mergeCell ref="A55:D55"/>
    <mergeCell ref="A56:C56"/>
    <mergeCell ref="R56:T56"/>
    <mergeCell ref="A57:D57"/>
    <mergeCell ref="E57:J57"/>
    <mergeCell ref="V57:AA57"/>
    <mergeCell ref="A58:C58"/>
    <mergeCell ref="R60:T60"/>
    <mergeCell ref="R61:U61"/>
    <mergeCell ref="A59:D59"/>
    <mergeCell ref="E59:J59"/>
    <mergeCell ref="R59:U59"/>
    <mergeCell ref="V59:AA59"/>
    <mergeCell ref="A60:C60"/>
    <mergeCell ref="E61:J61"/>
    <mergeCell ref="V61:AA61"/>
    <mergeCell ref="R63:U63"/>
    <mergeCell ref="R64:T64"/>
    <mergeCell ref="A61:D61"/>
    <mergeCell ref="A62:C62"/>
    <mergeCell ref="R62:T62"/>
    <mergeCell ref="A63:D63"/>
    <mergeCell ref="E63:J63"/>
    <mergeCell ref="V63:AA63"/>
    <mergeCell ref="A64:C64"/>
    <mergeCell ref="A67:C67"/>
    <mergeCell ref="A68:C68"/>
    <mergeCell ref="A69:D69"/>
    <mergeCell ref="E69:J69"/>
    <mergeCell ref="V69:AA69"/>
    <mergeCell ref="A65:D65"/>
    <mergeCell ref="E65:J65"/>
    <mergeCell ref="R65:U65"/>
    <mergeCell ref="V65:AA65"/>
    <mergeCell ref="A66:J66"/>
    <mergeCell ref="R66:AA66"/>
    <mergeCell ref="R67:T67"/>
    <mergeCell ref="A71:D71"/>
    <mergeCell ref="A72:C72"/>
    <mergeCell ref="A73:D73"/>
    <mergeCell ref="E73:J73"/>
    <mergeCell ref="V73:AA73"/>
    <mergeCell ref="R68:T68"/>
    <mergeCell ref="R69:U69"/>
    <mergeCell ref="A70:C70"/>
    <mergeCell ref="R70:T70"/>
    <mergeCell ref="E71:J71"/>
    <mergeCell ref="R71:U71"/>
    <mergeCell ref="V71:AA71"/>
    <mergeCell ref="DC86:DD86"/>
    <mergeCell ref="DC87:DD87"/>
    <mergeCell ref="DE87:DG87"/>
    <mergeCell ref="DC82:DD82"/>
    <mergeCell ref="CY83:DB83"/>
    <mergeCell ref="DC83:DD83"/>
    <mergeCell ref="CY84:CZ84"/>
    <mergeCell ref="CY85:DA85"/>
    <mergeCell ref="DB85:DH85"/>
    <mergeCell ref="DE86:DG86"/>
    <mergeCell ref="CH78:CQ78"/>
    <mergeCell ref="CH79:CQ79"/>
    <mergeCell ref="BQ75:BZ75"/>
    <mergeCell ref="BQ76:BZ76"/>
    <mergeCell ref="CH76:CQ76"/>
    <mergeCell ref="BQ77:BZ77"/>
    <mergeCell ref="CH77:CQ77"/>
    <mergeCell ref="BQ78:BZ78"/>
    <mergeCell ref="BQ79:BZ79"/>
    <mergeCell ref="BU82:BV82"/>
    <mergeCell ref="BW82:BZ82"/>
    <mergeCell ref="CL82:CM82"/>
    <mergeCell ref="CN82:CQ82"/>
    <mergeCell ref="DE82:DH82"/>
    <mergeCell ref="BQ83:BT83"/>
    <mergeCell ref="CN83:CQ83"/>
    <mergeCell ref="DE83:DH83"/>
    <mergeCell ref="BU83:BV83"/>
    <mergeCell ref="BW83:BZ83"/>
    <mergeCell ref="BQ84:BR84"/>
    <mergeCell ref="BQ85:BS85"/>
    <mergeCell ref="BT85:BZ85"/>
    <mergeCell ref="BU86:BV86"/>
    <mergeCell ref="BW86:BY86"/>
    <mergeCell ref="CH83:CK83"/>
    <mergeCell ref="CL83:CM83"/>
    <mergeCell ref="CH84:CI84"/>
    <mergeCell ref="CH85:CJ85"/>
    <mergeCell ref="CK85:CQ85"/>
    <mergeCell ref="CL86:CM86"/>
    <mergeCell ref="CN86:CP86"/>
    <mergeCell ref="CY89:DA89"/>
    <mergeCell ref="DC89:DE89"/>
    <mergeCell ref="DF89:DH89"/>
    <mergeCell ref="AI91:AR91"/>
    <mergeCell ref="AZ91:BI91"/>
    <mergeCell ref="BQ91:BZ91"/>
    <mergeCell ref="CH91:CQ91"/>
    <mergeCell ref="CY91:DH91"/>
    <mergeCell ref="CL87:CM87"/>
    <mergeCell ref="CN87:CP87"/>
    <mergeCell ref="CH88:CI88"/>
    <mergeCell ref="CY88:CZ88"/>
    <mergeCell ref="CH89:CJ89"/>
    <mergeCell ref="CL89:CN89"/>
    <mergeCell ref="CO89:CQ89"/>
  </mergeCells>
  <conditionalFormatting sqref="A7 R7 AI7 AZ7 BQ7 CH7 CY7">
    <cfRule type="expression" dxfId="0" priority="1">
      <formula>G9=10</formula>
    </cfRule>
  </conditionalFormatting>
  <conditionalFormatting sqref="CY4:DH4 CY6:DH90">
    <cfRule type="expression" dxfId="1" priority="2">
      <formula>$DE$9=10</formula>
    </cfRule>
  </conditionalFormatting>
  <conditionalFormatting sqref="CY16:DG23 CY26:DG65 CY68:DG73">
    <cfRule type="expression" dxfId="2" priority="3">
      <formula>ISEVEN($DI16)</formula>
    </cfRule>
  </conditionalFormatting>
  <conditionalFormatting sqref="CY16:DG23 CY26:DG65 CY68:DG73">
    <cfRule type="expression" dxfId="3" priority="4">
      <formula>ISODD($DI16)</formula>
    </cfRule>
  </conditionalFormatting>
  <conditionalFormatting sqref="CH4:CQ4 CH6:CQ90">
    <cfRule type="expression" dxfId="1" priority="5">
      <formula>$CN$9=10</formula>
    </cfRule>
  </conditionalFormatting>
  <conditionalFormatting sqref="CH16:CP23 CH26:CP65 CH68:CP73">
    <cfRule type="expression" dxfId="3" priority="6">
      <formula>ISODD($CR16)</formula>
    </cfRule>
  </conditionalFormatting>
  <conditionalFormatting sqref="CH16:CP23 CH26:CP65 CH68:CP73">
    <cfRule type="expression" dxfId="2" priority="7">
      <formula>ISEVEN($CR16)</formula>
    </cfRule>
  </conditionalFormatting>
  <conditionalFormatting sqref="BQ4:BZ4 BQ6:BZ90">
    <cfRule type="expression" dxfId="1" priority="8">
      <formula>$BW$9=10</formula>
    </cfRule>
  </conditionalFormatting>
  <conditionalFormatting sqref="BQ16:BY23 BQ26:BY65 BQ68:BY73">
    <cfRule type="expression" dxfId="3" priority="9">
      <formula>ISODD($CA16)</formula>
    </cfRule>
  </conditionalFormatting>
  <conditionalFormatting sqref="BQ16:BY23 BQ26:BY65 BQ68:BY73">
    <cfRule type="expression" dxfId="2" priority="10">
      <formula>ISEVEN($CA16)</formula>
    </cfRule>
  </conditionalFormatting>
  <conditionalFormatting sqref="AZ4:BI4 AZ6:BI90">
    <cfRule type="expression" dxfId="1" priority="11">
      <formula>$BF$9=10</formula>
    </cfRule>
  </conditionalFormatting>
  <conditionalFormatting sqref="AZ16:BH23 AZ26:BH65 AZ68:BH73">
    <cfRule type="expression" dxfId="3" priority="12">
      <formula>ISODD($BJ16)</formula>
    </cfRule>
  </conditionalFormatting>
  <conditionalFormatting sqref="AZ16:BH23 AZ26:BH65 AZ68:BH73">
    <cfRule type="expression" dxfId="2" priority="13">
      <formula>ISEVEN($BJ16)</formula>
    </cfRule>
  </conditionalFormatting>
  <conditionalFormatting sqref="AI4:AR4 AI6:AR90">
    <cfRule type="expression" dxfId="1" priority="14">
      <formula>$AO$9=10</formula>
    </cfRule>
  </conditionalFormatting>
  <conditionalFormatting sqref="AI16:AQ23 AI26:AQ65 AI68:AQ73">
    <cfRule type="expression" dxfId="3" priority="15">
      <formula>ISODD($AS16)</formula>
    </cfRule>
  </conditionalFormatting>
  <conditionalFormatting sqref="AI16:AQ23 AI26:AQ65 AI68:AQ73">
    <cfRule type="expression" dxfId="2" priority="16">
      <formula>ISEVEN($AS16)</formula>
    </cfRule>
  </conditionalFormatting>
  <conditionalFormatting sqref="R4:AA4 R6:AA6 R8:AA90">
    <cfRule type="expression" dxfId="1" priority="17">
      <formula>$X$9=10</formula>
    </cfRule>
  </conditionalFormatting>
  <conditionalFormatting sqref="R16:Z23 R26:Z65 R68:Z73">
    <cfRule type="expression" dxfId="3" priority="18">
      <formula>ISODD($AB16)</formula>
    </cfRule>
  </conditionalFormatting>
  <conditionalFormatting sqref="R16:Z23 R26:Z65 R68:Z73">
    <cfRule type="expression" dxfId="2" priority="19">
      <formula>ISEVEN($AB16)</formula>
    </cfRule>
  </conditionalFormatting>
  <conditionalFormatting sqref="A4:J4 A6:J6 A8:J90">
    <cfRule type="expression" dxfId="1" priority="20">
      <formula>$G$9=10</formula>
    </cfRule>
  </conditionalFormatting>
  <conditionalFormatting sqref="A16:I23 A26:I65 A68:I73">
    <cfRule type="expression" dxfId="3" priority="21">
      <formula>ISODD($K16)</formula>
    </cfRule>
  </conditionalFormatting>
  <conditionalFormatting sqref="A16:I23 A26:I65 A68:I73">
    <cfRule type="expression" dxfId="2" priority="22">
      <formula>ISEVEN($K16)</formula>
    </cfRule>
  </conditionalFormatting>
  <conditionalFormatting sqref="A83:J90">
    <cfRule type="expression" dxfId="4" priority="23">
      <formula>$L$80=0</formula>
    </cfRule>
  </conditionalFormatting>
  <conditionalFormatting sqref="R83:AA90">
    <cfRule type="expression" dxfId="4" priority="24">
      <formula>$AC$80=0</formula>
    </cfRule>
  </conditionalFormatting>
  <conditionalFormatting sqref="AI83:AR90">
    <cfRule type="expression" dxfId="4" priority="25">
      <formula>$AT$80=0</formula>
    </cfRule>
  </conditionalFormatting>
  <conditionalFormatting sqref="AZ83:BI90">
    <cfRule type="expression" dxfId="4" priority="26">
      <formula>$BK$80=0</formula>
    </cfRule>
  </conditionalFormatting>
  <conditionalFormatting sqref="BQ83:BZ90">
    <cfRule type="expression" dxfId="4" priority="27">
      <formula>$CB$80=0</formula>
    </cfRule>
  </conditionalFormatting>
  <conditionalFormatting sqref="CH83:CQ90">
    <cfRule type="expression" dxfId="4" priority="28">
      <formula>$CS$80=0</formula>
    </cfRule>
  </conditionalFormatting>
  <conditionalFormatting sqref="CY83:DH90">
    <cfRule type="expression" dxfId="4" priority="29">
      <formula>$DJ$80=0</formula>
    </cfRule>
  </conditionalFormatting>
  <conditionalFormatting sqref="A86">
    <cfRule type="expression" dxfId="5" priority="30">
      <formula>DQ18&gt;0</formula>
    </cfRule>
  </conditionalFormatting>
  <conditionalFormatting sqref="B86">
    <cfRule type="expression" dxfId="6" priority="31">
      <formula>DP55=1</formula>
    </cfRule>
  </conditionalFormatting>
  <conditionalFormatting sqref="S86:AA86">
    <cfRule type="expression" dxfId="6" priority="32">
      <formula>DP55=1</formula>
    </cfRule>
  </conditionalFormatting>
  <conditionalFormatting sqref="B86">
    <cfRule type="expression" dxfId="5" priority="33">
      <formula>DP56=1</formula>
    </cfRule>
  </conditionalFormatting>
  <conditionalFormatting sqref="C86">
    <cfRule type="expression" dxfId="6" priority="34">
      <formula>DQ55=1</formula>
    </cfRule>
  </conditionalFormatting>
  <conditionalFormatting sqref="D86">
    <cfRule type="expression" dxfId="6" priority="35">
      <formula>DR55=1</formula>
    </cfRule>
  </conditionalFormatting>
  <conditionalFormatting sqref="E86">
    <cfRule type="expression" dxfId="6" priority="36">
      <formula>DS55=1</formula>
    </cfRule>
  </conditionalFormatting>
  <conditionalFormatting sqref="G86">
    <cfRule type="expression" dxfId="6" priority="37">
      <formula>DU55=1</formula>
    </cfRule>
  </conditionalFormatting>
  <conditionalFormatting sqref="J86">
    <cfRule type="expression" dxfId="6" priority="38">
      <formula>DX55=1</formula>
    </cfRule>
  </conditionalFormatting>
  <conditionalFormatting sqref="C86">
    <cfRule type="expression" dxfId="5" priority="39">
      <formula>DQ56=1</formula>
    </cfRule>
  </conditionalFormatting>
  <conditionalFormatting sqref="D86">
    <cfRule type="expression" dxfId="5" priority="40">
      <formula>DR56=1</formula>
    </cfRule>
  </conditionalFormatting>
  <conditionalFormatting sqref="E86">
    <cfRule type="expression" dxfId="5" priority="41">
      <formula>DS56=1</formula>
    </cfRule>
  </conditionalFormatting>
  <conditionalFormatting sqref="G86">
    <cfRule type="expression" dxfId="5" priority="42">
      <formula>DU56=1</formula>
    </cfRule>
  </conditionalFormatting>
  <conditionalFormatting sqref="J86">
    <cfRule type="expression" dxfId="5" priority="43">
      <formula>DX56=1</formula>
    </cfRule>
  </conditionalFormatting>
  <conditionalFormatting sqref="A5:J5 R5 AI5 AZ5 BQ5 CH5 CY5">
    <cfRule type="expression" dxfId="7" priority="44">
      <formula>G9=10</formula>
    </cfRule>
  </conditionalFormatting>
  <conditionalFormatting sqref="R86">
    <cfRule type="expression" dxfId="5" priority="45">
      <formula>DQ18&gt;0</formula>
    </cfRule>
  </conditionalFormatting>
  <conditionalFormatting sqref="AI86">
    <cfRule type="expression" dxfId="5" priority="46">
      <formula>DQ18&gt;0</formula>
    </cfRule>
  </conditionalFormatting>
  <conditionalFormatting sqref="CY86">
    <cfRule type="expression" dxfId="5" priority="47">
      <formula>DQ18&gt;0</formula>
    </cfRule>
  </conditionalFormatting>
  <conditionalFormatting sqref="CM83:CQ86 CN87:CQ87 CM88:CQ90">
    <cfRule type="expression" dxfId="4" priority="48">
      <formula>CS83=1</formula>
    </cfRule>
  </conditionalFormatting>
  <conditionalFormatting sqref="CH86">
    <cfRule type="expression" dxfId="5" priority="49">
      <formula>DQ18&gt;0</formula>
    </cfRule>
  </conditionalFormatting>
  <conditionalFormatting sqref="BQ86">
    <cfRule type="expression" dxfId="5" priority="50">
      <formula>DQ18&gt;0</formula>
    </cfRule>
  </conditionalFormatting>
  <conditionalFormatting sqref="AZ86">
    <cfRule type="expression" dxfId="5" priority="51">
      <formula>DQ18&gt;0</formula>
    </cfRule>
  </conditionalFormatting>
  <conditionalFormatting sqref="AJ86:AR86">
    <cfRule type="expression" dxfId="6" priority="52">
      <formula>DP55=1</formula>
    </cfRule>
  </conditionalFormatting>
  <conditionalFormatting sqref="BA86:BI86">
    <cfRule type="expression" dxfId="6" priority="53">
      <formula>DP55=1</formula>
    </cfRule>
  </conditionalFormatting>
  <conditionalFormatting sqref="BR86:BZ86">
    <cfRule type="expression" dxfId="6" priority="54">
      <formula>DP55=1</formula>
    </cfRule>
  </conditionalFormatting>
  <conditionalFormatting sqref="CI86:CQ86">
    <cfRule type="expression" dxfId="6" priority="55">
      <formula>DP55=1</formula>
    </cfRule>
  </conditionalFormatting>
  <conditionalFormatting sqref="CZ86:DH86">
    <cfRule type="expression" dxfId="6" priority="56">
      <formula>DP55=1</formula>
    </cfRule>
  </conditionalFormatting>
  <conditionalFormatting sqref="S86:AA86">
    <cfRule type="expression" dxfId="5" priority="57">
      <formula>DP56=1</formula>
    </cfRule>
  </conditionalFormatting>
  <conditionalFormatting sqref="AJ86:AR86">
    <cfRule type="expression" dxfId="5" priority="58">
      <formula>DP56=1</formula>
    </cfRule>
  </conditionalFormatting>
  <conditionalFormatting sqref="BA86:BI86">
    <cfRule type="expression" dxfId="5" priority="59">
      <formula>DP56=1</formula>
    </cfRule>
  </conditionalFormatting>
  <conditionalFormatting sqref="BR86:BZ86">
    <cfRule type="expression" dxfId="5" priority="60">
      <formula>DP56=1</formula>
    </cfRule>
  </conditionalFormatting>
  <conditionalFormatting sqref="CI86:CQ86">
    <cfRule type="expression" dxfId="5" priority="61">
      <formula>DP56=1</formula>
    </cfRule>
  </conditionalFormatting>
  <conditionalFormatting sqref="CZ86:DH86">
    <cfRule type="expression" dxfId="5" priority="62">
      <formula>DP56=1</formula>
    </cfRule>
  </conditionalFormatting>
  <conditionalFormatting sqref="J16:J73">
    <cfRule type="expression" dxfId="6" priority="63">
      <formula>OR(L17="C",L17="E",L)</formula>
    </cfRule>
  </conditionalFormatting>
  <conditionalFormatting sqref="AA16:AA72">
    <cfRule type="expression" dxfId="6" priority="64">
      <formula>OR(AC17="C",AC17="E")</formula>
    </cfRule>
  </conditionalFormatting>
  <conditionalFormatting sqref="AR16:AR72">
    <cfRule type="expression" dxfId="6" priority="65">
      <formula>OR(AT17="C",AT17="E")</formula>
    </cfRule>
  </conditionalFormatting>
  <conditionalFormatting sqref="BI16:BI72">
    <cfRule type="expression" dxfId="6" priority="66">
      <formula>OR(BK17="C",BK17="E")</formula>
    </cfRule>
  </conditionalFormatting>
  <conditionalFormatting sqref="BZ16:BZ72">
    <cfRule type="expression" dxfId="6" priority="67">
      <formula>OR(CB17="C",CB17="E")</formula>
    </cfRule>
  </conditionalFormatting>
  <conditionalFormatting sqref="CQ16:CQ72">
    <cfRule type="expression" dxfId="6" priority="68">
      <formula>OR(CS17="C",CS17="E")</formula>
    </cfRule>
  </conditionalFormatting>
  <conditionalFormatting sqref="DH16:DH72">
    <cfRule type="expression" dxfId="6" priority="69">
      <formula>OR(DJ17="C",DJ17="E")</formula>
    </cfRule>
  </conditionalFormatting>
  <dataValidations>
    <dataValidation type="list" allowBlank="1" showErrorMessage="1" sqref="D4 U4 AL4 BC4 BT4 CK4 DB4">
      <formula1>"0 - Muito Mal Recuperado,1 - Muito Pouca Recuperação,2 - Pouca Recuperação,3 - Recuperação Moderada,4 - Boa Recuperação,5 - Muito Boa Recuperação,6 - ,7 - Muito, Muito Boa Recuperação,8 - ,9 - ,10 - Totalmente Recuperado"</formula1>
    </dataValidation>
    <dataValidation type="list" allowBlank="1" showErrorMessage="1" sqref="D80 U80 AL80 BC80 BT80 CK80 DB80">
      <formula1>"0 - Repouso,1 - Muito Fácil,2 -,3 - Razoavelmente Fácil,4 - Um Pouco Difícil,5 - Difícil,6 -,7 - Muito Difícil,8 -,9 - Muito, Muito Difícil,10 - Esforço Máximo"</formula1>
    </dataValidation>
  </dataValidations>
  <hyperlinks>
    <hyperlink display="Ver Progresso Completo" location="'Relatório Semanal'!A1" ref="A91"/>
    <hyperlink display="Ver Progresso Completo" location="'Relatório Semanal'!A1" ref="R91"/>
    <hyperlink display="Ver Progresso Completo" location="'Relatório Semanal'!A1" ref="AI91"/>
    <hyperlink display="Ver Progresso Completo" location="'Relatório Semanal'!A1" ref="AZ91"/>
    <hyperlink display="Ver Progresso Completo" location="'Relatório Semanal'!A1" ref="BQ91"/>
    <hyperlink display="Ver Progresso Completo" location="'Relatório Semanal'!A1" ref="CH91"/>
    <hyperlink display="Ver Progresso Completo" location="'Relatório Semanal'!A1" ref="CY91"/>
  </hyperlink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86"/>
    <col customWidth="1" min="3" max="3" width="11.14"/>
    <col customWidth="1" min="4" max="4" width="10.29"/>
    <col customWidth="1" min="5" max="6" width="4.86"/>
    <col customWidth="1" min="7" max="7" width="4.57"/>
    <col customWidth="1" min="8" max="9" width="1.86"/>
    <col customWidth="1" min="10" max="10" width="5.57"/>
    <col customWidth="1" hidden="1" min="11" max="11" width="4.14"/>
    <col customWidth="1" hidden="1" min="12" max="14" width="3.57"/>
    <col customWidth="1" hidden="1" min="15" max="15" width="4.86"/>
    <col customWidth="1" hidden="1" min="16" max="16" width="3.57"/>
    <col customWidth="1" min="17" max="17" width="0.43"/>
    <col customWidth="1" min="18" max="19" width="9.86"/>
    <col customWidth="1" min="20" max="20" width="11.14"/>
    <col customWidth="1" min="21" max="21" width="10.29"/>
    <col customWidth="1" min="22" max="23" width="4.86"/>
    <col customWidth="1" min="24" max="24" width="4.57"/>
    <col customWidth="1" min="25" max="26" width="1.86"/>
    <col customWidth="1" min="27" max="27" width="5.57"/>
    <col customWidth="1" hidden="1" min="28" max="31" width="3.57"/>
    <col customWidth="1" hidden="1" min="32" max="32" width="4.71"/>
    <col customWidth="1" hidden="1" min="33" max="33" width="3.57"/>
    <col customWidth="1" min="34" max="34" width="0.43"/>
    <col customWidth="1" min="35" max="36" width="9.86"/>
    <col customWidth="1" min="37" max="37" width="11.14"/>
    <col customWidth="1" min="38" max="38" width="10.29"/>
    <col customWidth="1" min="39" max="40" width="4.86"/>
    <col customWidth="1" min="41" max="41" width="4.57"/>
    <col customWidth="1" min="42" max="43" width="1.86"/>
    <col customWidth="1" min="44" max="44" width="5.57"/>
    <col customWidth="1" hidden="1" min="45" max="48" width="3.57"/>
    <col customWidth="1" hidden="1" min="49" max="49" width="5.29"/>
    <col customWidth="1" hidden="1" min="50" max="50" width="3.57"/>
    <col customWidth="1" min="51" max="51" width="0.43"/>
    <col customWidth="1" min="52" max="53" width="9.86"/>
    <col customWidth="1" min="54" max="54" width="11.14"/>
    <col customWidth="1" min="55" max="55" width="10.29"/>
    <col customWidth="1" min="56" max="57" width="4.86"/>
    <col customWidth="1" min="58" max="58" width="4.57"/>
    <col customWidth="1" min="59" max="60" width="1.86"/>
    <col customWidth="1" min="61" max="61" width="5.57"/>
    <col customWidth="1" hidden="1" min="62" max="65" width="3.57"/>
    <col customWidth="1" hidden="1" min="66" max="66" width="5.86"/>
    <col customWidth="1" hidden="1" min="67" max="67" width="3.57"/>
    <col customWidth="1" min="68" max="68" width="0.43"/>
    <col customWidth="1" min="69" max="70" width="9.86"/>
    <col customWidth="1" min="71" max="71" width="11.14"/>
    <col customWidth="1" min="72" max="72" width="10.29"/>
    <col customWidth="1" min="73" max="74" width="4.86"/>
    <col customWidth="1" min="75" max="75" width="4.57"/>
    <col customWidth="1" min="76" max="77" width="1.86"/>
    <col customWidth="1" min="78" max="78" width="5.57"/>
    <col customWidth="1" hidden="1" min="79" max="82" width="3.57"/>
    <col customWidth="1" hidden="1" min="83" max="83" width="4.57"/>
    <col customWidth="1" hidden="1" min="84" max="84" width="3.57"/>
    <col customWidth="1" min="85" max="85" width="0.43"/>
    <col customWidth="1" min="86" max="87" width="9.86"/>
    <col customWidth="1" min="88" max="88" width="11.14"/>
    <col customWidth="1" min="89" max="89" width="10.29"/>
    <col customWidth="1" min="90" max="91" width="4.86"/>
    <col customWidth="1" min="92" max="92" width="4.57"/>
    <col customWidth="1" min="93" max="94" width="1.86"/>
    <col customWidth="1" min="95" max="95" width="5.57"/>
    <col customWidth="1" hidden="1" min="96" max="99" width="3.57"/>
    <col customWidth="1" hidden="1" min="100" max="100" width="4.86"/>
    <col customWidth="1" hidden="1" min="101" max="101" width="3.57"/>
    <col customWidth="1" min="102" max="102" width="0.43"/>
    <col customWidth="1" min="103" max="104" width="9.86"/>
    <col customWidth="1" min="105" max="105" width="11.14"/>
    <col customWidth="1" min="106" max="106" width="10.29"/>
    <col customWidth="1" min="107" max="108" width="4.86"/>
    <col customWidth="1" min="109" max="109" width="4.57"/>
    <col customWidth="1" min="110" max="111" width="1.86"/>
    <col customWidth="1" min="112" max="112" width="5.57"/>
    <col customWidth="1" hidden="1" min="113" max="116" width="3.57"/>
    <col customWidth="1" hidden="1" min="117" max="117" width="4.57"/>
    <col customWidth="1" hidden="1" min="118" max="118" width="3.57"/>
    <col customWidth="1" hidden="1" min="119" max="119" width="1.0"/>
    <col customWidth="1" hidden="1" min="120" max="120" width="42.43"/>
    <col customWidth="1" hidden="1" min="121" max="129" width="6.86"/>
  </cols>
  <sheetData>
    <row r="1" ht="7.5" customHeight="1">
      <c r="A1" s="35" t="str">
        <f>'Periodização Macrociclo'!$N$1</f>
        <v>Claudinei Gasparoto</v>
      </c>
      <c r="B1" s="36"/>
      <c r="C1" s="36"/>
      <c r="D1" s="36"/>
      <c r="E1" s="36"/>
      <c r="F1" s="36"/>
      <c r="G1" s="36"/>
      <c r="H1" s="36"/>
      <c r="I1" s="36"/>
      <c r="J1" s="37"/>
      <c r="K1" s="38"/>
      <c r="L1" s="38"/>
      <c r="M1" s="38"/>
      <c r="N1" s="38"/>
      <c r="O1" s="38"/>
      <c r="P1" s="38"/>
      <c r="Q1" s="39"/>
      <c r="R1" s="35" t="str">
        <f>$A1</f>
        <v>Claudinei Gasparoto</v>
      </c>
      <c r="S1" s="36"/>
      <c r="T1" s="36"/>
      <c r="U1" s="36"/>
      <c r="V1" s="36"/>
      <c r="W1" s="36"/>
      <c r="X1" s="36"/>
      <c r="Y1" s="36"/>
      <c r="Z1" s="36"/>
      <c r="AA1" s="37"/>
      <c r="AB1" s="38"/>
      <c r="AC1" s="40"/>
      <c r="AD1" s="40"/>
      <c r="AE1" s="40"/>
      <c r="AF1" s="40"/>
      <c r="AG1" s="40"/>
      <c r="AH1" s="39"/>
      <c r="AI1" s="35" t="str">
        <f>$A1</f>
        <v>Claudinei Gasparoto</v>
      </c>
      <c r="AJ1" s="36"/>
      <c r="AK1" s="36"/>
      <c r="AL1" s="36"/>
      <c r="AM1" s="36"/>
      <c r="AN1" s="36"/>
      <c r="AO1" s="36"/>
      <c r="AP1" s="36"/>
      <c r="AQ1" s="36"/>
      <c r="AR1" s="37"/>
      <c r="AS1" s="38"/>
      <c r="AT1" s="40"/>
      <c r="AU1" s="40"/>
      <c r="AV1" s="40"/>
      <c r="AW1" s="40"/>
      <c r="AX1" s="40"/>
      <c r="AY1" s="39"/>
      <c r="AZ1" s="35" t="str">
        <f>$A1</f>
        <v>Claudinei Gasparoto</v>
      </c>
      <c r="BA1" s="36"/>
      <c r="BB1" s="36"/>
      <c r="BC1" s="36"/>
      <c r="BD1" s="36"/>
      <c r="BE1" s="36"/>
      <c r="BF1" s="36"/>
      <c r="BG1" s="36"/>
      <c r="BH1" s="36"/>
      <c r="BI1" s="37"/>
      <c r="BJ1" s="38"/>
      <c r="BK1" s="40"/>
      <c r="BL1" s="40"/>
      <c r="BM1" s="40"/>
      <c r="BN1" s="40"/>
      <c r="BO1" s="40"/>
      <c r="BP1" s="39"/>
      <c r="BQ1" s="35" t="str">
        <f>$A1</f>
        <v>Claudinei Gasparoto</v>
      </c>
      <c r="BR1" s="36"/>
      <c r="BS1" s="36"/>
      <c r="BT1" s="36"/>
      <c r="BU1" s="36"/>
      <c r="BV1" s="36"/>
      <c r="BW1" s="36"/>
      <c r="BX1" s="36"/>
      <c r="BY1" s="36"/>
      <c r="BZ1" s="37"/>
      <c r="CA1" s="38"/>
      <c r="CB1" s="40"/>
      <c r="CC1" s="40"/>
      <c r="CD1" s="40"/>
      <c r="CE1" s="40"/>
      <c r="CF1" s="40"/>
      <c r="CG1" s="39"/>
      <c r="CH1" s="35" t="str">
        <f>$A1</f>
        <v>Claudinei Gasparoto</v>
      </c>
      <c r="CI1" s="36"/>
      <c r="CJ1" s="36"/>
      <c r="CK1" s="36"/>
      <c r="CL1" s="36"/>
      <c r="CM1" s="36"/>
      <c r="CN1" s="36"/>
      <c r="CO1" s="36"/>
      <c r="CP1" s="36"/>
      <c r="CQ1" s="37"/>
      <c r="CR1" s="38"/>
      <c r="CS1" s="40"/>
      <c r="CT1" s="40"/>
      <c r="CU1" s="40"/>
      <c r="CV1" s="40"/>
      <c r="CW1" s="40"/>
      <c r="CX1" s="39"/>
      <c r="CY1" s="35" t="str">
        <f>$A1</f>
        <v>Claudinei Gasparoto</v>
      </c>
      <c r="CZ1" s="36"/>
      <c r="DA1" s="36"/>
      <c r="DB1" s="36"/>
      <c r="DC1" s="36"/>
      <c r="DD1" s="36"/>
      <c r="DE1" s="36"/>
      <c r="DF1" s="36"/>
      <c r="DG1" s="36"/>
      <c r="DH1" s="37"/>
      <c r="DI1" s="38"/>
      <c r="DJ1" s="40"/>
      <c r="DK1" s="40"/>
      <c r="DL1" s="40"/>
      <c r="DM1" s="40"/>
      <c r="DN1" s="40"/>
      <c r="DO1" s="39"/>
      <c r="DP1" s="40"/>
      <c r="DQ1" s="41"/>
      <c r="DR1" s="41"/>
      <c r="DS1" s="41"/>
      <c r="DT1" s="41"/>
      <c r="DU1" s="41"/>
      <c r="DV1" s="41"/>
      <c r="DW1" s="41"/>
      <c r="DX1" s="41"/>
      <c r="DY1" s="41"/>
    </row>
    <row r="2" ht="7.5" customHeight="1">
      <c r="A2" s="42" t="s">
        <v>5</v>
      </c>
      <c r="B2" s="43">
        <f>Montagem!C52</f>
        <v>8</v>
      </c>
      <c r="C2" s="43" t="s">
        <v>6</v>
      </c>
      <c r="D2" s="44">
        <f>Montagem!F52</f>
        <v>30</v>
      </c>
      <c r="E2" s="45" t="s">
        <v>7</v>
      </c>
      <c r="F2" s="46"/>
      <c r="G2" s="46"/>
      <c r="H2" s="46"/>
      <c r="I2" s="47"/>
      <c r="J2" s="48">
        <f>Montagem!B93</f>
        <v>6</v>
      </c>
      <c r="K2" s="38" t="str">
        <f>IF(L2=0,0,L2-2&amp;" a "&amp;L2)</f>
        <v>0 a 2</v>
      </c>
      <c r="L2" s="38">
        <f>Montagem!O55</f>
        <v>2</v>
      </c>
      <c r="M2" s="38"/>
      <c r="N2" s="38"/>
      <c r="O2" s="38"/>
      <c r="P2" s="38"/>
      <c r="Q2" s="39"/>
      <c r="R2" s="42" t="s">
        <v>5</v>
      </c>
      <c r="S2" s="43">
        <f>B2</f>
        <v>8</v>
      </c>
      <c r="T2" s="43" t="s">
        <v>6</v>
      </c>
      <c r="U2" s="44">
        <f>D2</f>
        <v>30</v>
      </c>
      <c r="V2" s="45" t="s">
        <v>7</v>
      </c>
      <c r="W2" s="46"/>
      <c r="X2" s="46"/>
      <c r="Y2" s="46"/>
      <c r="Z2" s="47"/>
      <c r="AA2" s="48">
        <f>J2</f>
        <v>6</v>
      </c>
      <c r="AB2" s="38"/>
      <c r="AC2" s="49"/>
      <c r="AD2" s="49"/>
      <c r="AE2" s="49"/>
      <c r="AF2" s="49"/>
      <c r="AG2" s="49"/>
      <c r="AH2" s="39"/>
      <c r="AI2" s="42" t="s">
        <v>5</v>
      </c>
      <c r="AJ2" s="43">
        <f>B2</f>
        <v>8</v>
      </c>
      <c r="AK2" s="43" t="s">
        <v>6</v>
      </c>
      <c r="AL2" s="44">
        <f>D2</f>
        <v>30</v>
      </c>
      <c r="AM2" s="45" t="s">
        <v>7</v>
      </c>
      <c r="AN2" s="46"/>
      <c r="AO2" s="46"/>
      <c r="AP2" s="46"/>
      <c r="AQ2" s="47"/>
      <c r="AR2" s="48">
        <f>J2</f>
        <v>6</v>
      </c>
      <c r="AS2" s="38"/>
      <c r="AT2" s="49"/>
      <c r="AU2" s="49"/>
      <c r="AV2" s="49"/>
      <c r="AW2" s="49"/>
      <c r="AX2" s="49"/>
      <c r="AY2" s="39"/>
      <c r="AZ2" s="42" t="s">
        <v>5</v>
      </c>
      <c r="BA2" s="43">
        <f>B2</f>
        <v>8</v>
      </c>
      <c r="BB2" s="43" t="s">
        <v>6</v>
      </c>
      <c r="BC2" s="44">
        <f>D2</f>
        <v>30</v>
      </c>
      <c r="BD2" s="45" t="s">
        <v>7</v>
      </c>
      <c r="BE2" s="46"/>
      <c r="BF2" s="46"/>
      <c r="BG2" s="46"/>
      <c r="BH2" s="47"/>
      <c r="BI2" s="48">
        <f>J2</f>
        <v>6</v>
      </c>
      <c r="BJ2" s="38"/>
      <c r="BK2" s="49"/>
      <c r="BL2" s="49"/>
      <c r="BM2" s="49"/>
      <c r="BN2" s="49"/>
      <c r="BO2" s="49"/>
      <c r="BP2" s="39"/>
      <c r="BQ2" s="42" t="s">
        <v>5</v>
      </c>
      <c r="BR2" s="43">
        <f>B2</f>
        <v>8</v>
      </c>
      <c r="BS2" s="43" t="s">
        <v>6</v>
      </c>
      <c r="BT2" s="44">
        <f>D2</f>
        <v>30</v>
      </c>
      <c r="BU2" s="45" t="s">
        <v>7</v>
      </c>
      <c r="BV2" s="46"/>
      <c r="BW2" s="46"/>
      <c r="BX2" s="46"/>
      <c r="BY2" s="47"/>
      <c r="BZ2" s="48">
        <f>J2</f>
        <v>6</v>
      </c>
      <c r="CA2" s="38"/>
      <c r="CB2" s="49"/>
      <c r="CC2" s="49"/>
      <c r="CD2" s="49"/>
      <c r="CE2" s="49"/>
      <c r="CF2" s="49"/>
      <c r="CG2" s="39"/>
      <c r="CH2" s="42" t="s">
        <v>5</v>
      </c>
      <c r="CI2" s="43">
        <f>B2</f>
        <v>8</v>
      </c>
      <c r="CJ2" s="43" t="s">
        <v>6</v>
      </c>
      <c r="CK2" s="44">
        <f>D2</f>
        <v>30</v>
      </c>
      <c r="CL2" s="45" t="s">
        <v>7</v>
      </c>
      <c r="CM2" s="46"/>
      <c r="CN2" s="46"/>
      <c r="CO2" s="46"/>
      <c r="CP2" s="47"/>
      <c r="CQ2" s="48">
        <f>J2</f>
        <v>6</v>
      </c>
      <c r="CR2" s="38"/>
      <c r="CS2" s="49"/>
      <c r="CT2" s="49"/>
      <c r="CU2" s="49"/>
      <c r="CV2" s="49"/>
      <c r="CW2" s="49"/>
      <c r="CX2" s="39"/>
      <c r="CY2" s="42" t="s">
        <v>5</v>
      </c>
      <c r="CZ2" s="43">
        <f>B2</f>
        <v>8</v>
      </c>
      <c r="DA2" s="43" t="s">
        <v>6</v>
      </c>
      <c r="DB2" s="44">
        <f>D2</f>
        <v>30</v>
      </c>
      <c r="DC2" s="45" t="s">
        <v>7</v>
      </c>
      <c r="DD2" s="46"/>
      <c r="DE2" s="46"/>
      <c r="DF2" s="46"/>
      <c r="DG2" s="47"/>
      <c r="DH2" s="48">
        <f>J2</f>
        <v>6</v>
      </c>
      <c r="DI2" s="38"/>
      <c r="DJ2" s="49"/>
      <c r="DK2" s="49"/>
      <c r="DL2" s="49"/>
      <c r="DM2" s="49"/>
      <c r="DN2" s="49"/>
      <c r="DO2" s="39"/>
      <c r="DP2" s="49" t="s">
        <v>8</v>
      </c>
      <c r="DQ2" s="51">
        <f>IF(L80&gt;0,G9,0)+IF(AC80&gt;0,X9,0)+IF(AT80&gt;0,AO9,0)+IF(BK80&gt;0,BF9,0)+IF(CB80&gt;0,BW9,0)+IF(CS80&gt;0,CN9,0)+IF(DJ80&gt;0,DE9,0)</f>
        <v>146.9335995</v>
      </c>
      <c r="DR2" s="51"/>
      <c r="DS2" s="51"/>
      <c r="DT2" s="51"/>
      <c r="DU2" s="51"/>
      <c r="DV2" s="51"/>
      <c r="DW2" s="51"/>
      <c r="DX2" s="51"/>
      <c r="DY2" s="51"/>
    </row>
    <row r="3">
      <c r="A3" s="52">
        <f>Montagem!K58</f>
        <v>46041</v>
      </c>
      <c r="B3" s="53" t="str">
        <f>Montagem!K59</f>
        <v>Segunda-Feira</v>
      </c>
      <c r="C3" s="54"/>
      <c r="D3" s="54"/>
      <c r="E3" s="54"/>
      <c r="F3" s="54"/>
      <c r="G3" s="54"/>
      <c r="H3" s="54"/>
      <c r="I3" s="54"/>
      <c r="J3" s="55"/>
      <c r="K3" s="56">
        <f>DQ17-DQ18</f>
        <v>3</v>
      </c>
      <c r="L3" s="57"/>
      <c r="M3" s="57"/>
      <c r="N3" s="57"/>
      <c r="O3" s="57"/>
      <c r="P3" s="57"/>
      <c r="Q3" s="58"/>
      <c r="R3" s="52">
        <f>Montagem!Z58</f>
        <v>46042</v>
      </c>
      <c r="S3" s="53" t="str">
        <f>Montagem!Z59</f>
        <v>Terça-Feira</v>
      </c>
      <c r="T3" s="54"/>
      <c r="U3" s="54"/>
      <c r="V3" s="54"/>
      <c r="W3" s="54"/>
      <c r="X3" s="54"/>
      <c r="Y3" s="54"/>
      <c r="Z3" s="54"/>
      <c r="AA3" s="55"/>
      <c r="AB3" s="57"/>
      <c r="AC3" s="57"/>
      <c r="AD3" s="57"/>
      <c r="AE3" s="57"/>
      <c r="AF3" s="57"/>
      <c r="AG3" s="57"/>
      <c r="AH3" s="58"/>
      <c r="AI3" s="52">
        <f>Montagem!AO58</f>
        <v>46043</v>
      </c>
      <c r="AJ3" s="53" t="str">
        <f>Montagem!AO59</f>
        <v>Quarta-Feira</v>
      </c>
      <c r="AK3" s="54"/>
      <c r="AL3" s="54"/>
      <c r="AM3" s="54"/>
      <c r="AN3" s="54"/>
      <c r="AO3" s="54"/>
      <c r="AP3" s="54"/>
      <c r="AQ3" s="54"/>
      <c r="AR3" s="55"/>
      <c r="AS3" s="57"/>
      <c r="AT3" s="57"/>
      <c r="AU3" s="57"/>
      <c r="AV3" s="57"/>
      <c r="AW3" s="57"/>
      <c r="AX3" s="57"/>
      <c r="AY3" s="58"/>
      <c r="AZ3" s="52">
        <f>Montagem!BD58</f>
        <v>46044</v>
      </c>
      <c r="BA3" s="53" t="str">
        <f>Montagem!BD59</f>
        <v>Quinta Feira</v>
      </c>
      <c r="BB3" s="54"/>
      <c r="BC3" s="54"/>
      <c r="BD3" s="54"/>
      <c r="BE3" s="54"/>
      <c r="BF3" s="54"/>
      <c r="BG3" s="54"/>
      <c r="BH3" s="54"/>
      <c r="BI3" s="55"/>
      <c r="BJ3" s="57"/>
      <c r="BK3" s="57"/>
      <c r="BL3" s="57"/>
      <c r="BM3" s="57"/>
      <c r="BN3" s="57"/>
      <c r="BO3" s="57"/>
      <c r="BP3" s="58"/>
      <c r="BQ3" s="52">
        <f>Montagem!BS58</f>
        <v>46045</v>
      </c>
      <c r="BR3" s="53" t="str">
        <f>Montagem!BS59</f>
        <v>Sexta-Feira</v>
      </c>
      <c r="BS3" s="54"/>
      <c r="BT3" s="54"/>
      <c r="BU3" s="54"/>
      <c r="BV3" s="54"/>
      <c r="BW3" s="54"/>
      <c r="BX3" s="54"/>
      <c r="BY3" s="54"/>
      <c r="BZ3" s="55"/>
      <c r="CA3" s="57"/>
      <c r="CB3" s="57"/>
      <c r="CC3" s="57"/>
      <c r="CD3" s="57"/>
      <c r="CE3" s="57"/>
      <c r="CF3" s="57"/>
      <c r="CG3" s="58"/>
      <c r="CH3" s="52">
        <f>Montagem!CH58</f>
        <v>46046</v>
      </c>
      <c r="CI3" s="53" t="str">
        <f>Montagem!CH59</f>
        <v>Sábado</v>
      </c>
      <c r="CJ3" s="54"/>
      <c r="CK3" s="54"/>
      <c r="CL3" s="54"/>
      <c r="CM3" s="54"/>
      <c r="CN3" s="54"/>
      <c r="CO3" s="54"/>
      <c r="CP3" s="54"/>
      <c r="CQ3" s="55"/>
      <c r="CR3" s="57"/>
      <c r="CS3" s="57"/>
      <c r="CT3" s="57"/>
      <c r="CU3" s="57"/>
      <c r="CV3" s="57"/>
      <c r="CW3" s="57"/>
      <c r="CX3" s="58"/>
      <c r="CY3" s="52">
        <f>Montagem!CW58</f>
        <v>46047</v>
      </c>
      <c r="CZ3" s="53" t="str">
        <f>Montagem!CW59</f>
        <v>Domingo</v>
      </c>
      <c r="DA3" s="54"/>
      <c r="DB3" s="54"/>
      <c r="DC3" s="54"/>
      <c r="DD3" s="54"/>
      <c r="DE3" s="54"/>
      <c r="DF3" s="54"/>
      <c r="DG3" s="54"/>
      <c r="DH3" s="55"/>
      <c r="DI3" s="57"/>
      <c r="DJ3" s="57"/>
      <c r="DK3" s="57"/>
      <c r="DL3" s="57"/>
      <c r="DM3" s="57"/>
      <c r="DN3" s="57"/>
      <c r="DO3" s="58"/>
      <c r="DP3" s="57" t="s">
        <v>9</v>
      </c>
      <c r="DQ3" s="56">
        <f>IF(L80&gt;0,IF(ISNUMBER(B82),B82,B6),0)+IF(AC80&gt;0,IF(ISNUMBER(S82),S82,S6),0)+IF(AT80&gt;0,IF(ISNUMBER(AJ82),AJ82,AJ6),0)+IF(BK80&gt;0,IF(ISNUMBER(BA82),BA82,BA6),0)+IF(CB80&gt;0,IF(ISNUMBER(BR82),BR82,BR6),0)+IF(CS80&gt;0,IF(ISNUMBER(CI82),CI82,CI6),0)+IF(DJ80&gt;0,IF(ISNUMBER(CZ82),CZ82,CZ6),0)</f>
        <v>30.0502662</v>
      </c>
      <c r="DR3" s="56"/>
      <c r="DS3" s="56"/>
      <c r="DT3" s="56"/>
      <c r="DU3" s="56"/>
      <c r="DV3" s="56"/>
      <c r="DW3" s="56"/>
      <c r="DX3" s="56"/>
      <c r="DY3" s="56"/>
    </row>
    <row r="4">
      <c r="A4" s="208" t="s">
        <v>10</v>
      </c>
      <c r="B4" s="60"/>
      <c r="C4" s="60"/>
      <c r="D4" s="209" t="s">
        <v>11</v>
      </c>
      <c r="E4" s="60"/>
      <c r="F4" s="60"/>
      <c r="G4" s="60"/>
      <c r="H4" s="60"/>
      <c r="I4" s="60"/>
      <c r="J4" s="63"/>
      <c r="K4" s="210">
        <f>IF(D4="","",LEFT(D4,2)+0)</f>
        <v>10</v>
      </c>
      <c r="L4" s="57"/>
      <c r="M4" s="57"/>
      <c r="N4" s="57"/>
      <c r="O4" s="57"/>
      <c r="P4" s="57"/>
      <c r="Q4" s="58"/>
      <c r="R4" s="208" t="s">
        <v>10</v>
      </c>
      <c r="S4" s="60"/>
      <c r="T4" s="60"/>
      <c r="U4" s="209" t="s">
        <v>11</v>
      </c>
      <c r="V4" s="60"/>
      <c r="W4" s="60"/>
      <c r="X4" s="60"/>
      <c r="Y4" s="60"/>
      <c r="Z4" s="60"/>
      <c r="AA4" s="63"/>
      <c r="AB4" s="211"/>
      <c r="AC4" s="57"/>
      <c r="AD4" s="57"/>
      <c r="AE4" s="57"/>
      <c r="AF4" s="57"/>
      <c r="AG4" s="57"/>
      <c r="AH4" s="58"/>
      <c r="AI4" s="208" t="s">
        <v>10</v>
      </c>
      <c r="AJ4" s="60"/>
      <c r="AK4" s="60"/>
      <c r="AL4" s="209" t="s">
        <v>11</v>
      </c>
      <c r="AM4" s="60"/>
      <c r="AN4" s="60"/>
      <c r="AO4" s="60"/>
      <c r="AP4" s="60"/>
      <c r="AQ4" s="60"/>
      <c r="AR4" s="63"/>
      <c r="AS4" s="211"/>
      <c r="AT4" s="57"/>
      <c r="AU4" s="57"/>
      <c r="AV4" s="57"/>
      <c r="AW4" s="57"/>
      <c r="AX4" s="57"/>
      <c r="AY4" s="58"/>
      <c r="AZ4" s="208" t="s">
        <v>10</v>
      </c>
      <c r="BA4" s="60"/>
      <c r="BB4" s="60"/>
      <c r="BC4" s="209" t="s">
        <v>11</v>
      </c>
      <c r="BD4" s="60"/>
      <c r="BE4" s="60"/>
      <c r="BF4" s="60"/>
      <c r="BG4" s="60"/>
      <c r="BH4" s="60"/>
      <c r="BI4" s="63"/>
      <c r="BJ4" s="211"/>
      <c r="BK4" s="57"/>
      <c r="BL4" s="57"/>
      <c r="BM4" s="57"/>
      <c r="BN4" s="57"/>
      <c r="BO4" s="57"/>
      <c r="BP4" s="58"/>
      <c r="BQ4" s="208" t="s">
        <v>10</v>
      </c>
      <c r="BR4" s="60"/>
      <c r="BS4" s="60"/>
      <c r="BT4" s="209" t="s">
        <v>11</v>
      </c>
      <c r="BU4" s="60"/>
      <c r="BV4" s="60"/>
      <c r="BW4" s="60"/>
      <c r="BX4" s="60"/>
      <c r="BY4" s="60"/>
      <c r="BZ4" s="63"/>
      <c r="CA4" s="211"/>
      <c r="CB4" s="57"/>
      <c r="CC4" s="57"/>
      <c r="CD4" s="57"/>
      <c r="CE4" s="57"/>
      <c r="CF4" s="57"/>
      <c r="CG4" s="58"/>
      <c r="CH4" s="208" t="s">
        <v>10</v>
      </c>
      <c r="CI4" s="60"/>
      <c r="CJ4" s="60"/>
      <c r="CK4" s="209"/>
      <c r="CL4" s="60"/>
      <c r="CM4" s="60"/>
      <c r="CN4" s="60"/>
      <c r="CO4" s="60"/>
      <c r="CP4" s="60"/>
      <c r="CQ4" s="63"/>
      <c r="CR4" s="211"/>
      <c r="CS4" s="57"/>
      <c r="CT4" s="57"/>
      <c r="CU4" s="57"/>
      <c r="CV4" s="57"/>
      <c r="CW4" s="57"/>
      <c r="CX4" s="58"/>
      <c r="CY4" s="208" t="s">
        <v>10</v>
      </c>
      <c r="CZ4" s="60"/>
      <c r="DA4" s="60"/>
      <c r="DB4" s="209"/>
      <c r="DC4" s="60"/>
      <c r="DD4" s="60"/>
      <c r="DE4" s="60"/>
      <c r="DF4" s="60"/>
      <c r="DG4" s="60"/>
      <c r="DH4" s="63"/>
      <c r="DI4" s="212"/>
      <c r="DJ4" s="57"/>
      <c r="DK4" s="57"/>
      <c r="DL4" s="57"/>
      <c r="DM4" s="57"/>
      <c r="DN4" s="57"/>
      <c r="DO4" s="58"/>
      <c r="DP4" s="57" t="s">
        <v>12</v>
      </c>
      <c r="DQ4" s="56">
        <f>IF(L80&gt;0,D82,0)+IF(AC80&gt;0,U82,0)+IF(AT80&gt;0,AL82,0)+IF(BK80&gt;0,BC82,0)+IF(CB80&gt;0,BT82,0)+IF(CS80&gt;0,CK82,0)+IF(DJ80&gt;0,DB82,0)</f>
        <v>15</v>
      </c>
      <c r="DR4" s="56"/>
      <c r="DS4" s="56"/>
      <c r="DT4" s="56"/>
      <c r="DU4" s="56"/>
      <c r="DV4" s="56"/>
      <c r="DW4" s="56"/>
      <c r="DX4" s="56"/>
      <c r="DY4" s="56"/>
    </row>
    <row r="5">
      <c r="A5" s="65" t="str">
        <f>IF(G9=10,"Tenha um bom descanso!😉💤","TREINAMENTO CÍCLICO")</f>
        <v>TREINAMENTO CÍCLICO</v>
      </c>
      <c r="J5" s="66"/>
      <c r="K5" s="57"/>
      <c r="L5" s="57"/>
      <c r="M5" s="57"/>
      <c r="N5" s="57"/>
      <c r="O5" s="57"/>
      <c r="P5" s="57"/>
      <c r="Q5" s="58"/>
      <c r="R5" s="65" t="str">
        <f>IF(X9=10,"Tenha um bom descanso!😉💤","TREINAMENTO CÍCLICO")</f>
        <v>TREINAMENTO CÍCLICO</v>
      </c>
      <c r="AA5" s="66"/>
      <c r="AB5" s="57"/>
      <c r="AC5" s="57"/>
      <c r="AD5" s="57"/>
      <c r="AE5" s="57"/>
      <c r="AF5" s="57"/>
      <c r="AG5" s="57"/>
      <c r="AH5" s="58"/>
      <c r="AI5" s="65" t="str">
        <f>IF(AO9=10,"Tenha um bom descanso!😉💤","TREINAMENTO CÍCLICO")</f>
        <v>TREINAMENTO CÍCLICO</v>
      </c>
      <c r="AR5" s="66"/>
      <c r="AS5" s="57"/>
      <c r="AT5" s="57"/>
      <c r="AU5" s="57"/>
      <c r="AV5" s="57"/>
      <c r="AW5" s="57"/>
      <c r="AX5" s="57"/>
      <c r="AY5" s="58"/>
      <c r="AZ5" s="65" t="str">
        <f>IF(BF9=10,"Tenha um bom descanso!😉💤","TREINAMENTO CÍCLICO")</f>
        <v>TREINAMENTO CÍCLICO</v>
      </c>
      <c r="BI5" s="66"/>
      <c r="BJ5" s="57"/>
      <c r="BK5" s="57"/>
      <c r="BL5" s="57"/>
      <c r="BM5" s="57"/>
      <c r="BN5" s="57"/>
      <c r="BO5" s="57"/>
      <c r="BP5" s="58"/>
      <c r="BQ5" s="65" t="str">
        <f>IF(BW9=10,"Tenha um bom descanso!😉💤","TREINAMENTO CÍCLICO")</f>
        <v>TREINAMENTO CÍCLICO</v>
      </c>
      <c r="BZ5" s="66"/>
      <c r="CA5" s="57"/>
      <c r="CB5" s="57"/>
      <c r="CC5" s="57"/>
      <c r="CD5" s="57"/>
      <c r="CE5" s="57"/>
      <c r="CF5" s="57"/>
      <c r="CG5" s="58"/>
      <c r="CH5" s="65" t="str">
        <f>IF(CN9=10,"Tenha um bom descanso!😉💤","TREINAMENTO CÍCLICO")</f>
        <v>TREINAMENTO CÍCLICO</v>
      </c>
      <c r="CQ5" s="66"/>
      <c r="CR5" s="57"/>
      <c r="CS5" s="57"/>
      <c r="CT5" s="57"/>
      <c r="CU5" s="57"/>
      <c r="CV5" s="57"/>
      <c r="CW5" s="57"/>
      <c r="CX5" s="58"/>
      <c r="CY5" s="65" t="str">
        <f>IF(DE9=10,"Tenha um bom descanso!😉💤","TREINAMENTO CÍCLICO")</f>
        <v>Tenha um bom descanso!😉💤</v>
      </c>
      <c r="DH5" s="66"/>
      <c r="DI5" s="57"/>
      <c r="DJ5" s="57"/>
      <c r="DK5" s="57"/>
      <c r="DL5" s="57"/>
      <c r="DM5" s="57"/>
      <c r="DN5" s="57"/>
      <c r="DO5" s="58"/>
      <c r="DP5" s="57" t="s">
        <v>13</v>
      </c>
      <c r="DQ5" s="56">
        <f>IF(L80&gt;0,B8,0)+IF(AC80&gt;0,S8,0)+IF(AT80&gt;0,AJ8,0)+IF(BK80&gt;0,BA8,0)+IF(CB80&gt;0,BR8,0)+IF(CS80&gt;0,CI8,0)+IF(DJ80&gt;0,CZ8,0)</f>
        <v>77</v>
      </c>
      <c r="DR5" s="56"/>
      <c r="DS5" s="56"/>
      <c r="DT5" s="56"/>
      <c r="DU5" s="56"/>
      <c r="DV5" s="56"/>
      <c r="DW5" s="56"/>
      <c r="DX5" s="56"/>
      <c r="DY5" s="56"/>
    </row>
    <row r="6">
      <c r="A6" s="67" t="s">
        <v>14</v>
      </c>
      <c r="B6" s="68">
        <f>Montagem!C65</f>
        <v>15</v>
      </c>
      <c r="C6" s="69" t="s">
        <v>15</v>
      </c>
      <c r="D6" s="70" t="str">
        <f>Montagem!C67</f>
        <v>IEXT</v>
      </c>
      <c r="E6" s="61"/>
      <c r="F6" s="71" t="s">
        <v>16</v>
      </c>
      <c r="G6" s="61"/>
      <c r="H6" s="72">
        <f>0.0175*IF(ISNUMBER(B82),B82,B6)*'Dados de Base'!$D$5*('Dados de Base'!$D$7*IF(ISNUMBER(G82),(G82-'Dados de Base'!$F$6)/('Dados de Base'!$E$20-'Dados de Base'!$F$6),Montagem!C77))</f>
        <v>237.313125</v>
      </c>
      <c r="I6" s="60"/>
      <c r="J6" s="63"/>
      <c r="K6" s="57"/>
      <c r="L6" s="57"/>
      <c r="M6" s="57"/>
      <c r="N6" s="57"/>
      <c r="O6" s="57"/>
      <c r="P6" s="57"/>
      <c r="Q6" s="58"/>
      <c r="R6" s="67" t="s">
        <v>14</v>
      </c>
      <c r="S6" s="68">
        <f>Montagem!D65</f>
        <v>15</v>
      </c>
      <c r="T6" s="69" t="s">
        <v>15</v>
      </c>
      <c r="U6" s="70" t="str">
        <f>Montagem!D67</f>
        <v>IEXT</v>
      </c>
      <c r="V6" s="61"/>
      <c r="W6" s="71" t="s">
        <v>16</v>
      </c>
      <c r="X6" s="61"/>
      <c r="Y6" s="72">
        <f>0.0175*IF(ISNUMBER(S82),S82,S6)*'Dados de Base'!$D$5*('Dados de Base'!$D$7*IF(ISNUMBER(X82),(X82-'Dados de Base'!$F$6)/('Dados de Base'!$E$20-'Dados de Base'!$F$6),Montagem!D77))</f>
        <v>0</v>
      </c>
      <c r="Z6" s="60"/>
      <c r="AA6" s="63"/>
      <c r="AB6" s="57"/>
      <c r="AC6" s="57"/>
      <c r="AD6" s="57"/>
      <c r="AE6" s="57"/>
      <c r="AF6" s="57"/>
      <c r="AG6" s="57"/>
      <c r="AH6" s="58"/>
      <c r="AI6" s="67" t="s">
        <v>14</v>
      </c>
      <c r="AJ6" s="68" t="str">
        <f>Montagem!E65</f>
        <v/>
      </c>
      <c r="AK6" s="69" t="s">
        <v>15</v>
      </c>
      <c r="AL6" s="70" t="str">
        <f>Montagem!E67</f>
        <v/>
      </c>
      <c r="AM6" s="61"/>
      <c r="AN6" s="71" t="s">
        <v>16</v>
      </c>
      <c r="AO6" s="61"/>
      <c r="AP6" s="72">
        <f>0.0175*IF(ISNUMBER(AJ82),AJ82,AJ6)*'Dados de Base'!$D$5*('Dados de Base'!$D$7*IF(ISNUMBER(AO82),(AO82-'Dados de Base'!$F$6)/('Dados de Base'!$E$20-'Dados de Base'!$F$6),Montagem!E77))</f>
        <v>0.8324167893</v>
      </c>
      <c r="AQ6" s="60"/>
      <c r="AR6" s="63"/>
      <c r="AS6" s="57"/>
      <c r="AT6" s="57"/>
      <c r="AU6" s="57"/>
      <c r="AV6" s="57"/>
      <c r="AW6" s="57"/>
      <c r="AX6" s="57"/>
      <c r="AY6" s="58"/>
      <c r="AZ6" s="67" t="s">
        <v>14</v>
      </c>
      <c r="BA6" s="68">
        <f>Montagem!F65</f>
        <v>40</v>
      </c>
      <c r="BB6" s="69" t="s">
        <v>15</v>
      </c>
      <c r="BC6" s="70" t="str">
        <f>Montagem!F67</f>
        <v>CEXT</v>
      </c>
      <c r="BD6" s="61"/>
      <c r="BE6" s="71" t="s">
        <v>16</v>
      </c>
      <c r="BF6" s="61"/>
      <c r="BG6" s="72">
        <f>0.0175*IF(ISNUMBER(BA82),BA82,BA6)*'Dados de Base'!$D$5*('Dados de Base'!$D$7*IF(ISNUMBER(BF82),(BF82-'Dados de Base'!$F$6)/('Dados de Base'!$E$20-'Dados de Base'!$F$6),Montagem!F77))</f>
        <v>397.782</v>
      </c>
      <c r="BH6" s="60"/>
      <c r="BI6" s="63"/>
      <c r="BJ6" s="57"/>
      <c r="BK6" s="57"/>
      <c r="BL6" s="57"/>
      <c r="BM6" s="57"/>
      <c r="BN6" s="57"/>
      <c r="BO6" s="57"/>
      <c r="BP6" s="58"/>
      <c r="BQ6" s="67" t="s">
        <v>14</v>
      </c>
      <c r="BR6" s="68">
        <f>Montagem!G65</f>
        <v>10</v>
      </c>
      <c r="BS6" s="69" t="s">
        <v>15</v>
      </c>
      <c r="BT6" s="70" t="str">
        <f>Montagem!G67</f>
        <v>IEXT</v>
      </c>
      <c r="BU6" s="61"/>
      <c r="BV6" s="71" t="s">
        <v>16</v>
      </c>
      <c r="BW6" s="61"/>
      <c r="BX6" s="72">
        <f>0.0175*IF(ISNUMBER(BR82),BR82,BR6)*'Dados de Base'!$D$5*('Dados de Base'!$D$7*IF(ISNUMBER(BW82),(BW82-'Dados de Base'!$F$6)/('Dados de Base'!$E$20-'Dados de Base'!$F$6),Montagem!G77))</f>
        <v>0</v>
      </c>
      <c r="BY6" s="60"/>
      <c r="BZ6" s="63"/>
      <c r="CA6" s="57"/>
      <c r="CB6" s="57"/>
      <c r="CC6" s="57"/>
      <c r="CD6" s="57"/>
      <c r="CE6" s="57"/>
      <c r="CF6" s="57"/>
      <c r="CG6" s="58"/>
      <c r="CH6" s="67" t="s">
        <v>14</v>
      </c>
      <c r="CI6" s="68" t="str">
        <f>Montagem!H65</f>
        <v/>
      </c>
      <c r="CJ6" s="69" t="s">
        <v>15</v>
      </c>
      <c r="CK6" s="70" t="str">
        <f>Montagem!H67</f>
        <v/>
      </c>
      <c r="CL6" s="61"/>
      <c r="CM6" s="71" t="s">
        <v>16</v>
      </c>
      <c r="CN6" s="61"/>
      <c r="CO6" s="72">
        <f>0.0175*IF(ISNUMBER(CI82),CI82,CI6)*'Dados de Base'!$D$5*('Dados de Base'!$D$7*IF(ISNUMBER(CN82),(CN82-'Dados de Base'!$F$6)/('Dados de Base'!$E$20-'Dados de Base'!$F$6),Montagem!H77))</f>
        <v>0</v>
      </c>
      <c r="CP6" s="60"/>
      <c r="CQ6" s="63"/>
      <c r="CR6" s="57"/>
      <c r="CS6" s="57"/>
      <c r="CT6" s="57"/>
      <c r="CU6" s="57"/>
      <c r="CV6" s="57"/>
      <c r="CW6" s="57"/>
      <c r="CX6" s="58"/>
      <c r="CY6" s="67" t="s">
        <v>14</v>
      </c>
      <c r="CZ6" s="68" t="str">
        <f>Montagem!I65</f>
        <v/>
      </c>
      <c r="DA6" s="69" t="s">
        <v>15</v>
      </c>
      <c r="DB6" s="70" t="str">
        <f>Montagem!I67</f>
        <v/>
      </c>
      <c r="DC6" s="61"/>
      <c r="DD6" s="71" t="s">
        <v>16</v>
      </c>
      <c r="DE6" s="61"/>
      <c r="DF6" s="72">
        <f>0.0175*IF(ISNUMBER(CZ82),CZ82,CZ6)*'Dados de Base'!$D$5*('Dados de Base'!$D$7*IF(ISNUMBER(DE82),(DE82-'Dados de Base'!$F$6)/('Dados de Base'!$E$20-'Dados de Base'!$F$6),Montagem!I77))</f>
        <v>0</v>
      </c>
      <c r="DG6" s="60"/>
      <c r="DH6" s="63"/>
      <c r="DI6" s="57"/>
      <c r="DJ6" s="57"/>
      <c r="DK6" s="57"/>
      <c r="DL6" s="57"/>
      <c r="DM6" s="57"/>
      <c r="DN6" s="57"/>
      <c r="DO6" s="58"/>
      <c r="DP6" s="73" t="s">
        <v>17</v>
      </c>
      <c r="DQ6" s="74">
        <f>IF(L80&gt;0,E8,0)+IF(AC80&gt;0,V8,0)+IF(AT80&gt;0,AM8,0)+IF(BK80&gt;0,BD8,0)+IF(CB80&gt;0,BU8,0)+IF(CS80&gt;0,CL8,0)+IF(DJ80&gt;0,DC8,0)</f>
        <v>951</v>
      </c>
      <c r="DR6" s="74"/>
      <c r="DS6" s="74"/>
      <c r="DT6" s="74"/>
      <c r="DU6" s="74"/>
      <c r="DV6" s="74"/>
      <c r="DW6" s="74"/>
      <c r="DX6" s="74"/>
      <c r="DY6" s="74"/>
    </row>
    <row r="7">
      <c r="A7" s="75" t="str">
        <f>IF(G9=10,"Se você tem treino programado nesta data, entre em contato com a equipe para atualizarmos a sessão!","TREINAMENTO RESISTIDO")</f>
        <v>TREINAMENTO RESISTIDO</v>
      </c>
      <c r="B7" s="60"/>
      <c r="C7" s="60"/>
      <c r="D7" s="60"/>
      <c r="E7" s="60"/>
      <c r="F7" s="60"/>
      <c r="G7" s="60"/>
      <c r="H7" s="60"/>
      <c r="I7" s="60"/>
      <c r="J7" s="63"/>
      <c r="K7" s="76"/>
      <c r="L7" s="76"/>
      <c r="M7" s="76"/>
      <c r="N7" s="76"/>
      <c r="O7" s="76"/>
      <c r="P7" s="76"/>
      <c r="Q7" s="77"/>
      <c r="R7" s="75" t="str">
        <f>IF(X9=10,"Se você tem treino programado nesta data, entre em contato com a equipe para atualizarmos a sessão!","TREINAMENTO RESISTIDO")</f>
        <v>TREINAMENTO RESISTIDO</v>
      </c>
      <c r="S7" s="60"/>
      <c r="T7" s="60"/>
      <c r="U7" s="60"/>
      <c r="V7" s="60"/>
      <c r="W7" s="60"/>
      <c r="X7" s="60"/>
      <c r="Y7" s="60"/>
      <c r="Z7" s="60"/>
      <c r="AA7" s="63"/>
      <c r="AB7" s="76"/>
      <c r="AC7" s="76"/>
      <c r="AD7" s="76"/>
      <c r="AE7" s="76"/>
      <c r="AF7" s="76"/>
      <c r="AG7" s="76"/>
      <c r="AH7" s="77"/>
      <c r="AI7" s="75" t="str">
        <f>IF(AO9=10,"Se você tem treino programado nesta data, entre em contato com a equipe para atualizarmos a sessão!","TREINAMENTO RESISTIDO")</f>
        <v>TREINAMENTO RESISTIDO</v>
      </c>
      <c r="AJ7" s="60"/>
      <c r="AK7" s="60"/>
      <c r="AL7" s="60"/>
      <c r="AM7" s="60"/>
      <c r="AN7" s="60"/>
      <c r="AO7" s="60"/>
      <c r="AP7" s="60"/>
      <c r="AQ7" s="60"/>
      <c r="AR7" s="63"/>
      <c r="AS7" s="76"/>
      <c r="AT7" s="76"/>
      <c r="AU7" s="76"/>
      <c r="AV7" s="76"/>
      <c r="AW7" s="76"/>
      <c r="AX7" s="76"/>
      <c r="AY7" s="77"/>
      <c r="AZ7" s="75" t="str">
        <f>IF(BF9=10,"Se você tem treino programado nesta data, entre em contato com a equipe para atualizarmos a sessão!","TREINAMENTO RESISTIDO")</f>
        <v>TREINAMENTO RESISTIDO</v>
      </c>
      <c r="BA7" s="60"/>
      <c r="BB7" s="60"/>
      <c r="BC7" s="60"/>
      <c r="BD7" s="60"/>
      <c r="BE7" s="60"/>
      <c r="BF7" s="60"/>
      <c r="BG7" s="60"/>
      <c r="BH7" s="60"/>
      <c r="BI7" s="63"/>
      <c r="BJ7" s="76"/>
      <c r="BK7" s="76"/>
      <c r="BL7" s="76"/>
      <c r="BM7" s="76"/>
      <c r="BN7" s="76"/>
      <c r="BO7" s="76"/>
      <c r="BP7" s="77"/>
      <c r="BQ7" s="75" t="str">
        <f>IF(BW9=10,"Se você tem treino programado nesta data, entre em contato com a equipe para atualizarmos a sessão!","TREINAMENTO RESISTIDO")</f>
        <v>TREINAMENTO RESISTIDO</v>
      </c>
      <c r="BR7" s="60"/>
      <c r="BS7" s="60"/>
      <c r="BT7" s="60"/>
      <c r="BU7" s="60"/>
      <c r="BV7" s="60"/>
      <c r="BW7" s="60"/>
      <c r="BX7" s="60"/>
      <c r="BY7" s="60"/>
      <c r="BZ7" s="63"/>
      <c r="CA7" s="76"/>
      <c r="CB7" s="76"/>
      <c r="CC7" s="76"/>
      <c r="CD7" s="76"/>
      <c r="CE7" s="76"/>
      <c r="CF7" s="76"/>
      <c r="CG7" s="77"/>
      <c r="CH7" s="75" t="str">
        <f>IF(CN9=10,"Se você tem treino programado nesta data, entre em contato com a equipe para atualizarmos a sessão!","TREINAMENTO RESISTIDO")</f>
        <v>TREINAMENTO RESISTIDO</v>
      </c>
      <c r="CI7" s="60"/>
      <c r="CJ7" s="60"/>
      <c r="CK7" s="60"/>
      <c r="CL7" s="60"/>
      <c r="CM7" s="60"/>
      <c r="CN7" s="60"/>
      <c r="CO7" s="60"/>
      <c r="CP7" s="60"/>
      <c r="CQ7" s="63"/>
      <c r="CR7" s="76"/>
      <c r="CS7" s="76"/>
      <c r="CT7" s="76"/>
      <c r="CU7" s="76"/>
      <c r="CV7" s="76"/>
      <c r="CW7" s="76"/>
      <c r="CX7" s="77"/>
      <c r="CY7" s="75" t="str">
        <f>IF(DE9=10,"Se você tem treino programado nesta data, entre em contato com a equipe para atualizarmos a sessão!","TREINAMENTO RESISTIDO")</f>
        <v>Se você tem treino programado nesta data, entre em contato com a equipe para atualizarmos a sessão!</v>
      </c>
      <c r="CZ7" s="60"/>
      <c r="DA7" s="60"/>
      <c r="DB7" s="60"/>
      <c r="DC7" s="60"/>
      <c r="DD7" s="60"/>
      <c r="DE7" s="60"/>
      <c r="DF7" s="60"/>
      <c r="DG7" s="60"/>
      <c r="DH7" s="63"/>
      <c r="DI7" s="76"/>
      <c r="DJ7" s="76"/>
      <c r="DK7" s="76"/>
      <c r="DL7" s="76"/>
      <c r="DM7" s="76"/>
      <c r="DN7" s="76"/>
      <c r="DO7" s="77"/>
      <c r="DP7" s="78" t="s">
        <v>18</v>
      </c>
      <c r="DQ7" s="79">
        <f>E83+V83+AM83+BD83+BU83+CL83+DC83</f>
        <v>38.1235</v>
      </c>
      <c r="DR7" s="80"/>
      <c r="DS7" s="80"/>
      <c r="DT7" s="80"/>
      <c r="DU7" s="80"/>
      <c r="DV7" s="80"/>
      <c r="DW7" s="80"/>
      <c r="DX7" s="80"/>
      <c r="DY7" s="80"/>
    </row>
    <row r="8">
      <c r="A8" s="67" t="s">
        <v>19</v>
      </c>
      <c r="B8" s="81">
        <f>SUM(E16,E18,E20,E22,E26,E28,E30,E32,E34,E36,E38,E40,E42,E44,E46,E48,E50,E52,E54,E56,E58,E60,E62,E64,E68,E70,E72)</f>
        <v>36</v>
      </c>
      <c r="C8" s="71" t="s">
        <v>20</v>
      </c>
      <c r="D8" s="61"/>
      <c r="E8" s="82">
        <f>SUM(E16*F16,E18*F18,E20*F20,E22*F22,E26*F26,E28*F28,E30*F30,E32*F32,E34*F34,E36*F36,E38*F38,E40*F40,E42*F42,E44*F44,E46*F46,E48*F48,E50*F50,E52*F52,E54*F54,E56*F56,E58*F58,E60*F60,E62*F62,E64*F64,E68*F68,E70*F70,E72*F72)</f>
        <v>438</v>
      </c>
      <c r="F8" s="83" t="s">
        <v>16</v>
      </c>
      <c r="G8" s="61"/>
      <c r="H8" s="72">
        <f>0.0175*'Dados de Base'!$D$5*D89*5</f>
        <v>115.21125</v>
      </c>
      <c r="I8" s="60"/>
      <c r="J8" s="63"/>
      <c r="K8" s="57"/>
      <c r="L8" s="57"/>
      <c r="M8" s="57"/>
      <c r="N8" s="57"/>
      <c r="O8" s="57"/>
      <c r="P8" s="57"/>
      <c r="Q8" s="58"/>
      <c r="R8" s="67" t="s">
        <v>19</v>
      </c>
      <c r="S8" s="81">
        <f>SUM(V16,V18,V20,V22,V26,V28,V30,V32,V34,V36,V38,V40,V42,V44,V46,V48,V50,V52,V54,V56,V58,V60,V62,V64,V68,V70,V72)</f>
        <v>36</v>
      </c>
      <c r="T8" s="71" t="s">
        <v>20</v>
      </c>
      <c r="U8" s="61"/>
      <c r="V8" s="82">
        <f>SUM(V16*W16,V18*W18,V20*W20,V22*W22,V26*W26,V28*W28,V30*W30,V32*W32,V34*W34,V36*W36,V38*W38,V40*W40,V42*W42,V44*W44,V46*W46,V48*W48,V50*W50,V52*W52,V54*W54,V56*W56,V58*W58,V60*W60,V62*W62,V64*W64,V68*W68,V70*W70,V72*W72)</f>
        <v>423</v>
      </c>
      <c r="W8" s="84" t="s">
        <v>16</v>
      </c>
      <c r="X8" s="84"/>
      <c r="Y8" s="72">
        <f>0.0175*'Dados de Base'!$D$5*U89*5</f>
        <v>111.076875</v>
      </c>
      <c r="Z8" s="60"/>
      <c r="AA8" s="63"/>
      <c r="AB8" s="57"/>
      <c r="AC8" s="57"/>
      <c r="AD8" s="57"/>
      <c r="AE8" s="57"/>
      <c r="AF8" s="57"/>
      <c r="AG8" s="57"/>
      <c r="AH8" s="58"/>
      <c r="AI8" s="67" t="s">
        <v>19</v>
      </c>
      <c r="AJ8" s="81">
        <f>SUM(AM16,AM18,AM20,AM22,AM26,AM28,AM30,AM32,AM34,AM36,AM38,AM40,AM42,AM44,AM46,AM48,AM50,AM52,AM54,AM56,AM58,AM60,AM62,AM64,AM68,AM70,AM72)</f>
        <v>5</v>
      </c>
      <c r="AK8" s="71" t="s">
        <v>20</v>
      </c>
      <c r="AL8" s="61"/>
      <c r="AM8" s="82">
        <f>SUM(AM16*AN16,AM18*AN18,AM20*AN20,AM22*AN22,AM26*AN26,AM28*AN28,AM30*AN30,AM32*AN32,AM34*AN34,AM36*AN36,AM38*AN38,AM40*AN40,AM42*AN42,AM44*AN44,AM46*AN46,AM48*AN48,AM50*AN50,AM52*AN52,AM54*AN54,AM56*AN56,AM58*AN58,AM60*AN60,AM62*AN62,AM64*AN64,AM68*AN68,AM70*AN70,AM72*AN72)</f>
        <v>90</v>
      </c>
      <c r="AN8" s="83" t="s">
        <v>16</v>
      </c>
      <c r="AO8" s="61"/>
      <c r="AP8" s="72">
        <f>0.0175*'Dados de Base'!$D$5*AL89*5</f>
        <v>11.94375</v>
      </c>
      <c r="AQ8" s="60"/>
      <c r="AR8" s="63"/>
      <c r="AS8" s="57"/>
      <c r="AT8" s="57"/>
      <c r="AU8" s="57"/>
      <c r="AV8" s="57"/>
      <c r="AW8" s="57"/>
      <c r="AX8" s="57"/>
      <c r="AY8" s="58"/>
      <c r="AZ8" s="67" t="s">
        <v>19</v>
      </c>
      <c r="BA8" s="81">
        <f>SUM(BD16,BD18,BD20,BD22,BD26,BD28,BD30,BD32,BD34,BD36,BD38,BD40,BD42,BD44,BD46,BD48,BD50,BD52,BD54,BD56,BD58,BD60,BD62,BD64,BD68,BD70,BD72)</f>
        <v>38</v>
      </c>
      <c r="BB8" s="71" t="s">
        <v>20</v>
      </c>
      <c r="BC8" s="61"/>
      <c r="BD8" s="82">
        <f>SUM(BD16*BE16,BD18*BE18,BD20*BE20,BD22*BE22,BD26*BE26,BD28*BE28,BD30*BE30,BD32*BE32,BD34*BE34,BD36*BE36,BD38*BE38,BD40*BE40,BD42*BE42,BD44*BE44,BD46*BE46,BD48*BE48,BD50*BE50,BD52*BE52,BD54*BE54,BD56*BE56,BD58*BE58,BD60*BE60,BD62*BE62,BD64*BE64,BD68*BE68,BD70*BE70,BD72*BE72)</f>
        <v>522</v>
      </c>
      <c r="BE8" s="83" t="s">
        <v>16</v>
      </c>
      <c r="BF8" s="61"/>
      <c r="BG8" s="72">
        <f>0.0175*'Dados de Base'!$D$5*BC89*5</f>
        <v>116.31375</v>
      </c>
      <c r="BH8" s="60"/>
      <c r="BI8" s="63"/>
      <c r="BJ8" s="57"/>
      <c r="BK8" s="57"/>
      <c r="BL8" s="57"/>
      <c r="BM8" s="57"/>
      <c r="BN8" s="57"/>
      <c r="BO8" s="57"/>
      <c r="BP8" s="58"/>
      <c r="BQ8" s="67" t="s">
        <v>19</v>
      </c>
      <c r="BR8" s="81">
        <f>SUM(BU16,BU18,BU20,BU22,BU26,BU28,BU30,BU32,BU34,BU36,BU38,BU40,BU42,BU44,BU46,BU48,BU50,BU52,BU54,BU56,BU58,BU60,BU62,BU64,BU68,BU70,BU72)</f>
        <v>35</v>
      </c>
      <c r="BS8" s="71" t="s">
        <v>20</v>
      </c>
      <c r="BT8" s="61"/>
      <c r="BU8" s="82">
        <f>SUM(BU16*BV16,BU18*BV18,BU20*BV20,BU22*BV22,BU26*BV26,BU28*BV28,BU30*BV30,BU32*BV32,BU34*BV34,BU36*BV36,BU38*BV38,BU40*BV40,BU42*BV42,BU44*BV44,BU46*BV46,BU48*BV48,BU50*BV50,BU52*BV52,BU54*BV54,BU56*BV56,BU58*BV58,BU60*BV60,BU62*BV62,BU64*BV64,BU68*BV68,BU70*BV70,BU72*BV72)</f>
        <v>432</v>
      </c>
      <c r="BV8" s="83" t="s">
        <v>16</v>
      </c>
      <c r="BW8" s="61"/>
      <c r="BX8" s="72">
        <f>0.0175*'Dados de Base'!$D$5*BT89*5</f>
        <v>97.02</v>
      </c>
      <c r="BY8" s="60"/>
      <c r="BZ8" s="63"/>
      <c r="CA8" s="57"/>
      <c r="CB8" s="57"/>
      <c r="CC8" s="57"/>
      <c r="CD8" s="57"/>
      <c r="CE8" s="57"/>
      <c r="CF8" s="57"/>
      <c r="CG8" s="58"/>
      <c r="CH8" s="67" t="s">
        <v>19</v>
      </c>
      <c r="CI8" s="81">
        <f>SUM(CL16,CL18,CL20,CL22,CL26,CL28,CL30,CL32,CL34,CL36,CL38,CL40,CL42,CL44,CL46,CL48,CL50,CL52,CL54,CL56,CL58,CL60,CL62,CL64,CL68,CL70,CL72)</f>
        <v>5</v>
      </c>
      <c r="CJ8" s="71" t="s">
        <v>20</v>
      </c>
      <c r="CK8" s="61"/>
      <c r="CL8" s="82">
        <f>SUM(CL16*CM16,CL18*CM18,CL20*CM20,CL22*CM22,CL26*CM26,CL28*CM28,CL30*CM30,CL32*CM32,CL34*CM34,CL36*CM36,CL38*CM38,CL40*CM40,CL42*CM42,CL44*CM44,CL46*CM46,CL48*CM48,CL50*CM50,CL52*CM52,CL54*CM54,CL56*CM56,CL58*CM58,CL60*CM60,CL62*CM62,CL64*CM64,CL68*CM68,CL70*CM70,CL72*CM72)</f>
        <v>90</v>
      </c>
      <c r="CM8" s="83" t="s">
        <v>16</v>
      </c>
      <c r="CN8" s="61"/>
      <c r="CO8" s="72">
        <f>0.0175*'Dados de Base'!$D$5*CK89*5</f>
        <v>11.94375</v>
      </c>
      <c r="CP8" s="60"/>
      <c r="CQ8" s="63"/>
      <c r="CR8" s="57"/>
      <c r="CS8" s="57"/>
      <c r="CT8" s="57"/>
      <c r="CU8" s="57"/>
      <c r="CV8" s="57"/>
      <c r="CW8" s="57"/>
      <c r="CX8" s="58"/>
      <c r="CY8" s="67" t="s">
        <v>19</v>
      </c>
      <c r="CZ8" s="81">
        <f>SUM(DC16,DC18,DC20,DC22,DC26,DC28,DC30,DC32,DC34,DC36,DC38,DC40,DC42,DC44,DC46,DC48,DC50,DC52,DC54,DC56,DC58,DC60,DC62,DC64,DC68,DC70,DC72)</f>
        <v>0</v>
      </c>
      <c r="DA8" s="71" t="s">
        <v>20</v>
      </c>
      <c r="DB8" s="61"/>
      <c r="DC8" s="82">
        <f>SUM(DC16*DD16,DC18*DD18,DC20*DD20,DC22*DD22,DC26*DD26,DC28*DD28,DC30*DD30,DC32*DD32,DC34*DD34,DC36*DD36,DC38*DD38,DC40*DD40,DC42*DD42,DC44*DD44,DC46*DD46,DC48*DD48,DC50*DD50,DC52*DD52,DC54*DD54,DC56*DD56,DC58*DD58,DC60*DD60,DC62*DD62,DC64*DD64,DC68*DD68,DC70*DD70,DC72*DD72)</f>
        <v>0</v>
      </c>
      <c r="DD8" s="83" t="s">
        <v>16</v>
      </c>
      <c r="DE8" s="61"/>
      <c r="DF8" s="72">
        <f>0.0175*'Dados de Base'!$D$5*DB89*5</f>
        <v>0</v>
      </c>
      <c r="DG8" s="60"/>
      <c r="DH8" s="63"/>
      <c r="DI8" s="57"/>
      <c r="DJ8" s="57"/>
      <c r="DK8" s="57"/>
      <c r="DL8" s="57"/>
      <c r="DM8" s="57"/>
      <c r="DN8" s="57"/>
      <c r="DO8" s="58"/>
      <c r="DP8" s="57" t="s">
        <v>21</v>
      </c>
      <c r="DQ8" s="56">
        <f>IF(L80&gt;0,D89,0)+IF(AC80&gt;0,U89,0)+IF(AT80&gt;0,AL89,0)+IF(BK80&gt;0,BC89,0)+IF(CB80&gt;0,BT89,0)+IF(CS80&gt;0,CK89,0)+IF(DJ80&gt;0,DB89,0)</f>
        <v>43.21666667</v>
      </c>
      <c r="DR8" s="56"/>
      <c r="DS8" s="56"/>
      <c r="DT8" s="56"/>
      <c r="DU8" s="56"/>
      <c r="DV8" s="56"/>
      <c r="DW8" s="56"/>
      <c r="DX8" s="56"/>
      <c r="DY8" s="56"/>
    </row>
    <row r="9">
      <c r="A9" s="85" t="s">
        <v>22</v>
      </c>
      <c r="B9" s="86"/>
      <c r="C9" s="86"/>
      <c r="D9" s="86"/>
      <c r="E9" s="86"/>
      <c r="F9" s="87"/>
      <c r="G9" s="88">
        <f>((D89+K89+IF(ISNUMBER(B82),B82,B6))*Montagem!AS53)+10</f>
        <v>66.9</v>
      </c>
      <c r="H9" s="86"/>
      <c r="I9" s="86"/>
      <c r="J9" s="89"/>
      <c r="K9" s="57"/>
      <c r="L9" s="57"/>
      <c r="M9" s="57"/>
      <c r="N9" s="57"/>
      <c r="O9" s="57"/>
      <c r="P9" s="57"/>
      <c r="Q9" s="58"/>
      <c r="R9" s="85" t="s">
        <v>22</v>
      </c>
      <c r="S9" s="86"/>
      <c r="T9" s="86"/>
      <c r="U9" s="86"/>
      <c r="V9" s="86"/>
      <c r="W9" s="87"/>
      <c r="X9" s="88">
        <f>((U89+AB89+IF(ISNUMBER(S82),S82,S6))*Montagem!AS53)+10</f>
        <v>66.15</v>
      </c>
      <c r="Y9" s="86"/>
      <c r="Z9" s="86"/>
      <c r="AA9" s="89"/>
      <c r="AB9" s="57"/>
      <c r="AC9" s="57"/>
      <c r="AD9" s="57"/>
      <c r="AE9" s="57"/>
      <c r="AF9" s="57"/>
      <c r="AG9" s="57"/>
      <c r="AH9" s="58"/>
      <c r="AI9" s="85" t="s">
        <v>22</v>
      </c>
      <c r="AJ9" s="86"/>
      <c r="AK9" s="86"/>
      <c r="AL9" s="86"/>
      <c r="AM9" s="86"/>
      <c r="AN9" s="87"/>
      <c r="AO9" s="88">
        <f>((AL89+AS89+IF(ISNUMBER(AJ82),AJ82,AJ6))*Montagem!AS53)+10</f>
        <v>13.88359954</v>
      </c>
      <c r="AP9" s="86"/>
      <c r="AQ9" s="86"/>
      <c r="AR9" s="89"/>
      <c r="AS9" s="57"/>
      <c r="AT9" s="57"/>
      <c r="AU9" s="57"/>
      <c r="AV9" s="57"/>
      <c r="AW9" s="57"/>
      <c r="AX9" s="57"/>
      <c r="AY9" s="58"/>
      <c r="AZ9" s="85" t="s">
        <v>22</v>
      </c>
      <c r="BA9" s="86"/>
      <c r="BB9" s="86"/>
      <c r="BC9" s="86"/>
      <c r="BD9" s="86"/>
      <c r="BE9" s="87"/>
      <c r="BF9" s="88">
        <f>((BC89+BJ89+IF(ISNUMBER(BA82),BA82,BA6))*Montagem!AS53)+10</f>
        <v>87.76666667</v>
      </c>
      <c r="BG9" s="86"/>
      <c r="BH9" s="86"/>
      <c r="BI9" s="89"/>
      <c r="BJ9" s="57"/>
      <c r="BK9" s="57"/>
      <c r="BL9" s="57"/>
      <c r="BM9" s="57"/>
      <c r="BN9" s="57"/>
      <c r="BO9" s="57"/>
      <c r="BP9" s="58"/>
      <c r="BQ9" s="85" t="s">
        <v>22</v>
      </c>
      <c r="BR9" s="86"/>
      <c r="BS9" s="86"/>
      <c r="BT9" s="86"/>
      <c r="BU9" s="86"/>
      <c r="BV9" s="87"/>
      <c r="BW9" s="88">
        <f>((BT89+CA89+IF(ISNUMBER(BR82),BR82,BR6))*Montagem!AS53)+10</f>
        <v>54.51666667</v>
      </c>
      <c r="BX9" s="86"/>
      <c r="BY9" s="86"/>
      <c r="BZ9" s="89"/>
      <c r="CA9" s="57"/>
      <c r="CB9" s="57"/>
      <c r="CC9" s="57"/>
      <c r="CD9" s="57"/>
      <c r="CE9" s="57"/>
      <c r="CF9" s="57"/>
      <c r="CG9" s="58"/>
      <c r="CH9" s="85" t="s">
        <v>22</v>
      </c>
      <c r="CI9" s="86"/>
      <c r="CJ9" s="86"/>
      <c r="CK9" s="86"/>
      <c r="CL9" s="86"/>
      <c r="CM9" s="87"/>
      <c r="CN9" s="88">
        <f>((CK89+CR89+IF(ISNUMBER(CI82),CI82,CI6))*Montagem!AS53)+10</f>
        <v>13.83333333</v>
      </c>
      <c r="CO9" s="86"/>
      <c r="CP9" s="86"/>
      <c r="CQ9" s="89"/>
      <c r="CR9" s="57"/>
      <c r="CS9" s="57"/>
      <c r="CT9" s="57"/>
      <c r="CU9" s="57"/>
      <c r="CV9" s="57"/>
      <c r="CW9" s="57"/>
      <c r="CX9" s="58"/>
      <c r="CY9" s="85" t="s">
        <v>22</v>
      </c>
      <c r="CZ9" s="86"/>
      <c r="DA9" s="86"/>
      <c r="DB9" s="86"/>
      <c r="DC9" s="86"/>
      <c r="DD9" s="87"/>
      <c r="DE9" s="88">
        <f>((DB89+DI89+IF(ISNUMBER(CZ82),CZ82,CZ6))*Montagem!AS53)+10</f>
        <v>10</v>
      </c>
      <c r="DF9" s="86"/>
      <c r="DG9" s="86"/>
      <c r="DH9" s="89"/>
      <c r="DI9" s="57"/>
      <c r="DJ9" s="57"/>
      <c r="DK9" s="57"/>
      <c r="DL9" s="57"/>
      <c r="DM9" s="57"/>
      <c r="DN9" s="57"/>
      <c r="DO9" s="58"/>
      <c r="DP9" s="57" t="s">
        <v>23</v>
      </c>
      <c r="DQ9" s="56">
        <f>IF(L80&gt;0,H8+H6,0)+IF(AC80&gt;0,Y8+Y6,0)+IF(AT80&gt;0,AP8+AP6,0)+IF(BK80&gt;0,BG8+BG6,0)+IF(CB80&gt;0,BX8+BX6,0)+IF(CS80&gt;0,CO8+CO6,0)+IF(DJ80&gt;0,DF8+DF6,0)</f>
        <v>476.3774168</v>
      </c>
      <c r="DR9" s="56"/>
      <c r="DS9" s="56"/>
      <c r="DT9" s="56"/>
      <c r="DU9" s="56"/>
      <c r="DV9" s="56"/>
      <c r="DW9" s="56"/>
      <c r="DX9" s="56"/>
      <c r="DY9" s="56"/>
    </row>
    <row r="10">
      <c r="A10" s="90" t="s">
        <v>24</v>
      </c>
      <c r="J10" s="66"/>
      <c r="K10" s="57"/>
      <c r="L10" s="57"/>
      <c r="M10" s="57"/>
      <c r="N10" s="57"/>
      <c r="O10" s="57"/>
      <c r="P10" s="57"/>
      <c r="Q10" s="58"/>
      <c r="R10" s="90" t="s">
        <v>24</v>
      </c>
      <c r="AA10" s="66"/>
      <c r="AB10" s="57"/>
      <c r="AC10" s="57"/>
      <c r="AD10" s="57"/>
      <c r="AE10" s="57"/>
      <c r="AF10" s="57"/>
      <c r="AG10" s="57"/>
      <c r="AH10" s="58"/>
      <c r="AI10" s="90" t="s">
        <v>24</v>
      </c>
      <c r="AR10" s="66"/>
      <c r="AS10" s="57"/>
      <c r="AT10" s="57"/>
      <c r="AU10" s="57"/>
      <c r="AV10" s="57"/>
      <c r="AW10" s="57"/>
      <c r="AX10" s="57"/>
      <c r="AY10" s="58"/>
      <c r="AZ10" s="90" t="s">
        <v>24</v>
      </c>
      <c r="BI10" s="66"/>
      <c r="BJ10" s="57"/>
      <c r="BK10" s="57"/>
      <c r="BL10" s="57"/>
      <c r="BM10" s="57"/>
      <c r="BN10" s="57"/>
      <c r="BO10" s="57"/>
      <c r="BP10" s="58"/>
      <c r="BQ10" s="90" t="s">
        <v>24</v>
      </c>
      <c r="BZ10" s="66"/>
      <c r="CA10" s="57"/>
      <c r="CB10" s="57"/>
      <c r="CC10" s="57"/>
      <c r="CD10" s="57"/>
      <c r="CE10" s="57"/>
      <c r="CF10" s="57"/>
      <c r="CG10" s="58"/>
      <c r="CH10" s="90" t="s">
        <v>24</v>
      </c>
      <c r="CQ10" s="66"/>
      <c r="CR10" s="57"/>
      <c r="CS10" s="57"/>
      <c r="CT10" s="57"/>
      <c r="CU10" s="57"/>
      <c r="CV10" s="57"/>
      <c r="CW10" s="57"/>
      <c r="CX10" s="58"/>
      <c r="CY10" s="90" t="s">
        <v>24</v>
      </c>
      <c r="DH10" s="66"/>
      <c r="DI10" s="57"/>
      <c r="DJ10" s="57"/>
      <c r="DK10" s="57"/>
      <c r="DL10" s="57"/>
      <c r="DM10" s="57"/>
      <c r="DN10" s="57"/>
      <c r="DO10" s="58"/>
      <c r="DP10" s="57" t="s">
        <v>25</v>
      </c>
      <c r="DQ10" s="56">
        <f>DQ9/7</f>
        <v>68.05391668</v>
      </c>
      <c r="DR10" s="56"/>
      <c r="DS10" s="56"/>
      <c r="DT10" s="56"/>
      <c r="DU10" s="56"/>
      <c r="DV10" s="56"/>
      <c r="DW10" s="56"/>
      <c r="DX10" s="56"/>
      <c r="DY10" s="56"/>
    </row>
    <row r="11">
      <c r="A11" s="91" t="str">
        <f>Montagem!K62</f>
        <v/>
      </c>
      <c r="J11" s="66"/>
      <c r="K11" s="92"/>
      <c r="L11" s="92"/>
      <c r="M11" s="92"/>
      <c r="N11" s="92"/>
      <c r="O11" s="92"/>
      <c r="P11" s="92"/>
      <c r="Q11" s="93"/>
      <c r="R11" s="91" t="str">
        <f>Montagem!Z62</f>
        <v/>
      </c>
      <c r="AA11" s="66"/>
      <c r="AB11" s="92"/>
      <c r="AC11" s="92"/>
      <c r="AD11" s="92"/>
      <c r="AE11" s="92"/>
      <c r="AF11" s="92"/>
      <c r="AG11" s="92"/>
      <c r="AH11" s="93"/>
      <c r="AI11" s="91" t="str">
        <f>Montagem!AO62</f>
        <v/>
      </c>
      <c r="AR11" s="66"/>
      <c r="AS11" s="92"/>
      <c r="AT11" s="92"/>
      <c r="AU11" s="92"/>
      <c r="AV11" s="92"/>
      <c r="AW11" s="92"/>
      <c r="AX11" s="92"/>
      <c r="AY11" s="93"/>
      <c r="AZ11" s="91" t="str">
        <f>Montagem!BD62</f>
        <v/>
      </c>
      <c r="BI11" s="66"/>
      <c r="BJ11" s="92"/>
      <c r="BK11" s="92"/>
      <c r="BL11" s="92"/>
      <c r="BM11" s="92"/>
      <c r="BN11" s="92"/>
      <c r="BO11" s="92"/>
      <c r="BP11" s="93"/>
      <c r="BQ11" s="91" t="str">
        <f>Montagem!BS62</f>
        <v/>
      </c>
      <c r="BZ11" s="66"/>
      <c r="CA11" s="92"/>
      <c r="CB11" s="92"/>
      <c r="CC11" s="92"/>
      <c r="CD11" s="92"/>
      <c r="CE11" s="92"/>
      <c r="CF11" s="92"/>
      <c r="CG11" s="93"/>
      <c r="CH11" s="91" t="str">
        <f>Montagem!CH62</f>
        <v/>
      </c>
      <c r="CQ11" s="66"/>
      <c r="CR11" s="92"/>
      <c r="CS11" s="92"/>
      <c r="CT11" s="92"/>
      <c r="CU11" s="92"/>
      <c r="CV11" s="92"/>
      <c r="CW11" s="92"/>
      <c r="CX11" s="93"/>
      <c r="CY11" s="91" t="str">
        <f>Montagem!CW62</f>
        <v/>
      </c>
      <c r="DH11" s="66"/>
      <c r="DI11" s="92"/>
      <c r="DJ11" s="92"/>
      <c r="DK11" s="92"/>
      <c r="DL11" s="92"/>
      <c r="DM11" s="92"/>
      <c r="DN11" s="92"/>
      <c r="DO11" s="93"/>
      <c r="DP11" s="92" t="s">
        <v>26</v>
      </c>
      <c r="DQ11" s="94">
        <f>SUM(D90,U90,AL90,BC90,BT90,CK90,DB90)</f>
        <v>219.8007986</v>
      </c>
      <c r="DR11" s="94"/>
      <c r="DS11" s="94"/>
      <c r="DT11" s="94"/>
      <c r="DU11" s="94"/>
      <c r="DV11" s="94"/>
      <c r="DW11" s="94"/>
      <c r="DX11" s="94"/>
      <c r="DY11" s="94"/>
    </row>
    <row r="12">
      <c r="A12" s="91" t="str">
        <f>Montagem!K63</f>
        <v/>
      </c>
      <c r="J12" s="66"/>
      <c r="K12" s="92"/>
      <c r="L12" s="92"/>
      <c r="M12" s="92"/>
      <c r="N12" s="92"/>
      <c r="O12" s="92"/>
      <c r="P12" s="92"/>
      <c r="Q12" s="93"/>
      <c r="R12" s="91" t="str">
        <f>Montagem!Z63</f>
        <v/>
      </c>
      <c r="AA12" s="66"/>
      <c r="AB12" s="92"/>
      <c r="AC12" s="92"/>
      <c r="AD12" s="92"/>
      <c r="AE12" s="92"/>
      <c r="AF12" s="92"/>
      <c r="AG12" s="92"/>
      <c r="AH12" s="93"/>
      <c r="AI12" s="91" t="str">
        <f>Montagem!AO63</f>
        <v/>
      </c>
      <c r="AR12" s="66"/>
      <c r="AS12" s="92"/>
      <c r="AT12" s="92"/>
      <c r="AU12" s="92"/>
      <c r="AV12" s="92"/>
      <c r="AW12" s="92"/>
      <c r="AX12" s="92"/>
      <c r="AY12" s="93"/>
      <c r="AZ12" s="91" t="str">
        <f>Montagem!BD63</f>
        <v/>
      </c>
      <c r="BI12" s="66"/>
      <c r="BJ12" s="92"/>
      <c r="BK12" s="92"/>
      <c r="BL12" s="92"/>
      <c r="BM12" s="92"/>
      <c r="BN12" s="92"/>
      <c r="BO12" s="92"/>
      <c r="BP12" s="93"/>
      <c r="BQ12" s="91" t="str">
        <f>Montagem!BS63</f>
        <v/>
      </c>
      <c r="BZ12" s="66"/>
      <c r="CA12" s="92"/>
      <c r="CB12" s="92"/>
      <c r="CC12" s="92"/>
      <c r="CD12" s="92"/>
      <c r="CE12" s="92"/>
      <c r="CF12" s="92"/>
      <c r="CG12" s="93"/>
      <c r="CH12" s="91" t="str">
        <f>Montagem!CH63</f>
        <v/>
      </c>
      <c r="CQ12" s="66"/>
      <c r="CR12" s="92"/>
      <c r="CS12" s="92"/>
      <c r="CT12" s="92"/>
      <c r="CU12" s="92"/>
      <c r="CV12" s="92"/>
      <c r="CW12" s="92"/>
      <c r="CX12" s="93"/>
      <c r="CY12" s="91" t="str">
        <f>Montagem!CW63</f>
        <v/>
      </c>
      <c r="DH12" s="66"/>
      <c r="DI12" s="92"/>
      <c r="DJ12" s="92"/>
      <c r="DK12" s="92"/>
      <c r="DL12" s="92"/>
      <c r="DM12" s="92"/>
      <c r="DN12" s="92"/>
      <c r="DO12" s="93"/>
      <c r="DP12" s="95" t="s">
        <v>27</v>
      </c>
      <c r="DQ12" s="94">
        <f>IF(DQ18=0,0,DQ11/DQ18)</f>
        <v>73.26693287</v>
      </c>
      <c r="DR12" s="94"/>
      <c r="DS12" s="94"/>
      <c r="DT12" s="94"/>
      <c r="DU12" s="94"/>
      <c r="DV12" s="94"/>
      <c r="DW12" s="94"/>
      <c r="DX12" s="94"/>
      <c r="DY12" s="94"/>
    </row>
    <row r="13">
      <c r="A13" s="91" t="str">
        <f>IFS(L2=4,"Semana de Adaptação",L2=2,"Semana Ordinária",L2=0,"Semana de Choque")</f>
        <v>Semana Ordinária</v>
      </c>
      <c r="J13" s="66"/>
      <c r="K13" s="92"/>
      <c r="L13" s="92"/>
      <c r="M13" s="92"/>
      <c r="N13" s="92"/>
      <c r="O13" s="92"/>
      <c r="P13" s="92"/>
      <c r="Q13" s="93"/>
      <c r="R13" s="91" t="str">
        <f>IFS(L2=4,"Semana de Adaptação",L2=2,"Semana Ordinária",L2=0,"Semana de Choque")</f>
        <v>Semana Ordinária</v>
      </c>
      <c r="AA13" s="66"/>
      <c r="AB13" s="92"/>
      <c r="AC13" s="92"/>
      <c r="AD13" s="92"/>
      <c r="AE13" s="92"/>
      <c r="AF13" s="92"/>
      <c r="AG13" s="92"/>
      <c r="AH13" s="93"/>
      <c r="AI13" s="91" t="str">
        <f>IFS(L2=4,"Semana de Adaptação",L2=2,"Semana Ordinária",L2=0,"Semana de Choque")</f>
        <v>Semana Ordinária</v>
      </c>
      <c r="AR13" s="66"/>
      <c r="AS13" s="92"/>
      <c r="AT13" s="92"/>
      <c r="AU13" s="92"/>
      <c r="AV13" s="92"/>
      <c r="AW13" s="92"/>
      <c r="AX13" s="92"/>
      <c r="AY13" s="93"/>
      <c r="AZ13" s="91" t="str">
        <f>IFS(L2=4,"Semana de Adaptação",L2=2,"Semana Ordinária",L2=0,"Semana de Choque")</f>
        <v>Semana Ordinária</v>
      </c>
      <c r="BI13" s="66"/>
      <c r="BJ13" s="92"/>
      <c r="BK13" s="92"/>
      <c r="BL13" s="92"/>
      <c r="BM13" s="92"/>
      <c r="BN13" s="92"/>
      <c r="BO13" s="92"/>
      <c r="BP13" s="93"/>
      <c r="BQ13" s="91" t="str">
        <f>IFS(L2=4,"Semana de Adaptação",L2=2,"Semana Ordinária",L2=0,"Semana de Choque")</f>
        <v>Semana Ordinária</v>
      </c>
      <c r="BZ13" s="66"/>
      <c r="CA13" s="92"/>
      <c r="CB13" s="92"/>
      <c r="CC13" s="92"/>
      <c r="CD13" s="92"/>
      <c r="CE13" s="92"/>
      <c r="CF13" s="92"/>
      <c r="CG13" s="93"/>
      <c r="CH13" s="91" t="str">
        <f>IFS(L2=4,"Semana de Adaptação",L2=2,"Semana Ordinária",L2=0,"Semana de Choque")</f>
        <v>Semana Ordinária</v>
      </c>
      <c r="CQ13" s="66"/>
      <c r="CR13" s="92"/>
      <c r="CS13" s="92"/>
      <c r="CT13" s="92"/>
      <c r="CU13" s="92"/>
      <c r="CV13" s="92"/>
      <c r="CW13" s="92"/>
      <c r="CX13" s="93"/>
      <c r="CY13" s="91" t="str">
        <f>IFS(L2=4,"Semana de Adaptação",L2=2,"Semana Ordinária",L2=0,"Semana de Choque")</f>
        <v>Semana Ordinária</v>
      </c>
      <c r="DH13" s="66"/>
      <c r="DI13" s="92"/>
      <c r="DJ13" s="92"/>
      <c r="DK13" s="92"/>
      <c r="DL13" s="92"/>
      <c r="DM13" s="92"/>
      <c r="DN13" s="92"/>
      <c r="DO13" s="93"/>
      <c r="DP13" s="95" t="s">
        <v>28</v>
      </c>
      <c r="DQ13" s="94">
        <f>DQ11/7</f>
        <v>31.40011409</v>
      </c>
      <c r="DR13" s="94"/>
      <c r="DS13" s="94"/>
      <c r="DT13" s="94"/>
      <c r="DU13" s="94"/>
      <c r="DV13" s="94"/>
      <c r="DW13" s="94"/>
      <c r="DX13" s="94"/>
      <c r="DY13" s="94"/>
    </row>
    <row r="14">
      <c r="A14" s="90" t="s">
        <v>29</v>
      </c>
      <c r="J14" s="66"/>
      <c r="K14" s="57"/>
      <c r="L14" s="57"/>
      <c r="M14" s="57"/>
      <c r="N14" s="57"/>
      <c r="O14" s="57"/>
      <c r="P14" s="57"/>
      <c r="Q14" s="58"/>
      <c r="R14" s="90" t="s">
        <v>29</v>
      </c>
      <c r="AA14" s="66"/>
      <c r="AB14" s="57"/>
      <c r="AC14" s="57"/>
      <c r="AD14" s="57"/>
      <c r="AE14" s="57"/>
      <c r="AF14" s="57"/>
      <c r="AG14" s="57"/>
      <c r="AH14" s="58"/>
      <c r="AI14" s="90" t="s">
        <v>29</v>
      </c>
      <c r="AR14" s="66"/>
      <c r="AS14" s="57"/>
      <c r="AT14" s="57"/>
      <c r="AU14" s="57"/>
      <c r="AV14" s="57"/>
      <c r="AW14" s="57"/>
      <c r="AX14" s="57"/>
      <c r="AY14" s="58"/>
      <c r="AZ14" s="90" t="s">
        <v>29</v>
      </c>
      <c r="BI14" s="66"/>
      <c r="BJ14" s="57"/>
      <c r="BK14" s="57"/>
      <c r="BL14" s="57"/>
      <c r="BM14" s="57"/>
      <c r="BN14" s="57"/>
      <c r="BO14" s="57"/>
      <c r="BP14" s="58"/>
      <c r="BQ14" s="90" t="s">
        <v>29</v>
      </c>
      <c r="BZ14" s="66"/>
      <c r="CA14" s="57"/>
      <c r="CB14" s="57"/>
      <c r="CC14" s="57"/>
      <c r="CD14" s="57"/>
      <c r="CE14" s="57"/>
      <c r="CF14" s="57"/>
      <c r="CG14" s="58"/>
      <c r="CH14" s="90" t="s">
        <v>29</v>
      </c>
      <c r="CQ14" s="66"/>
      <c r="CR14" s="57"/>
      <c r="CS14" s="57"/>
      <c r="CT14" s="57"/>
      <c r="CU14" s="57"/>
      <c r="CV14" s="57"/>
      <c r="CW14" s="57"/>
      <c r="CX14" s="58"/>
      <c r="CY14" s="90" t="s">
        <v>29</v>
      </c>
      <c r="DH14" s="66"/>
      <c r="DI14" s="57"/>
      <c r="DJ14" s="57"/>
      <c r="DK14" s="57"/>
      <c r="DL14" s="57"/>
      <c r="DM14" s="57"/>
      <c r="DN14" s="57"/>
      <c r="DO14" s="58"/>
      <c r="DP14" s="73" t="s">
        <v>30</v>
      </c>
      <c r="DQ14" s="56">
        <f>STDEVPA(D90,U90,AL90,BC90,BT90,CK90,DB90)</f>
        <v>47.60170386</v>
      </c>
      <c r="DR14" s="56"/>
      <c r="DS14" s="56"/>
      <c r="DT14" s="56"/>
      <c r="DU14" s="56"/>
      <c r="DV14" s="56"/>
      <c r="DW14" s="56"/>
      <c r="DX14" s="56"/>
      <c r="DY14" s="56"/>
    </row>
    <row r="15">
      <c r="A15" s="96" t="s">
        <v>31</v>
      </c>
      <c r="D15" s="97" t="s">
        <v>32</v>
      </c>
      <c r="E15" s="98" t="s">
        <v>33</v>
      </c>
      <c r="F15" s="98" t="s">
        <v>34</v>
      </c>
      <c r="G15" s="98" t="s">
        <v>35</v>
      </c>
      <c r="H15" s="98" t="s">
        <v>36</v>
      </c>
      <c r="I15" s="98" t="s">
        <v>37</v>
      </c>
      <c r="J15" s="99" t="s">
        <v>38</v>
      </c>
      <c r="K15" s="100"/>
      <c r="L15" s="100"/>
      <c r="M15" s="100"/>
      <c r="N15" s="100"/>
      <c r="O15" s="100"/>
      <c r="P15" s="100"/>
      <c r="Q15" s="101"/>
      <c r="R15" s="96" t="s">
        <v>31</v>
      </c>
      <c r="U15" s="97" t="s">
        <v>32</v>
      </c>
      <c r="V15" s="98" t="s">
        <v>33</v>
      </c>
      <c r="W15" s="98" t="s">
        <v>34</v>
      </c>
      <c r="X15" s="98" t="s">
        <v>35</v>
      </c>
      <c r="Y15" s="98" t="s">
        <v>36</v>
      </c>
      <c r="Z15" s="98" t="s">
        <v>37</v>
      </c>
      <c r="AA15" s="99" t="s">
        <v>38</v>
      </c>
      <c r="AB15" s="100"/>
      <c r="AC15" s="100"/>
      <c r="AD15" s="100"/>
      <c r="AE15" s="100"/>
      <c r="AF15" s="100"/>
      <c r="AG15" s="100"/>
      <c r="AH15" s="101"/>
      <c r="AI15" s="96" t="s">
        <v>31</v>
      </c>
      <c r="AL15" s="97" t="s">
        <v>32</v>
      </c>
      <c r="AM15" s="98" t="s">
        <v>33</v>
      </c>
      <c r="AN15" s="98" t="s">
        <v>34</v>
      </c>
      <c r="AO15" s="98" t="s">
        <v>35</v>
      </c>
      <c r="AP15" s="98" t="s">
        <v>36</v>
      </c>
      <c r="AQ15" s="98" t="s">
        <v>37</v>
      </c>
      <c r="AR15" s="99" t="s">
        <v>38</v>
      </c>
      <c r="AS15" s="100"/>
      <c r="AT15" s="100"/>
      <c r="AU15" s="100"/>
      <c r="AV15" s="100"/>
      <c r="AW15" s="100"/>
      <c r="AX15" s="100"/>
      <c r="AY15" s="101"/>
      <c r="AZ15" s="96" t="s">
        <v>31</v>
      </c>
      <c r="BC15" s="97" t="s">
        <v>32</v>
      </c>
      <c r="BD15" s="98" t="s">
        <v>33</v>
      </c>
      <c r="BE15" s="98" t="s">
        <v>34</v>
      </c>
      <c r="BF15" s="98" t="s">
        <v>35</v>
      </c>
      <c r="BG15" s="98" t="s">
        <v>36</v>
      </c>
      <c r="BH15" s="98" t="s">
        <v>37</v>
      </c>
      <c r="BI15" s="99" t="s">
        <v>38</v>
      </c>
      <c r="BJ15" s="100"/>
      <c r="BK15" s="100"/>
      <c r="BL15" s="100"/>
      <c r="BM15" s="100"/>
      <c r="BN15" s="100"/>
      <c r="BO15" s="100"/>
      <c r="BP15" s="101"/>
      <c r="BQ15" s="96" t="s">
        <v>31</v>
      </c>
      <c r="BT15" s="97" t="s">
        <v>32</v>
      </c>
      <c r="BU15" s="98" t="s">
        <v>33</v>
      </c>
      <c r="BV15" s="98" t="s">
        <v>34</v>
      </c>
      <c r="BW15" s="98" t="s">
        <v>35</v>
      </c>
      <c r="BX15" s="98" t="s">
        <v>36</v>
      </c>
      <c r="BY15" s="98" t="s">
        <v>37</v>
      </c>
      <c r="BZ15" s="99" t="s">
        <v>38</v>
      </c>
      <c r="CA15" s="100"/>
      <c r="CB15" s="100"/>
      <c r="CC15" s="100"/>
      <c r="CD15" s="100"/>
      <c r="CE15" s="100"/>
      <c r="CF15" s="100"/>
      <c r="CG15" s="101"/>
      <c r="CH15" s="96" t="s">
        <v>31</v>
      </c>
      <c r="CK15" s="97" t="s">
        <v>32</v>
      </c>
      <c r="CL15" s="98" t="s">
        <v>33</v>
      </c>
      <c r="CM15" s="98" t="s">
        <v>34</v>
      </c>
      <c r="CN15" s="98" t="s">
        <v>35</v>
      </c>
      <c r="CO15" s="98" t="s">
        <v>36</v>
      </c>
      <c r="CP15" s="98" t="s">
        <v>37</v>
      </c>
      <c r="CQ15" s="99" t="s">
        <v>38</v>
      </c>
      <c r="CR15" s="100"/>
      <c r="CS15" s="100"/>
      <c r="CT15" s="100"/>
      <c r="CU15" s="100"/>
      <c r="CV15" s="100"/>
      <c r="CW15" s="100"/>
      <c r="CX15" s="101"/>
      <c r="CY15" s="96" t="s">
        <v>31</v>
      </c>
      <c r="DB15" s="97" t="s">
        <v>32</v>
      </c>
      <c r="DC15" s="98" t="s">
        <v>33</v>
      </c>
      <c r="DD15" s="98" t="s">
        <v>34</v>
      </c>
      <c r="DE15" s="98" t="s">
        <v>35</v>
      </c>
      <c r="DF15" s="98" t="s">
        <v>36</v>
      </c>
      <c r="DG15" s="98" t="s">
        <v>37</v>
      </c>
      <c r="DH15" s="99" t="s">
        <v>38</v>
      </c>
      <c r="DI15" s="100"/>
      <c r="DJ15" s="100"/>
      <c r="DK15" s="100"/>
      <c r="DL15" s="100"/>
      <c r="DM15" s="100"/>
      <c r="DN15" s="100"/>
      <c r="DO15" s="101"/>
      <c r="DP15" s="73" t="s">
        <v>39</v>
      </c>
      <c r="DQ15" s="56">
        <f>IF(ISERR(AVERAGE(K4,AB4,AS4,BJ4,CA4,CR4,DI4)),0,AVERAGE(K4,AB4,AS4,BJ4,CA4,CR4,DI4))</f>
        <v>10</v>
      </c>
      <c r="DR15" s="56"/>
      <c r="DS15" s="56"/>
      <c r="DT15" s="56"/>
      <c r="DU15" s="56"/>
      <c r="DV15" s="56"/>
      <c r="DW15" s="56"/>
      <c r="DX15" s="56"/>
      <c r="DY15" s="56"/>
    </row>
    <row r="16">
      <c r="A16" s="102" t="str">
        <f>IF(M16="","",HYPERLINK(OFFSET(Biblioteca!$B$2,MATCH(M16,Biblioteca!$A$3:$A$200,0),0),M16))</f>
        <v>Mobilidade Torácica na Parede</v>
      </c>
      <c r="D16" s="103" t="str">
        <f>Montagem!Q66</f>
        <v>Seriado</v>
      </c>
      <c r="E16" s="104">
        <f>Montagem!R66</f>
        <v>2</v>
      </c>
      <c r="F16" s="104">
        <f>Montagem!S66</f>
        <v>10</v>
      </c>
      <c r="G16" s="104">
        <f>Montagem!T66</f>
        <v>10</v>
      </c>
      <c r="H16" s="104">
        <f>Montagem!U66</f>
        <v>1</v>
      </c>
      <c r="I16" s="104">
        <f>Montagem!V66</f>
        <v>1</v>
      </c>
      <c r="J16" s="105">
        <v>10.0</v>
      </c>
      <c r="K16" s="106">
        <f>Montagem!K66</f>
        <v>1</v>
      </c>
      <c r="L16" s="106">
        <f>Montagem!W66</f>
        <v>0</v>
      </c>
      <c r="M16" s="106" t="str">
        <f>Montagem!L66</f>
        <v>Mobilidade Torácica na Parede</v>
      </c>
      <c r="N16" s="106" t="str">
        <f>Montagem!X66</f>
        <v/>
      </c>
      <c r="O16" s="106">
        <f>IF(N16="",L16,N16)</f>
        <v>0</v>
      </c>
      <c r="P16" s="106">
        <f>IF(L17="C",'Dados de Base'!$D$5*0.1,IF(L17="E",5,IF(J16="",O16,J16)))</f>
        <v>6.3</v>
      </c>
      <c r="Q16" s="108"/>
      <c r="R16" s="102" t="str">
        <f>IF(AD16="","",HYPERLINK(OFFSET(Biblioteca!$B$2,MATCH(AD16,Biblioteca!$A$3:$A$200,0),0),AD16))</f>
        <v>Mobilidade de Quadril em S</v>
      </c>
      <c r="U16" s="109" t="str">
        <f>Montagem!AF66</f>
        <v>Seriado</v>
      </c>
      <c r="V16" s="110">
        <f>Montagem!AG66</f>
        <v>2</v>
      </c>
      <c r="W16" s="110">
        <f>Montagem!AH66</f>
        <v>10</v>
      </c>
      <c r="X16" s="110">
        <f>Montagem!AI66</f>
        <v>10</v>
      </c>
      <c r="Y16" s="110">
        <f>Montagem!AJ66</f>
        <v>1</v>
      </c>
      <c r="Z16" s="110">
        <f>Montagem!AK66</f>
        <v>1</v>
      </c>
      <c r="AA16" s="105">
        <v>10.0</v>
      </c>
      <c r="AB16" s="111">
        <f>Montagem!Z66</f>
        <v>1</v>
      </c>
      <c r="AC16" s="106">
        <f>Montagem!AL66</f>
        <v>0</v>
      </c>
      <c r="AD16" s="111" t="str">
        <f>Montagem!AA66</f>
        <v>Mobilidade de Quadril em S</v>
      </c>
      <c r="AE16" s="111" t="str">
        <f>Montagem!AM66</f>
        <v/>
      </c>
      <c r="AF16" s="106">
        <f>IF(AE16="",AC16,AE16)</f>
        <v>0</v>
      </c>
      <c r="AG16" s="106">
        <f>IF(AC17="C",'Dados de Base'!$D$5*0.1,IF(AC17="E",5,IF(AA16="",AF16,AA16)))</f>
        <v>6.3</v>
      </c>
      <c r="AH16" s="108"/>
      <c r="AI16" s="102" t="str">
        <f>IF(AU16="","",HYPERLINK(OFFSET(Biblioteca!$B$2,MATCH(AU16,Biblioteca!$A$3:$A$200,0),0),AU16))</f>
        <v>Mobilidade de Quadril - Cócoras</v>
      </c>
      <c r="AL16" s="109" t="str">
        <f>Montagem!AU66</f>
        <v>Seriado</v>
      </c>
      <c r="AM16" s="110">
        <f>Montagem!AV66</f>
        <v>2</v>
      </c>
      <c r="AN16" s="110">
        <f>Montagem!AW66</f>
        <v>10</v>
      </c>
      <c r="AO16" s="110">
        <f>Montagem!AX66</f>
        <v>10</v>
      </c>
      <c r="AP16" s="110">
        <f>Montagem!AY66</f>
        <v>1</v>
      </c>
      <c r="AQ16" s="110">
        <f>Montagem!AZ66</f>
        <v>1</v>
      </c>
      <c r="AR16" s="105">
        <v>10.0</v>
      </c>
      <c r="AS16" s="111">
        <f>Montagem!AO66</f>
        <v>1</v>
      </c>
      <c r="AT16" s="106">
        <f>Montagem!BA66</f>
        <v>0</v>
      </c>
      <c r="AU16" s="111" t="str">
        <f>Montagem!AP66</f>
        <v>Mobilidade de Quadril - Cócoras</v>
      </c>
      <c r="AV16" s="111" t="str">
        <f>Montagem!BB66</f>
        <v/>
      </c>
      <c r="AW16" s="106">
        <f>IF(AV16="",AT16,AV16)</f>
        <v>0</v>
      </c>
      <c r="AX16" s="106">
        <f>IF(AT17="C",'Dados de Base'!$D$5*0.1,IF(AT17="E",5,IF(AR16="",AW16,AR16)))</f>
        <v>6.3</v>
      </c>
      <c r="AY16" s="108"/>
      <c r="AZ16" s="102" t="str">
        <f>IF(BL16="","",HYPERLINK(OFFSET(Biblioteca!$B$2,MATCH(BL16,Biblioteca!$A$3:$A$200,0),0),BL16))</f>
        <v>Mobilidade de Quadril - Iliopsoas</v>
      </c>
      <c r="BC16" s="109" t="str">
        <f>Montagem!BJ66</f>
        <v>Seriado</v>
      </c>
      <c r="BD16" s="110">
        <f>Montagem!BK66</f>
        <v>2</v>
      </c>
      <c r="BE16" s="110">
        <f>Montagem!BL66</f>
        <v>10</v>
      </c>
      <c r="BF16" s="110">
        <f>Montagem!BM66</f>
        <v>10</v>
      </c>
      <c r="BG16" s="110">
        <f>Montagem!BN66</f>
        <v>1</v>
      </c>
      <c r="BH16" s="110">
        <f>Montagem!BO66</f>
        <v>2</v>
      </c>
      <c r="BI16" s="112">
        <v>10.0</v>
      </c>
      <c r="BJ16" s="111">
        <f>Montagem!BD66</f>
        <v>1</v>
      </c>
      <c r="BK16" s="106">
        <f>Montagem!BP66</f>
        <v>0</v>
      </c>
      <c r="BL16" s="111" t="str">
        <f>Montagem!BE66</f>
        <v>Mobilidade de Quadril - Iliopsoas</v>
      </c>
      <c r="BM16" s="111" t="str">
        <f>Montagem!BQ66</f>
        <v/>
      </c>
      <c r="BN16" s="106">
        <f>IF(BM16="",BK16,BM16)</f>
        <v>0</v>
      </c>
      <c r="BO16" s="106">
        <f>IF(BK17="C",'Dados de Base'!$D$5*0.1,IF(BK17="E",5,IF(BI16="",BN16,BI16)))</f>
        <v>6.3</v>
      </c>
      <c r="BP16" s="108"/>
      <c r="BQ16" s="102" t="str">
        <f>IF(CC16="","",HYPERLINK(OFFSET(Biblioteca!$B$2,MATCH(CC16,Biblioteca!$A$3:$A$200,0),0),CC16))</f>
        <v>Mobilidade Torácica na Parede</v>
      </c>
      <c r="BT16" s="109" t="str">
        <f>Montagem!BY66</f>
        <v>Seriado</v>
      </c>
      <c r="BU16" s="109">
        <f>Montagem!BZ66</f>
        <v>2</v>
      </c>
      <c r="BV16" s="109">
        <f>Montagem!CA66</f>
        <v>10</v>
      </c>
      <c r="BW16" s="109">
        <f>Montagem!CB66</f>
        <v>10</v>
      </c>
      <c r="BX16" s="109">
        <f>Montagem!CC66</f>
        <v>1</v>
      </c>
      <c r="BY16" s="109">
        <f>Montagem!CD66</f>
        <v>2</v>
      </c>
      <c r="BZ16" s="113">
        <v>10.0</v>
      </c>
      <c r="CA16" s="111">
        <f>Montagem!BS66</f>
        <v>1</v>
      </c>
      <c r="CB16" s="106">
        <f>Montagem!CE66</f>
        <v>0</v>
      </c>
      <c r="CC16" s="111" t="str">
        <f>Montagem!BT66</f>
        <v>Mobilidade Torácica na Parede</v>
      </c>
      <c r="CD16" s="111" t="str">
        <f>Montagem!CF66</f>
        <v/>
      </c>
      <c r="CE16" s="106">
        <f>IF(CD16="",CB16,CD16)</f>
        <v>0</v>
      </c>
      <c r="CF16" s="106">
        <f>IF(CB17="C",'Dados de Base'!$D$5*0.1,IF(CB17="E",5,IF(BZ16="",CE16,BZ16)))</f>
        <v>6.3</v>
      </c>
      <c r="CG16" s="108"/>
      <c r="CH16" s="102" t="str">
        <f>IF(CT16="","",HYPERLINK(OFFSET(Biblioteca!$B$2,MATCH(CT16,Biblioteca!$A$3:$A$200,0),0),CT16))</f>
        <v>Mobilidade de Quadril - Cócoras</v>
      </c>
      <c r="CK16" s="109" t="str">
        <f>Montagem!CN66</f>
        <v>Seriado</v>
      </c>
      <c r="CL16" s="110">
        <f>Montagem!CO66</f>
        <v>2</v>
      </c>
      <c r="CM16" s="110">
        <f>Montagem!CP66</f>
        <v>10</v>
      </c>
      <c r="CN16" s="110">
        <f>Montagem!CQ66</f>
        <v>10</v>
      </c>
      <c r="CO16" s="110">
        <f>Montagem!CR66</f>
        <v>1</v>
      </c>
      <c r="CP16" s="110">
        <f>Montagem!CS66</f>
        <v>1</v>
      </c>
      <c r="CQ16" s="113"/>
      <c r="CR16" s="111">
        <f>Montagem!CH66</f>
        <v>1</v>
      </c>
      <c r="CS16" s="106">
        <f>Montagem!CT66</f>
        <v>0</v>
      </c>
      <c r="CT16" s="111" t="str">
        <f>Montagem!CI66</f>
        <v>Mobilidade de Quadril - Cócoras</v>
      </c>
      <c r="CU16" s="111" t="str">
        <f>Montagem!CU66</f>
        <v/>
      </c>
      <c r="CV16" s="106">
        <f>IF(CU16="",CS16,CU16)</f>
        <v>0</v>
      </c>
      <c r="CW16" s="106">
        <f>IF(CS17="C",'Dados de Base'!$D$5*0.1,IF(CS17="E",5,IF(CQ16="",CV16,CQ16)))</f>
        <v>6.3</v>
      </c>
      <c r="CX16" s="108"/>
      <c r="CY16" s="115" t="str">
        <f>IF(DK16="","",HYPERLINK(OFFSET(Biblioteca!$B$2,MATCH(DK16,Biblioteca!$A$3:$A$200,0),0),DK16))</f>
        <v/>
      </c>
      <c r="DB16" s="109" t="str">
        <f>Montagem!DC66</f>
        <v/>
      </c>
      <c r="DC16" s="110" t="str">
        <f>Montagem!DD66</f>
        <v/>
      </c>
      <c r="DD16" s="110" t="str">
        <f>Montagem!DE66</f>
        <v/>
      </c>
      <c r="DE16" s="110" t="str">
        <f>Montagem!DF66</f>
        <v/>
      </c>
      <c r="DF16" s="110" t="str">
        <f>Montagem!DG66</f>
        <v/>
      </c>
      <c r="DG16" s="110" t="str">
        <f>Montagem!DH66</f>
        <v/>
      </c>
      <c r="DH16" s="114"/>
      <c r="DI16" s="111">
        <f>Montagem!CW66</f>
        <v>1</v>
      </c>
      <c r="DJ16" s="106" t="str">
        <f>Montagem!DI66</f>
        <v/>
      </c>
      <c r="DK16" s="111" t="str">
        <f>Montagem!CX66</f>
        <v/>
      </c>
      <c r="DL16" s="111" t="str">
        <f>Montagem!DJ66</f>
        <v/>
      </c>
      <c r="DM16" s="106" t="str">
        <f>IF(DL16="",DJ16,DL16)</f>
        <v/>
      </c>
      <c r="DN16" s="106" t="str">
        <f>IF(DJ17="C",'Dados de Base'!$D$5*0.1,IF(DJ17="E",5,IF(DH16="",DM16,DH16)))</f>
        <v/>
      </c>
      <c r="DO16" s="108"/>
      <c r="DP16" s="116" t="s">
        <v>40</v>
      </c>
      <c r="DQ16" s="106">
        <f>IF(DQ18=0,0,(L80+AC80+AT80+BK80+CB80+CS80+DJ80)/DQ18)</f>
        <v>3</v>
      </c>
      <c r="DR16" s="106"/>
      <c r="DS16" s="106"/>
      <c r="DT16" s="106"/>
      <c r="DU16" s="106"/>
      <c r="DV16" s="106"/>
      <c r="DW16" s="106"/>
      <c r="DX16" s="106"/>
      <c r="DY16" s="106"/>
    </row>
    <row r="17">
      <c r="A17" s="117" t="str">
        <f>IF(A16="","",IFS(L17="A",Montagem!$C$30,N17="T","Realizar a maior quantidade de repetições por "&amp;F16&amp;" segundos | ",N17="I",IF(M17="U","Manter a posição por "&amp;F16&amp;" segundos de um lado e trocar para o outro na sequência | ","Manter a posição por "&amp;F16&amp;" segundos | "),M17="A","Realizar alternadamente "&amp;F16&amp;" repetições cada lado | ",M17="U","Realizar "&amp;F16&amp;" repetições de um lado e trocar para o outro na sequência | ",L17="P",OFFSET(Biblioteca!$H$2,MATCH(M16,Biblioteca!$A$3:$A$200,0),0),TRUE,""))</f>
        <v>Realizar 10 repetições de um lado e trocar para o outro na sequência | </v>
      </c>
      <c r="E17" s="118" t="str">
        <f>IF(A16="","",IFS(L17="H","Carga Sugerida: "&amp;ROUNDUP(O16/2,0)&amp;" kg de cada lado (Total: "&amp;ROUNDUP(O16/2,0)*2&amp;" kg)",L17="C","Este exercício usa o Peso Corporal como carga",L17="E","Este exercício usa a resistência da banda elástica como carga",L17="O","Carga Sugerida: "&amp;INT(O16)&amp;" kg",TRUE,""))</f>
        <v>Este exercício usa o Peso Corporal como carga</v>
      </c>
      <c r="J17" s="66"/>
      <c r="K17" s="119">
        <f>K16</f>
        <v>1</v>
      </c>
      <c r="L17" s="120" t="str">
        <f>LEFT(O17)</f>
        <v>C</v>
      </c>
      <c r="M17" s="121" t="str">
        <f>MID(O17,2,1)</f>
        <v>U</v>
      </c>
      <c r="N17" s="122" t="str">
        <f>RIGHT(O17)</f>
        <v>R</v>
      </c>
      <c r="O17" s="123" t="str">
        <f>IF(M16="","",OFFSET(Biblioteca!$I$2,MATCH(M16,Biblioteca!$A$3:$A$200,0),0))</f>
        <v>CUR</v>
      </c>
      <c r="P17" s="124"/>
      <c r="Q17" s="125"/>
      <c r="R17" s="117" t="str">
        <f>IF(R16="","",IFS(AC17="A",Montagem!$D$80,AE17="T","Realizar a maior quantidade de repetições por "&amp;W16&amp;" segundos | ",AE17="I",IF(AD17="U","Manter a posição por "&amp;W16&amp;" segundos de um lado e trocar para o outro na sequência | ","Manter a posição por "&amp;W16&amp;" segundos | "),AD17="A","Realizar alternadamente "&amp;W16&amp;" repetições cada lado | ",AD17="U","Realizar "&amp;W16&amp;" repetições de um lado e trocar para o outro na sequência | ",AC17="P",OFFSET(Biblioteca!$H$2,MATCH(AD16,Biblioteca!$A$3:$A$200,0),0),TRUE,""))</f>
        <v>Realizar 10 repetições de um lado e trocar para o outro na sequência | </v>
      </c>
      <c r="V17" s="118" t="str">
        <f>IF(R16="","",IFS(AC17="H","Carga Sugerida: "&amp;ROUNDUP(AF16/2,0)&amp;" kg de cada lado (Total: "&amp;ROUNDUP(AF16/2,0)*2&amp;" kg)",AC17="C","Este exercício usa o Peso Corporal como carga",AC17="E","Este exercício usa a resistência da banda elástica como carga",AC17="O","Carga Sugerida: "&amp;INT(AF16)&amp;" kg",TRUE,""))</f>
        <v>Este exercício usa o Peso Corporal como carga</v>
      </c>
      <c r="AA17" s="66"/>
      <c r="AB17" s="126">
        <f>AB16</f>
        <v>1</v>
      </c>
      <c r="AC17" s="120" t="str">
        <f>LEFT(AF17)</f>
        <v>C</v>
      </c>
      <c r="AD17" s="121" t="str">
        <f>MID(AF17,2,1)</f>
        <v>U</v>
      </c>
      <c r="AE17" s="122" t="str">
        <f>RIGHT(AF17)</f>
        <v>R</v>
      </c>
      <c r="AF17" s="123" t="str">
        <f>IF(AD16="","",OFFSET(Biblioteca!$I$2,MATCH(AD16,Biblioteca!$A$3:$A$200,0),0))</f>
        <v>CUR</v>
      </c>
      <c r="AG17" s="124"/>
      <c r="AH17" s="125"/>
      <c r="AI17" s="117" t="str">
        <f>IF(AI16="","",IFS(AT17="A",Montagem!$E$80,AV17="T","Realizar a maior quantidade de repetições por "&amp;AN16&amp;" segundos | ",AV17="I",IF(AU17="U","Manter a posição por "&amp;AN16&amp;" segundos de um lado e trocar para o outro na sequência | ","Manter a posição por "&amp;AN16&amp;" segundos | "),AU17="A","Realizar alternadamente "&amp;AN16&amp;" repetições cada lado | ",AU17="U","Realizar "&amp;AN16&amp;" repetições de um lado e trocar para o outro na sequência | ",AT17="P",OFFSET(Biblioteca!$H$2,MATCH(AU16,Biblioteca!$A$3:$A$200,0),0),TRUE,""))</f>
        <v>Manter a posição por 10 segundos | </v>
      </c>
      <c r="AM17" s="118" t="str">
        <f>IF(AI16="","",IFS(AT17="H","Carga Sugerida: "&amp;ROUNDUP(AW16/2,0)&amp;" kg de cada lado (Total: "&amp;ROUNDUP(AW16/2,0)*2&amp;" kg)",AT17="C","Este exercício usa o Peso Corporal como carga",AT17="E","Este exercício usa a resistência da banda elástica como carga",AT17="O","Carga Sugerida: "&amp;INT(AW16)&amp;" kg",TRUE,""))</f>
        <v>Este exercício usa o Peso Corporal como carga</v>
      </c>
      <c r="AR17" s="66"/>
      <c r="AS17" s="126">
        <f>AS16</f>
        <v>1</v>
      </c>
      <c r="AT17" s="120" t="str">
        <f>LEFT(AW17)</f>
        <v>C</v>
      </c>
      <c r="AU17" s="121" t="str">
        <f>MID(AW17,2,1)</f>
        <v>O</v>
      </c>
      <c r="AV17" s="122" t="str">
        <f>RIGHT(AW17)</f>
        <v>I</v>
      </c>
      <c r="AW17" s="123" t="str">
        <f>IF(AU16="","",OFFSET(Biblioteca!$I$2,MATCH(AU16,Biblioteca!$A$3:$A$200,0),0))</f>
        <v>COI</v>
      </c>
      <c r="AX17" s="124"/>
      <c r="AY17" s="125"/>
      <c r="AZ17" s="117" t="str">
        <f>IF(AZ16="","",IFS(BK17="A",Montagem!$F$80,BM17="T","Realizar a maior quantidade de repetições por "&amp;BE16&amp;" segundos | ",BM17="I",IF(BL17="U","Manter a posição por "&amp;BE16&amp;" segundos de um lado e trocar para o outro na sequência | ","Manter a posição por "&amp;BE16&amp;" segundos | "),BL17="A","Realizar alternadamente "&amp;BE16&amp;" repetições cada lado | ",BL17="U","Realizar "&amp;BE16&amp;" repetições de um lado e trocar para o outro na sequência | ",BK17="P",OFFSET(Biblioteca!$H$2,MATCH(BL16,Biblioteca!$A$3:$A$200,0),0),TRUE,""))</f>
        <v/>
      </c>
      <c r="BD17" s="118" t="str">
        <f>IF(AZ16="","",IFS(BK17="H","Carga Sugerida: "&amp;ROUNDUP(BN16/2,0)&amp;" kg de cada lado (Total: "&amp;ROUNDUP(BN16/2,0)*2&amp;" kg)",BK17="C","Este exercício usa o Peso Corporal como carga",BK17="E","Este exercício usa a resistência da banda elástica como carga",BK17="O","Carga Sugerida: "&amp;INT(BN16)&amp;" kg",TRUE,""))</f>
        <v>Este exercício usa o Peso Corporal como carga</v>
      </c>
      <c r="BI17" s="66"/>
      <c r="BJ17" s="126">
        <f>BJ16</f>
        <v>1</v>
      </c>
      <c r="BK17" s="120" t="str">
        <f>LEFT(BN17)</f>
        <v>C</v>
      </c>
      <c r="BL17" s="121" t="str">
        <f>MID(BN17,2,1)</f>
        <v>O</v>
      </c>
      <c r="BM17" s="122" t="str">
        <f>RIGHT(BN17)</f>
        <v>R</v>
      </c>
      <c r="BN17" s="123" t="str">
        <f>IF(BL16="","",OFFSET(Biblioteca!$I$2,MATCH(BL16,Biblioteca!$A$3:$A$200,0),0))</f>
        <v>COR</v>
      </c>
      <c r="BO17" s="124"/>
      <c r="BP17" s="125"/>
      <c r="BQ17" s="117" t="str">
        <f>IF(BQ16="","",IFS(CB17="A",Montagem!$G$80,CD17="T","Realizar a maior quantidade de repetições por "&amp;BV16&amp;" segundos | ",CD17="I",IF(CC17="U","Manter a posição por "&amp;BV16&amp;" segundos de um lado e trocar para o outro na sequência | ","Manter a posição por "&amp;BV16&amp;" segundos | "),CC17="A","Realizar alternadamente "&amp;BV16&amp;" repetições cada lado | ",CC17="U","Realizar "&amp;BV16&amp;" repetições de um lado e trocar para o outro na sequência | ",CB17="P",OFFSET(Biblioteca!$H$2,MATCH(CC16,Biblioteca!$A$3:$A$200,0),0),TRUE,""))</f>
        <v>Realizar 10 repetições de um lado e trocar para o outro na sequência | </v>
      </c>
      <c r="BU17" s="118" t="str">
        <f>IF(BQ16="","",IFS(CB17="H","Carga Sugerida: "&amp;ROUNDUP(CE16/2,0)&amp;" kg de cada lado (Total: "&amp;ROUNDUP(CE16/2,0)*2&amp;" kg)",CB17="C","Este exercício usa o Peso Corporal como carga",CB17="E","Este exercício usa a resistência da banda elástica como carga",CB17="O","Carga Sugerida: "&amp;INT(CE16)&amp;" kg",TRUE,""))</f>
        <v>Este exercício usa o Peso Corporal como carga</v>
      </c>
      <c r="BZ17" s="66"/>
      <c r="CA17" s="126">
        <f>CA16</f>
        <v>1</v>
      </c>
      <c r="CB17" s="120" t="str">
        <f>LEFT(CE17)</f>
        <v>C</v>
      </c>
      <c r="CC17" s="121" t="str">
        <f>MID(CE17,2,1)</f>
        <v>U</v>
      </c>
      <c r="CD17" s="122" t="str">
        <f>RIGHT(CE17)</f>
        <v>R</v>
      </c>
      <c r="CE17" s="123" t="str">
        <f>IF(CC16="","",OFFSET(Biblioteca!$I$2,MATCH(CC16,Biblioteca!$A$3:$A$200,0),0))</f>
        <v>CUR</v>
      </c>
      <c r="CF17" s="124"/>
      <c r="CG17" s="125"/>
      <c r="CH17" s="117" t="str">
        <f>IF(CH16="","",IFS(CS17="A",Montagem!$H$80,CU17="T","Realizar a maior quantidade de repetições por "&amp;CM16&amp;" segundos | ",CU17="I",IF(CT17="U","Manter a posição por "&amp;CM16&amp;" segundos de um lado e trocar para o outro na sequência | ","Manter a posição por "&amp;CM16&amp;" segundos | "),CT17="A","Realizar alternadamente "&amp;CM16&amp;" repetições cada lado | ",CT17="U","Realizar "&amp;CM16&amp;" repetições de um lado e trocar para o outro na sequência | ",CS17="P",OFFSET(Biblioteca!$H$2,MATCH(CT16,Biblioteca!$A$3:$A$200,0),0),TRUE,""))</f>
        <v>Manter a posição por 10 segundos | </v>
      </c>
      <c r="CL17" s="118" t="str">
        <f>IF(CH16="","",IFS(CS17="H","Carga Sugerida: "&amp;ROUNDUP(CV16/2,0)&amp;" kg de cada lado (Total: "&amp;ROUNDUP(CV16/2,0)*2&amp;" kg)",CS17="C","Este exercício usa o Peso Corporal como carga",CS17="E","Este exercício usa a resistência da banda elástica como carga",CS17="O","Carga Sugerida: "&amp;INT(CV16)&amp;" kg",TRUE,""))</f>
        <v>Este exercício usa o Peso Corporal como carga</v>
      </c>
      <c r="CQ17" s="66"/>
      <c r="CR17" s="126">
        <f>CR16</f>
        <v>1</v>
      </c>
      <c r="CS17" s="120" t="str">
        <f>LEFT(CV17)</f>
        <v>C</v>
      </c>
      <c r="CT17" s="121" t="str">
        <f>MID(CV17,2,1)</f>
        <v>O</v>
      </c>
      <c r="CU17" s="122" t="str">
        <f>RIGHT(CV17)</f>
        <v>I</v>
      </c>
      <c r="CV17" s="123" t="str">
        <f>IF(CT16="","",OFFSET(Biblioteca!$I$2,MATCH(CT16,Biblioteca!$A$3:$A$200,0),0))</f>
        <v>COI</v>
      </c>
      <c r="CW17" s="124"/>
      <c r="CX17" s="125"/>
      <c r="CY17" s="117" t="str">
        <f>IF(CY16="","",IFS(DJ17="A",Montagem!$I$80,DL17="T","Realizar a maior quantidade de repetições por "&amp;DD16&amp;" segundos | ",DL17="I",IF(DK17="U","Manter a posição por "&amp;DD16&amp;" segundos de um lado e trocar para o outro na sequência | ","Manter a posição por "&amp;DD16&amp;" segundos | "),DK17="A","Realizar alternadamente "&amp;DD16&amp;" repetições cada lado | ",DK17="U","Realizar "&amp;DD16&amp;" repetições de um lado e trocar para o outro na sequência | ",DJ17="P",OFFSET(Biblioteca!$H$2,MATCH(DK16,Biblioteca!$A$3:$A$200,0),0),TRUE,""))</f>
        <v/>
      </c>
      <c r="DC17" s="118" t="str">
        <f>IF(CY16="","",IFS(DJ17="H","Carga Sugerida: "&amp;ROUNDUP(DM16/2,0)&amp;" kg de cada lado (Total: "&amp;ROUNDUP(DM16/2,0)*2&amp;" kg)",DJ17="C","Este exercício usa o Peso Corporal como carga",DJ17="E","Este exercício usa a resistência da banda elástica como carga",DJ17="O","Carga Sugerida: "&amp;INT(DM16)&amp;" kg",TRUE,""))</f>
        <v/>
      </c>
      <c r="DH17" s="66"/>
      <c r="DI17" s="126">
        <f>DI16</f>
        <v>1</v>
      </c>
      <c r="DJ17" s="120" t="str">
        <f>LEFT(DM17)</f>
        <v/>
      </c>
      <c r="DK17" s="121" t="str">
        <f>MID(DM17,2,1)</f>
        <v/>
      </c>
      <c r="DL17" s="122" t="str">
        <f>RIGHT(DM17)</f>
        <v/>
      </c>
      <c r="DM17" s="123" t="str">
        <f>IF(DK16="","",OFFSET(Biblioteca!$I$2,MATCH(DK16,Biblioteca!$A$3:$A$200,0),0))</f>
        <v/>
      </c>
      <c r="DN17" s="124"/>
      <c r="DO17" s="125"/>
      <c r="DP17" s="73" t="s">
        <v>41</v>
      </c>
      <c r="DQ17" s="56">
        <f>J2</f>
        <v>6</v>
      </c>
      <c r="DR17" s="56"/>
      <c r="DS17" s="56"/>
      <c r="DT17" s="56"/>
      <c r="DU17" s="56"/>
      <c r="DV17" s="56"/>
      <c r="DW17" s="56"/>
      <c r="DX17" s="56"/>
      <c r="DY17" s="56"/>
    </row>
    <row r="18">
      <c r="A18" s="102" t="str">
        <f>IF(M18="","",HYPERLINK(OFFSET(Biblioteca!$B$2,MATCH(M18,Biblioteca!$A$3:$A$200,0),0),M18))</f>
        <v>Mobilidade de Ombro I</v>
      </c>
      <c r="D18" s="103" t="str">
        <f>Montagem!Q67</f>
        <v>Seriado</v>
      </c>
      <c r="E18" s="127">
        <f>Montagem!R67</f>
        <v>2</v>
      </c>
      <c r="F18" s="104">
        <f>Montagem!S67</f>
        <v>10</v>
      </c>
      <c r="G18" s="104">
        <f>Montagem!T67</f>
        <v>10</v>
      </c>
      <c r="H18" s="127">
        <f>Montagem!U67</f>
        <v>1</v>
      </c>
      <c r="I18" s="104">
        <f>Montagem!V67</f>
        <v>1</v>
      </c>
      <c r="J18" s="105">
        <v>10.0</v>
      </c>
      <c r="K18" s="106">
        <f>Montagem!K67</f>
        <v>2</v>
      </c>
      <c r="L18" s="111">
        <f>Montagem!W67</f>
        <v>0</v>
      </c>
      <c r="M18" s="106" t="str">
        <f>Montagem!L67</f>
        <v>Mobilidade de Ombro I</v>
      </c>
      <c r="N18" s="111" t="str">
        <f>Montagem!X67</f>
        <v/>
      </c>
      <c r="O18" s="106">
        <f>IF(N18="",L18,N18)</f>
        <v>0</v>
      </c>
      <c r="P18" s="106">
        <f>IF(L19="C",'Dados de Base'!$D$5*0.1,IF(L19="E",5,IF(J18="",O18,J18)))</f>
        <v>5</v>
      </c>
      <c r="Q18" s="108"/>
      <c r="R18" s="102" t="str">
        <f>IF(AD18="","",HYPERLINK(OFFSET(Biblioteca!$B$2,MATCH(AD18,Biblioteca!$A$3:$A$200,0),0),AD18))</f>
        <v>Mobilidade Posterior de Coxa</v>
      </c>
      <c r="U18" s="109" t="str">
        <f>Montagem!AF67</f>
        <v>Seriado</v>
      </c>
      <c r="V18" s="110">
        <f>Montagem!AG67</f>
        <v>2</v>
      </c>
      <c r="W18" s="110">
        <f>Montagem!AH67</f>
        <v>10</v>
      </c>
      <c r="X18" s="110">
        <f>Montagem!AI67</f>
        <v>10</v>
      </c>
      <c r="Y18" s="110">
        <f>Montagem!AJ67</f>
        <v>1</v>
      </c>
      <c r="Z18" s="110">
        <f>Montagem!AK67</f>
        <v>1</v>
      </c>
      <c r="AA18" s="105">
        <v>10.0</v>
      </c>
      <c r="AB18" s="111">
        <f>Montagem!Z67</f>
        <v>2</v>
      </c>
      <c r="AC18" s="111">
        <f>Montagem!AL67</f>
        <v>0</v>
      </c>
      <c r="AD18" s="129" t="str">
        <f>Montagem!AA67</f>
        <v>Mobilidade Posterior de Coxa</v>
      </c>
      <c r="AE18" s="111" t="str">
        <f>Montagem!AM67</f>
        <v/>
      </c>
      <c r="AF18" s="106">
        <f>IF(AE18="",AC18,AE18)</f>
        <v>0</v>
      </c>
      <c r="AG18" s="106">
        <f>IF(AC19="C",'Dados de Base'!$D$5*0.1,IF(AC19="E",5,IF(AA18="",AF18,AA18)))</f>
        <v>6.3</v>
      </c>
      <c r="AH18" s="108"/>
      <c r="AI18" s="102" t="str">
        <f>IF(AU18="","",HYPERLINK(OFFSET(Biblioteca!$B$2,MATCH(AU18,Biblioteca!$A$3:$A$200,0),0),AU18))</f>
        <v>Mobilidade de tornozelo</v>
      </c>
      <c r="AL18" s="109" t="str">
        <f>Montagem!AU67</f>
        <v>Seriado</v>
      </c>
      <c r="AM18" s="110">
        <f>Montagem!AV67</f>
        <v>2</v>
      </c>
      <c r="AN18" s="110">
        <f>Montagem!AW67</f>
        <v>10</v>
      </c>
      <c r="AO18" s="110">
        <f>Montagem!AX67</f>
        <v>10</v>
      </c>
      <c r="AP18" s="110">
        <f>Montagem!AY67</f>
        <v>1</v>
      </c>
      <c r="AQ18" s="110">
        <f>Montagem!AZ67</f>
        <v>1</v>
      </c>
      <c r="AR18" s="105">
        <v>10.0</v>
      </c>
      <c r="AS18" s="111">
        <f>Montagem!AO67</f>
        <v>2</v>
      </c>
      <c r="AT18" s="111">
        <f>Montagem!BA67</f>
        <v>0</v>
      </c>
      <c r="AU18" s="111" t="str">
        <f>Montagem!AP67</f>
        <v>Mobilidade de tornozelo</v>
      </c>
      <c r="AV18" s="111" t="str">
        <f>Montagem!BB67</f>
        <v/>
      </c>
      <c r="AW18" s="106">
        <f>IF(AV18="",AT18,AV18)</f>
        <v>0</v>
      </c>
      <c r="AX18" s="106">
        <f>IF(AT19="C",'Dados de Base'!$D$5*0.1,IF(AT19="E",5,IF(AR18="",AW18,AR18)))</f>
        <v>6.3</v>
      </c>
      <c r="AY18" s="108"/>
      <c r="AZ18" s="102" t="str">
        <f>IF(BL18="","",HYPERLINK(OFFSET(Biblioteca!$B$2,MATCH(BL18,Biblioteca!$A$3:$A$200,0),0),BL18))</f>
        <v>Rotação Externa com Elástico</v>
      </c>
      <c r="BC18" s="109" t="str">
        <f>Montagem!BJ67</f>
        <v>Seriado</v>
      </c>
      <c r="BD18" s="110">
        <f>Montagem!BK67</f>
        <v>2</v>
      </c>
      <c r="BE18" s="110">
        <f>Montagem!BL67</f>
        <v>10</v>
      </c>
      <c r="BF18" s="110">
        <f>Montagem!BM67</f>
        <v>10</v>
      </c>
      <c r="BG18" s="110">
        <f>Montagem!BN67</f>
        <v>1</v>
      </c>
      <c r="BH18" s="110">
        <f>Montagem!BO67</f>
        <v>2</v>
      </c>
      <c r="BI18" s="112">
        <v>10.0</v>
      </c>
      <c r="BJ18" s="111">
        <f>Montagem!BD67</f>
        <v>2</v>
      </c>
      <c r="BK18" s="111">
        <f>Montagem!BP67</f>
        <v>0</v>
      </c>
      <c r="BL18" s="111" t="str">
        <f>Montagem!BE67</f>
        <v>Rotação Externa com Elástico</v>
      </c>
      <c r="BM18" s="111" t="str">
        <f>Montagem!BQ67</f>
        <v/>
      </c>
      <c r="BN18" s="106">
        <f>IF(BM18="",BK18,BM18)</f>
        <v>0</v>
      </c>
      <c r="BO18" s="106">
        <f>IF(BK19="C",'Dados de Base'!$D$5*0.1,IF(BK19="E",5,IF(BI18="",BN18,BI18)))</f>
        <v>5</v>
      </c>
      <c r="BP18" s="108"/>
      <c r="BQ18" s="102" t="str">
        <f>IF(CC18="","",HYPERLINK(OFFSET(Biblioteca!$B$2,MATCH(CC18,Biblioteca!$A$3:$A$200,0),0),CC18))</f>
        <v>Rotação Externa com Elástico</v>
      </c>
      <c r="BT18" s="109" t="str">
        <f>Montagem!BY67</f>
        <v>Seriado</v>
      </c>
      <c r="BU18" s="110">
        <f>Montagem!BZ67</f>
        <v>2</v>
      </c>
      <c r="BV18" s="110">
        <f>Montagem!CA67</f>
        <v>10</v>
      </c>
      <c r="BW18" s="110">
        <f>Montagem!CB67</f>
        <v>10</v>
      </c>
      <c r="BX18" s="110">
        <f>Montagem!CC67</f>
        <v>1</v>
      </c>
      <c r="BY18" s="110">
        <f>Montagem!CD67</f>
        <v>2</v>
      </c>
      <c r="BZ18" s="113">
        <v>10.0</v>
      </c>
      <c r="CA18" s="111">
        <f>Montagem!BS67</f>
        <v>2</v>
      </c>
      <c r="CB18" s="111">
        <f>Montagem!CE67</f>
        <v>0</v>
      </c>
      <c r="CC18" s="111" t="str">
        <f>Montagem!BT67</f>
        <v>Rotação Externa com Elástico</v>
      </c>
      <c r="CD18" s="111" t="str">
        <f>Montagem!CF67</f>
        <v/>
      </c>
      <c r="CE18" s="106">
        <f>IF(CD18="",CB18,CD18)</f>
        <v>0</v>
      </c>
      <c r="CF18" s="106">
        <f>IF(CB19="C",'Dados de Base'!$D$5*0.1,IF(CB19="E",5,IF(BZ18="",CE18,BZ18)))</f>
        <v>5</v>
      </c>
      <c r="CG18" s="108"/>
      <c r="CH18" s="102" t="str">
        <f>IF(CT18="","",HYPERLINK(OFFSET(Biblioteca!$B$2,MATCH(CT18,Biblioteca!$A$3:$A$200,0),0),CT18))</f>
        <v>Mobilidade de tornozelo</v>
      </c>
      <c r="CK18" s="109" t="str">
        <f>Montagem!CN67</f>
        <v>Seriado</v>
      </c>
      <c r="CL18" s="110">
        <f>Montagem!CO67</f>
        <v>2</v>
      </c>
      <c r="CM18" s="110">
        <f>Montagem!CP67</f>
        <v>10</v>
      </c>
      <c r="CN18" s="110">
        <f>Montagem!CQ67</f>
        <v>10</v>
      </c>
      <c r="CO18" s="110">
        <f>Montagem!CR67</f>
        <v>1</v>
      </c>
      <c r="CP18" s="110">
        <f>Montagem!CS67</f>
        <v>1</v>
      </c>
      <c r="CQ18" s="113"/>
      <c r="CR18" s="111">
        <f>Montagem!CH67</f>
        <v>2</v>
      </c>
      <c r="CS18" s="111">
        <f>Montagem!CT67</f>
        <v>0</v>
      </c>
      <c r="CT18" s="111" t="str">
        <f>Montagem!CI67</f>
        <v>Mobilidade de tornozelo</v>
      </c>
      <c r="CU18" s="111" t="str">
        <f>Montagem!CU67</f>
        <v/>
      </c>
      <c r="CV18" s="106">
        <f>IF(CU18="",CS18,CU18)</f>
        <v>0</v>
      </c>
      <c r="CW18" s="106">
        <f>IF(CS19="C",'Dados de Base'!$D$5*0.1,IF(CS19="E",5,IF(CQ18="",CV18,CQ18)))</f>
        <v>6.3</v>
      </c>
      <c r="CX18" s="108"/>
      <c r="CY18" s="115" t="str">
        <f>IF(DK18="","",HYPERLINK(OFFSET(Biblioteca!$B$2,MATCH(DK18,Biblioteca!$A$3:$A$200,0),0),DK18))</f>
        <v/>
      </c>
      <c r="DB18" s="130" t="str">
        <f>Montagem!DC67</f>
        <v/>
      </c>
      <c r="DC18" s="131" t="str">
        <f>Montagem!DD67</f>
        <v/>
      </c>
      <c r="DD18" s="131" t="str">
        <f>Montagem!DE67</f>
        <v/>
      </c>
      <c r="DE18" s="131" t="str">
        <f>Montagem!DF67</f>
        <v/>
      </c>
      <c r="DF18" s="131" t="str">
        <f>Montagem!DG67</f>
        <v/>
      </c>
      <c r="DG18" s="131" t="str">
        <f>Montagem!DH67</f>
        <v/>
      </c>
      <c r="DH18" s="114"/>
      <c r="DI18" s="111">
        <f>Montagem!CW67</f>
        <v>1</v>
      </c>
      <c r="DJ18" s="111" t="str">
        <f>Montagem!DI67</f>
        <v/>
      </c>
      <c r="DK18" s="111" t="str">
        <f>Montagem!CX67</f>
        <v/>
      </c>
      <c r="DL18" s="111" t="str">
        <f>Montagem!DJ67</f>
        <v/>
      </c>
      <c r="DM18" s="106" t="str">
        <f>IF(DL18="",DJ18,DL18)</f>
        <v/>
      </c>
      <c r="DN18" s="106" t="str">
        <f>IF(DJ19="C",'Dados de Base'!$D$5*0.1,IF(DJ19="E",5,IF(DH18="",DM18,DH18)))</f>
        <v/>
      </c>
      <c r="DO18" s="108"/>
      <c r="DP18" s="116" t="s">
        <v>42</v>
      </c>
      <c r="DQ18" s="106">
        <f>IF(L80=0,0,1)+IF(AC80=0,0,1)+IF(AT80=0,0,1)+IF(BK80=0,0,1)+IF(CB80=0,0,1)+IF(CS80=0,0,1)+IF(DJ80=0,0,1)</f>
        <v>3</v>
      </c>
      <c r="DR18" s="106"/>
      <c r="DS18" s="106"/>
      <c r="DT18" s="106"/>
      <c r="DU18" s="106"/>
      <c r="DV18" s="106"/>
      <c r="DW18" s="106"/>
      <c r="DX18" s="106"/>
      <c r="DY18" s="106"/>
    </row>
    <row r="19">
      <c r="A19" s="117" t="str">
        <f>IF(A18="","",IFS(L19="A",Montagem!$C$80,N19="T","Realizar a maior quantidade de repetições por "&amp;F18&amp;" segundos | ",N19="I",IF(M19="U","Manter a posição por "&amp;F18&amp;" segundos de um lado e trocar para o outro na sequência | ","Manter a posição por "&amp;F18&amp;" segundos | "),M19="A","Realizar alternadamente "&amp;F18&amp;" repetições cada lado | ",M19="U","Realizar "&amp;F18&amp;" repetições de um lado e trocar para o outro na sequência | ",L19="P",OFFSET(Biblioteca!$H$2,MATCH(M18,Biblioteca!$A$3:$A$200,0),0),TRUE,""))</f>
        <v/>
      </c>
      <c r="E19" s="118" t="str">
        <f>IF(A18="","",IFS(L19="H","Carga Sugerida: "&amp;ROUNDUP(O18/2,0)&amp;" kg de cada lado (Total: "&amp;ROUNDUP(O18/2,0)*2&amp;" kg)",L19="C","Este exercício usa o Peso Corporal como carga",L19="E","Este exercício usa a resistência da banda elástica como carga",L19="O","Carga Sugerida: "&amp;INT(O18)&amp;" kg",TRUE,""))</f>
        <v>Este exercício usa a resistência da banda elástica como carga</v>
      </c>
      <c r="J19" s="66"/>
      <c r="K19" s="119">
        <f>K18</f>
        <v>2</v>
      </c>
      <c r="L19" s="120" t="str">
        <f>LEFT(O19)</f>
        <v>E</v>
      </c>
      <c r="M19" s="121" t="str">
        <f>MID(O19,2,1)</f>
        <v>O</v>
      </c>
      <c r="N19" s="122" t="str">
        <f>RIGHT(O19)</f>
        <v>R</v>
      </c>
      <c r="O19" s="123" t="str">
        <f>IF(M18="","",OFFSET(Biblioteca!$I$2,MATCH(M18,Biblioteca!$A$3:$A$200,0),0))</f>
        <v>EOR</v>
      </c>
      <c r="P19" s="124"/>
      <c r="Q19" s="125"/>
      <c r="R19" s="117" t="str">
        <f>IF(R18="","",IFS(AC19="A",Montagem!$D$80,AE19="T","Realizar a maior quantidade de repetições por "&amp;W18&amp;" segundos | ",AE19="I",IF(AD19="U","Manter a posição por "&amp;W18&amp;" segundos de um lado e trocar para o outro na sequência | ","Manter a posição por "&amp;W18&amp;" segundos | "),AD19="A","Realizar alternadamente "&amp;W18&amp;" repetições cada lado | ",AD19="U","Realizar "&amp;W18&amp;" repetições de um lado e trocar para o outro na sequência | ",AC19="P",OFFSET(Biblioteca!$H$2,MATCH(AD18,Biblioteca!$A$3:$A$200,0),0),TRUE,""))</f>
        <v/>
      </c>
      <c r="V19" s="118" t="str">
        <f>IF(R18="","",IFS(AC19="H","Carga Sugerida: "&amp;ROUNDUP(AF18/2,0)&amp;" kg de cada lado (Total: "&amp;ROUNDUP(AF18/2,0)*2&amp;" kg)",AC19="C","Este exercício usa o Peso Corporal como carga",AC19="E","Este exercício usa a resistência da banda elástica como carga",AC19="O","Carga Sugerida: "&amp;INT(AF18)&amp;" kg",TRUE,""))</f>
        <v>Este exercício usa o Peso Corporal como carga</v>
      </c>
      <c r="AA19" s="66"/>
      <c r="AB19" s="126">
        <f>AB18</f>
        <v>2</v>
      </c>
      <c r="AC19" s="120" t="str">
        <f>LEFT(AF19)</f>
        <v>C</v>
      </c>
      <c r="AD19" s="121" t="str">
        <f>MID(AF19,2,1)</f>
        <v>O</v>
      </c>
      <c r="AE19" s="122" t="str">
        <f>RIGHT(AF19)</f>
        <v>R</v>
      </c>
      <c r="AF19" s="123" t="str">
        <f>IF(AD18="","",OFFSET(Biblioteca!$I$2,MATCH(AD18,Biblioteca!$A$3:$A$200,0),0))</f>
        <v>COR</v>
      </c>
      <c r="AG19" s="124"/>
      <c r="AH19" s="125"/>
      <c r="AI19" s="117" t="str">
        <f>IF(AI18="","",IFS(AT19="A",Montagem!$E$80,AV19="T","Realizar a maior quantidade de repetições por "&amp;AN18&amp;" segundos | ",AV19="I",IF(AU19="U","Manter a posição por "&amp;AN18&amp;" segundos de um lado e trocar para o outro na sequência | ","Manter a posição por "&amp;AN18&amp;" segundos | "),AU19="A","Realizar alternadamente "&amp;AN18&amp;" repetições cada lado | ",AU19="U","Realizar "&amp;AN18&amp;" repetições de um lado e trocar para o outro na sequência | ",AT19="P",OFFSET(Biblioteca!$H$2,MATCH(AU18,Biblioteca!$A$3:$A$200,0),0),TRUE,""))</f>
        <v>Realizar 10 repetições de um lado e trocar para o outro na sequência | </v>
      </c>
      <c r="AM19" s="118" t="str">
        <f>IF(AI18="","",IFS(AT19="H","Carga Sugerida: "&amp;ROUNDUP(AW18/2,0)&amp;" kg de cada lado (Total: "&amp;ROUNDUP(AW18/2,0)*2&amp;" kg)",AT19="C","Este exercício usa o Peso Corporal como carga",AT19="E","Este exercício usa a resistência da banda elástica como carga",AT19="O","Carga Sugerida: "&amp;INT(AW18)&amp;" kg",TRUE,""))</f>
        <v>Este exercício usa o Peso Corporal como carga</v>
      </c>
      <c r="AR19" s="66"/>
      <c r="AS19" s="126">
        <f>AS18</f>
        <v>2</v>
      </c>
      <c r="AT19" s="120" t="str">
        <f>LEFT(AW19)</f>
        <v>C</v>
      </c>
      <c r="AU19" s="121" t="str">
        <f>MID(AW19,2,1)</f>
        <v>U</v>
      </c>
      <c r="AV19" s="122" t="str">
        <f>RIGHT(AW19)</f>
        <v>R</v>
      </c>
      <c r="AW19" s="123" t="str">
        <f>IF(AU18="","",OFFSET(Biblioteca!$I$2,MATCH(AU18,Biblioteca!$A$3:$A$200,0),0))</f>
        <v>CUR</v>
      </c>
      <c r="AX19" s="124"/>
      <c r="AY19" s="125"/>
      <c r="AZ19" s="117" t="str">
        <f>IF(AZ18="","",IFS(BK19="A",Montagem!$F$80,BM19="T","Realizar a maior quantidade de repetições por "&amp;BE18&amp;" segundos | ",BM19="I",IF(BL19="U","Manter a posição por "&amp;BE18&amp;" segundos de um lado e trocar para o outro na sequência | ","Manter a posição por "&amp;BE18&amp;" segundos | "),BL19="A","Realizar alternadamente "&amp;BE18&amp;" repetições cada lado | ",BL19="U","Realizar "&amp;BE18&amp;" repetições de um lado e trocar para o outro na sequência | ",BK19="P",OFFSET(Biblioteca!$H$2,MATCH(BL18,Biblioteca!$A$3:$A$200,0),0),TRUE,""))</f>
        <v/>
      </c>
      <c r="BD19" s="118" t="str">
        <f>IF(AZ18="","",IFS(BK19="H","Carga Sugerida: "&amp;ROUNDUP(BN18/2,0)&amp;" kg de cada lado (Total: "&amp;ROUNDUP(BN18/2,0)*2&amp;" kg)",BK19="C","Este exercício usa o Peso Corporal como carga",BK19="E","Este exercício usa a resistência da banda elástica como carga",BK19="O","Carga Sugerida: "&amp;INT(BN18)&amp;" kg",TRUE,""))</f>
        <v>Este exercício usa a resistência da banda elástica como carga</v>
      </c>
      <c r="BI19" s="66"/>
      <c r="BJ19" s="126">
        <f>BJ18</f>
        <v>2</v>
      </c>
      <c r="BK19" s="120" t="str">
        <f>LEFT(BN19)</f>
        <v>E</v>
      </c>
      <c r="BL19" s="121" t="str">
        <f>MID(BN19,2,1)</f>
        <v>O</v>
      </c>
      <c r="BM19" s="122" t="str">
        <f>RIGHT(BN19)</f>
        <v>R</v>
      </c>
      <c r="BN19" s="123" t="str">
        <f>IF(BL18="","",OFFSET(Biblioteca!$I$2,MATCH(BL18,Biblioteca!$A$3:$A$200,0),0))</f>
        <v>EOR</v>
      </c>
      <c r="BO19" s="124"/>
      <c r="BP19" s="125"/>
      <c r="BQ19" s="117" t="str">
        <f>IF(BQ18="","",IFS(CB19="A",Montagem!$G$80,CD19="T","Realizar a maior quantidade de repetições por "&amp;BV18&amp;" segundos | ",CD19="I",IF(CC19="U","Manter a posição por "&amp;BV18&amp;" segundos de um lado e trocar para o outro na sequência | ","Manter a posição por "&amp;BV18&amp;" segundos | "),CC19="A","Realizar alternadamente "&amp;BV18&amp;" repetições cada lado | ",CC19="U","Realizar "&amp;BV18&amp;" repetições de um lado e trocar para o outro na sequência | ",CB19="P",OFFSET(Biblioteca!$H$2,MATCH(CC18,Biblioteca!$A$3:$A$200,0),0),TRUE,""))</f>
        <v/>
      </c>
      <c r="BU19" s="118" t="str">
        <f>IF(BQ18="","",IFS(CB19="H","Carga Sugerida: "&amp;ROUNDUP(CE18/2,0)&amp;" kg de cada lado (Total: "&amp;ROUNDUP(CE18/2,0)*2&amp;" kg)",CB19="C","Este exercício usa o Peso Corporal como carga",CB19="E","Este exercício usa a resistência da banda elástica como carga",CB19="O","Carga Sugerida: "&amp;INT(CE18)&amp;" kg",TRUE,""))</f>
        <v>Este exercício usa a resistência da banda elástica como carga</v>
      </c>
      <c r="BZ19" s="66"/>
      <c r="CA19" s="126">
        <f>CA18</f>
        <v>2</v>
      </c>
      <c r="CB19" s="120" t="str">
        <f>LEFT(CE19)</f>
        <v>E</v>
      </c>
      <c r="CC19" s="121" t="str">
        <f>MID(CE19,2,1)</f>
        <v>O</v>
      </c>
      <c r="CD19" s="122" t="str">
        <f>RIGHT(CE19)</f>
        <v>R</v>
      </c>
      <c r="CE19" s="123" t="str">
        <f>IF(CC18="","",OFFSET(Biblioteca!$I$2,MATCH(CC18,Biblioteca!$A$3:$A$200,0),0))</f>
        <v>EOR</v>
      </c>
      <c r="CF19" s="124"/>
      <c r="CG19" s="125"/>
      <c r="CH19" s="117" t="str">
        <f>IF(CH18="","",IFS(CS19="A",Montagem!$H$80,CU19="T","Realizar a maior quantidade de repetições por "&amp;CM18&amp;" segundos | ",CU19="I",IF(CT19="U","Manter a posição por "&amp;CM18&amp;" segundos de um lado e trocar para o outro na sequência | ","Manter a posição por "&amp;CM18&amp;" segundos | "),CT19="A","Realizar alternadamente "&amp;CM18&amp;" repetições cada lado | ",CT19="U","Realizar "&amp;CM18&amp;" repetições de um lado e trocar para o outro na sequência | ",CS19="P",OFFSET(Biblioteca!$H$2,MATCH(CT18,Biblioteca!$A$3:$A$200,0),0),TRUE,""))</f>
        <v>Realizar 10 repetições de um lado e trocar para o outro na sequência | </v>
      </c>
      <c r="CL19" s="118" t="str">
        <f>IF(CH18="","",IFS(CS19="H","Carga Sugerida: "&amp;ROUNDUP(CV18/2,0)&amp;" kg de cada lado (Total: "&amp;ROUNDUP(CV18/2,0)*2&amp;" kg)",CS19="C","Este exercício usa o Peso Corporal como carga",CS19="E","Este exercício usa a resistência da banda elástica como carga",CS19="O","Carga Sugerida: "&amp;INT(CV18)&amp;" kg",TRUE,""))</f>
        <v>Este exercício usa o Peso Corporal como carga</v>
      </c>
      <c r="CQ19" s="66"/>
      <c r="CR19" s="126">
        <f>CR18</f>
        <v>2</v>
      </c>
      <c r="CS19" s="120" t="str">
        <f>LEFT(CV19)</f>
        <v>C</v>
      </c>
      <c r="CT19" s="121" t="str">
        <f>MID(CV19,2,1)</f>
        <v>U</v>
      </c>
      <c r="CU19" s="122" t="str">
        <f>RIGHT(CV19)</f>
        <v>R</v>
      </c>
      <c r="CV19" s="123" t="str">
        <f>IF(CT18="","",OFFSET(Biblioteca!$I$2,MATCH(CT18,Biblioteca!$A$3:$A$200,0),0))</f>
        <v>CUR</v>
      </c>
      <c r="CW19" s="124"/>
      <c r="CX19" s="125"/>
      <c r="CY19" s="117" t="str">
        <f>IF(CY18="","",IFS(DJ19="A",Montagem!$I$80,DL19="T","Realizar a maior quantidade de repetições por "&amp;DD18&amp;" segundos | ",DL19="I",IF(DK19="U","Manter a posição por "&amp;DD18&amp;" segundos de um lado e trocar para o outro na sequência | ","Manter a posição por "&amp;DD18&amp;" segundos | "),DK19="A","Realizar alternadamente "&amp;DD18&amp;" repetições cada lado | ",DK19="U","Realizar "&amp;DD18&amp;" repetições de um lado e trocar para o outro na sequência | ",DJ19="P",OFFSET(Biblioteca!$H$2,MATCH(DK18,Biblioteca!$A$3:$A$200,0),0),TRUE,""))</f>
        <v/>
      </c>
      <c r="DC19" s="118" t="str">
        <f>IF(CY18="","",IFS(DJ19="H","Carga Sugerida: "&amp;ROUNDUP(DM18/2,0)&amp;" kg de cada lado (Total: "&amp;ROUNDUP(DM18/2,0)*2&amp;" kg)",DJ19="C","Este exercício usa o Peso Corporal como carga",DJ19="E","Este exercício usa a resistência da banda elástica como carga",DJ19="O","Carga Sugerida: "&amp;INT(DM18)&amp;" kg",TRUE,""))</f>
        <v/>
      </c>
      <c r="DH19" s="66"/>
      <c r="DI19" s="126">
        <f>DI18</f>
        <v>1</v>
      </c>
      <c r="DJ19" s="120" t="str">
        <f>LEFT(DM19)</f>
        <v/>
      </c>
      <c r="DK19" s="121" t="str">
        <f>MID(DM19,2,1)</f>
        <v/>
      </c>
      <c r="DL19" s="122" t="str">
        <f>RIGHT(DM19)</f>
        <v/>
      </c>
      <c r="DM19" s="123" t="str">
        <f>IF(DK18="","",OFFSET(Biblioteca!$I$2,MATCH(DK18,Biblioteca!$A$3:$A$200,0),0))</f>
        <v/>
      </c>
      <c r="DN19" s="124"/>
      <c r="DO19" s="125"/>
      <c r="DP19" s="73" t="s">
        <v>43</v>
      </c>
      <c r="DQ19" s="56">
        <f>IF(DQ17=0,0,DQ18/DQ17)</f>
        <v>0.5</v>
      </c>
      <c r="DR19" s="56"/>
      <c r="DS19" s="56"/>
      <c r="DT19" s="56"/>
      <c r="DU19" s="56"/>
      <c r="DV19" s="56"/>
      <c r="DW19" s="56"/>
      <c r="DX19" s="56"/>
      <c r="DY19" s="56"/>
    </row>
    <row r="20">
      <c r="A20" s="102" t="str">
        <f>IF(M20="","",HYPERLINK(OFFSET(Biblioteca!$B$2,MATCH(M20,Biblioteca!$A$3:$A$200,0),0),M20))</f>
        <v>Mobilidade Quadril - Sumô</v>
      </c>
      <c r="D20" s="132" t="str">
        <f>Montagem!Q68</f>
        <v>Seriado</v>
      </c>
      <c r="E20" s="104">
        <f>Montagem!R68</f>
        <v>2</v>
      </c>
      <c r="F20" s="104">
        <f>Montagem!S68</f>
        <v>10</v>
      </c>
      <c r="G20" s="127">
        <f>Montagem!T68</f>
        <v>10</v>
      </c>
      <c r="H20" s="127">
        <f>Montagem!U68</f>
        <v>1</v>
      </c>
      <c r="I20" s="104">
        <f>Montagem!V68</f>
        <v>1</v>
      </c>
      <c r="J20" s="105">
        <v>10.0</v>
      </c>
      <c r="K20" s="106">
        <f>Montagem!K68</f>
        <v>3</v>
      </c>
      <c r="L20" s="111">
        <f>Montagem!W68</f>
        <v>0</v>
      </c>
      <c r="M20" s="111" t="str">
        <f>Montagem!L68</f>
        <v>Mobilidade Quadril - Sumô</v>
      </c>
      <c r="N20" s="111" t="str">
        <f>Montagem!X68</f>
        <v/>
      </c>
      <c r="O20" s="106">
        <f>IF(N20="",L20,N20)</f>
        <v>0</v>
      </c>
      <c r="P20" s="106">
        <f>IF(L21="C",'Dados de Base'!$D$5*0.1,IF(L21="E",5,IF(J20="",O20,J20)))</f>
        <v>6.3</v>
      </c>
      <c r="Q20" s="108"/>
      <c r="R20" s="102" t="str">
        <f>IF(AD20="","",HYPERLINK(OFFSET(Biblioteca!$B$2,MATCH(AD20,Biblioteca!$A$3:$A$200,0),0),AD20))</f>
        <v>Mobilidade de tornozelo</v>
      </c>
      <c r="U20" s="109" t="str">
        <f>Montagem!AF68</f>
        <v>Seriado</v>
      </c>
      <c r="V20" s="110">
        <f>Montagem!AG68</f>
        <v>2</v>
      </c>
      <c r="W20" s="110">
        <f>Montagem!AH68</f>
        <v>10</v>
      </c>
      <c r="X20" s="110">
        <f>Montagem!AI68</f>
        <v>10</v>
      </c>
      <c r="Y20" s="110">
        <f>Montagem!AJ68</f>
        <v>1</v>
      </c>
      <c r="Z20" s="110">
        <f>Montagem!AK68</f>
        <v>1</v>
      </c>
      <c r="AA20" s="105">
        <v>10.0</v>
      </c>
      <c r="AB20" s="111">
        <f>Montagem!Z68</f>
        <v>3</v>
      </c>
      <c r="AC20" s="111">
        <f>Montagem!AL68</f>
        <v>0</v>
      </c>
      <c r="AD20" s="129" t="str">
        <f>Montagem!AA68</f>
        <v>Mobilidade de tornozelo</v>
      </c>
      <c r="AE20" s="111" t="str">
        <f>Montagem!AM68</f>
        <v/>
      </c>
      <c r="AF20" s="106">
        <f>IF(AE20="",AC20,AE20)</f>
        <v>0</v>
      </c>
      <c r="AG20" s="106">
        <f>IF(AC21="C",'Dados de Base'!$D$5*0.1,IF(AC21="E",5,IF(AA20="",AF20,AA20)))</f>
        <v>6.3</v>
      </c>
      <c r="AH20" s="108"/>
      <c r="AI20" s="102" t="str">
        <f>IF(AU20="","",HYPERLINK(OFFSET(Biblioteca!$B$2,MATCH(AU20,Biblioteca!$A$3:$A$200,0),0),AU20))</f>
        <v>Prancha</v>
      </c>
      <c r="AL20" s="109" t="str">
        <f>Montagem!AU68</f>
        <v>Seriado</v>
      </c>
      <c r="AM20" s="110">
        <f>Montagem!AV68</f>
        <v>1</v>
      </c>
      <c r="AN20" s="110">
        <f>Montagem!AW68</f>
        <v>50</v>
      </c>
      <c r="AO20" s="110">
        <f>Montagem!AX68</f>
        <v>60</v>
      </c>
      <c r="AP20" s="110">
        <f>Montagem!AY68</f>
        <v>0</v>
      </c>
      <c r="AQ20" s="110">
        <f>Montagem!AZ68</f>
        <v>1</v>
      </c>
      <c r="AR20" s="105">
        <v>10.0</v>
      </c>
      <c r="AS20" s="111">
        <f>Montagem!AO68</f>
        <v>3</v>
      </c>
      <c r="AT20" s="111">
        <f>Montagem!BA68</f>
        <v>0</v>
      </c>
      <c r="AU20" s="111" t="str">
        <f>Montagem!AP68</f>
        <v>Prancha</v>
      </c>
      <c r="AV20" s="111" t="str">
        <f>Montagem!BB68</f>
        <v/>
      </c>
      <c r="AW20" s="106">
        <f>IF(AV20="",AT20,AV20)</f>
        <v>0</v>
      </c>
      <c r="AX20" s="106">
        <f>IF(AT21="C",'Dados de Base'!$D$5*0.1,IF(AT21="E",5,IF(AR20="",AW20,AR20)))</f>
        <v>6.3</v>
      </c>
      <c r="AY20" s="108"/>
      <c r="AZ20" s="102" t="str">
        <f>IF(BL20="","",HYPERLINK(OFFSET(Biblioteca!$B$2,MATCH(BL20,Biblioteca!$A$3:$A$200,0),0),BL20))</f>
        <v>Prancha</v>
      </c>
      <c r="BC20" s="109" t="str">
        <f>Montagem!BJ68</f>
        <v>Seriado</v>
      </c>
      <c r="BD20" s="110">
        <f>Montagem!BK68</f>
        <v>1</v>
      </c>
      <c r="BE20" s="110">
        <f>Montagem!BL68</f>
        <v>50</v>
      </c>
      <c r="BF20" s="110" t="str">
        <f>Montagem!BM68</f>
        <v/>
      </c>
      <c r="BG20" s="110" t="str">
        <f>Montagem!BN68</f>
        <v/>
      </c>
      <c r="BH20" s="110" t="str">
        <f>Montagem!BO68</f>
        <v/>
      </c>
      <c r="BI20" s="112">
        <v>10.0</v>
      </c>
      <c r="BJ20" s="111">
        <f>Montagem!BD68</f>
        <v>3</v>
      </c>
      <c r="BK20" s="111">
        <f>Montagem!BP68</f>
        <v>0</v>
      </c>
      <c r="BL20" s="111" t="str">
        <f>Montagem!BE68</f>
        <v>Prancha</v>
      </c>
      <c r="BM20" s="111" t="str">
        <f>Montagem!BQ68</f>
        <v/>
      </c>
      <c r="BN20" s="106">
        <f>IF(BM20="",BK20,BM20)</f>
        <v>0</v>
      </c>
      <c r="BO20" s="106">
        <f>IF(BK21="C",'Dados de Base'!$D$5*0.1,IF(BK21="E",5,IF(BI20="",BN20,BI20)))</f>
        <v>6.3</v>
      </c>
      <c r="BP20" s="108"/>
      <c r="BQ20" s="102" t="str">
        <f>IF(CC20="","",HYPERLINK(OFFSET(Biblioteca!$B$2,MATCH(CC20,Biblioteca!$A$3:$A$200,0),0),CC20))</f>
        <v>Prancha</v>
      </c>
      <c r="BT20" s="109" t="str">
        <f>Montagem!BY68</f>
        <v>Seriado</v>
      </c>
      <c r="BU20" s="110">
        <f>Montagem!BZ68</f>
        <v>1</v>
      </c>
      <c r="BV20" s="110">
        <f>Montagem!CA68</f>
        <v>50</v>
      </c>
      <c r="BW20" s="110" t="str">
        <f>Montagem!CB68</f>
        <v/>
      </c>
      <c r="BX20" s="110" t="str">
        <f>Montagem!CC68</f>
        <v/>
      </c>
      <c r="BY20" s="110" t="str">
        <f>Montagem!CD68</f>
        <v/>
      </c>
      <c r="BZ20" s="113">
        <v>10.0</v>
      </c>
      <c r="CA20" s="111">
        <f>Montagem!BS68</f>
        <v>3</v>
      </c>
      <c r="CB20" s="111">
        <f>Montagem!CE68</f>
        <v>0</v>
      </c>
      <c r="CC20" s="111" t="str">
        <f>Montagem!BT68</f>
        <v>Prancha</v>
      </c>
      <c r="CD20" s="111" t="str">
        <f>Montagem!CF68</f>
        <v/>
      </c>
      <c r="CE20" s="106">
        <f>IF(CD20="",CB20,CD20)</f>
        <v>0</v>
      </c>
      <c r="CF20" s="106">
        <f>IF(CB21="C",'Dados de Base'!$D$5*0.1,IF(CB21="E",5,IF(BZ20="",CE20,BZ20)))</f>
        <v>6.3</v>
      </c>
      <c r="CG20" s="108"/>
      <c r="CH20" s="102" t="str">
        <f>IF(CT20="","",HYPERLINK(OFFSET(Biblioteca!$B$2,MATCH(CT20,Biblioteca!$A$3:$A$200,0),0),CT20))</f>
        <v>Prancha</v>
      </c>
      <c r="CK20" s="109" t="str">
        <f>Montagem!CN68</f>
        <v>Seriado</v>
      </c>
      <c r="CL20" s="110">
        <f>Montagem!CO68</f>
        <v>1</v>
      </c>
      <c r="CM20" s="110">
        <f>Montagem!CP68</f>
        <v>50</v>
      </c>
      <c r="CN20" s="110">
        <f>Montagem!CQ68</f>
        <v>60</v>
      </c>
      <c r="CO20" s="110">
        <f>Montagem!CR68</f>
        <v>0</v>
      </c>
      <c r="CP20" s="110">
        <f>Montagem!CS68</f>
        <v>1</v>
      </c>
      <c r="CQ20" s="113"/>
      <c r="CR20" s="111">
        <f>Montagem!CH68</f>
        <v>3</v>
      </c>
      <c r="CS20" s="111">
        <f>Montagem!CT68</f>
        <v>0</v>
      </c>
      <c r="CT20" s="111" t="str">
        <f>Montagem!CI68</f>
        <v>Prancha</v>
      </c>
      <c r="CU20" s="111" t="str">
        <f>Montagem!CU68</f>
        <v/>
      </c>
      <c r="CV20" s="106">
        <f>IF(CU20="",CS20,CU20)</f>
        <v>0</v>
      </c>
      <c r="CW20" s="106">
        <f>IF(CS21="C",'Dados de Base'!$D$5*0.1,IF(CS21="E",5,IF(CQ20="",CV20,CQ20)))</f>
        <v>6.3</v>
      </c>
      <c r="CX20" s="108"/>
      <c r="CY20" s="115" t="str">
        <f>IF(DK20="","",HYPERLINK(OFFSET(Biblioteca!$B$2,MATCH(DK20,Biblioteca!$A$3:$A$200,0),0),DK20))</f>
        <v/>
      </c>
      <c r="DB20" s="130" t="str">
        <f>Montagem!DC68</f>
        <v/>
      </c>
      <c r="DC20" s="131" t="str">
        <f>Montagem!DD68</f>
        <v/>
      </c>
      <c r="DD20" s="131" t="str">
        <f>Montagem!DE68</f>
        <v/>
      </c>
      <c r="DE20" s="131" t="str">
        <f>Montagem!DF68</f>
        <v/>
      </c>
      <c r="DF20" s="131" t="str">
        <f>Montagem!DG68</f>
        <v/>
      </c>
      <c r="DG20" s="131" t="str">
        <f>Montagem!DH68</f>
        <v/>
      </c>
      <c r="DH20" s="114"/>
      <c r="DI20" s="111">
        <f>Montagem!CW68</f>
        <v>1</v>
      </c>
      <c r="DJ20" s="111" t="str">
        <f>Montagem!DI68</f>
        <v/>
      </c>
      <c r="DK20" s="111" t="str">
        <f>Montagem!CX68</f>
        <v/>
      </c>
      <c r="DL20" s="111" t="str">
        <f>Montagem!DJ68</f>
        <v/>
      </c>
      <c r="DM20" s="106" t="str">
        <f>IF(DL20="",DJ20,DL20)</f>
        <v/>
      </c>
      <c r="DN20" s="106" t="str">
        <f>IF(DJ21="C",'Dados de Base'!$D$5*0.1,IF(DJ21="E",5,IF(DH20="",DM20,DH20)))</f>
        <v/>
      </c>
      <c r="DO20" s="108"/>
      <c r="DP20" s="116" t="s">
        <v>44</v>
      </c>
      <c r="DQ20" s="106">
        <f>IF(DQ14=0,0,DQ13/DQ14)</f>
        <v>0.6596426502</v>
      </c>
      <c r="DR20" s="106"/>
      <c r="DS20" s="106"/>
      <c r="DT20" s="106"/>
      <c r="DU20" s="106"/>
      <c r="DV20" s="106"/>
      <c r="DW20" s="106"/>
      <c r="DX20" s="106"/>
      <c r="DY20" s="106"/>
    </row>
    <row r="21">
      <c r="A21" s="117" t="str">
        <f>IF(A20="","",IFS(L21="A",Montagem!$C$80,N21="T","Realizar a maior quantidade de repetições por "&amp;F20&amp;" segundos | ",N21="I",IF(M21="U","Manter a posição por "&amp;F20&amp;" segundos de um lado e trocar para o outro na sequência | ","Manter a posição por "&amp;F20&amp;" segundos | "),M21="A","Realizar alternadamente "&amp;F20&amp;" repetições cada lado | ",M21="U","Realizar "&amp;F20&amp;" repetições de um lado e trocar para o outro na sequência | ",L21="P",OFFSET(Biblioteca!$H$2,MATCH(M20,Biblioteca!$A$3:$A$200,0),0),TRUE,""))</f>
        <v/>
      </c>
      <c r="E21" s="118" t="str">
        <f>IF(A20="","",IFS(L21="H","Carga Sugerida: "&amp;ROUNDUP(O20/2,0)&amp;" kg de cada lado (Total: "&amp;ROUNDUP(O20/2,0)*2&amp;" kg)",L21="C","Este exercício usa o Peso Corporal como carga",L21="E","Este exercício usa a resistência da banda elástica como carga",L21="O","Carga Sugerida: "&amp;INT(O20)&amp;" kg",TRUE,""))</f>
        <v>Este exercício usa o Peso Corporal como carga</v>
      </c>
      <c r="J21" s="66"/>
      <c r="K21" s="126">
        <f>K20</f>
        <v>3</v>
      </c>
      <c r="L21" s="120" t="str">
        <f>LEFT(O21)</f>
        <v>C</v>
      </c>
      <c r="M21" s="121" t="str">
        <f>MID(O21,2,1)</f>
        <v>O</v>
      </c>
      <c r="N21" s="122" t="str">
        <f>RIGHT(O21)</f>
        <v>R</v>
      </c>
      <c r="O21" s="123" t="str">
        <f>IF(M20="","",OFFSET(Biblioteca!$I$2,MATCH(M20,Biblioteca!$A$3:$A$200,0),0))</f>
        <v>COR</v>
      </c>
      <c r="P21" s="124"/>
      <c r="Q21" s="125"/>
      <c r="R21" s="117" t="str">
        <f>IF(R20="","",IFS(AC21="A",Montagem!$D$80,AE21="T","Realizar a maior quantidade de repetições por "&amp;W20&amp;" segundos | ",AE21="I",IF(AD21="U","Manter a posição por "&amp;W20&amp;" segundos de um lado e trocar para o outro na sequência | ","Manter a posição por "&amp;W20&amp;" segundos | "),AD21="A","Realizar alternadamente "&amp;W20&amp;" repetições cada lado | ",AD21="U","Realizar "&amp;W20&amp;" repetições de um lado e trocar para o outro na sequência | ",AC21="P",OFFSET(Biblioteca!$H$2,MATCH(AD20,Biblioteca!$A$3:$A$200,0),0),TRUE,""))</f>
        <v>Realizar 10 repetições de um lado e trocar para o outro na sequência | </v>
      </c>
      <c r="V21" s="118" t="str">
        <f>IF(R20="","",IFS(AC21="H","Carga Sugerida: "&amp;ROUNDUP(AF20/2,0)&amp;" kg de cada lado (Total: "&amp;ROUNDUP(AF20/2,0)*2&amp;" kg)",AC21="C","Este exercício usa o Peso Corporal como carga",AC21="E","Este exercício usa a resistência da banda elástica como carga",AC21="O","Carga Sugerida: "&amp;INT(AF20)&amp;" kg",TRUE,""))</f>
        <v>Este exercício usa o Peso Corporal como carga</v>
      </c>
      <c r="AA21" s="66"/>
      <c r="AB21" s="126">
        <f>AB20</f>
        <v>3</v>
      </c>
      <c r="AC21" s="120" t="str">
        <f>LEFT(AF21)</f>
        <v>C</v>
      </c>
      <c r="AD21" s="121" t="str">
        <f>MID(AF21,2,1)</f>
        <v>U</v>
      </c>
      <c r="AE21" s="122" t="str">
        <f>RIGHT(AF21)</f>
        <v>R</v>
      </c>
      <c r="AF21" s="123" t="str">
        <f>IF(AD20="","",OFFSET(Biblioteca!$I$2,MATCH(AD20,Biblioteca!$A$3:$A$200,0),0))</f>
        <v>CUR</v>
      </c>
      <c r="AG21" s="124"/>
      <c r="AH21" s="125"/>
      <c r="AI21" s="117" t="str">
        <f>IF(AI20="","",IFS(AT21="A",Montagem!$E$80,AV21="T","Realizar a maior quantidade de repetições por "&amp;AN20&amp;" segundos | ",AV21="I",IF(AU21="U","Manter a posição por "&amp;AN20&amp;" segundos de um lado e trocar para o outro na sequência | ","Manter a posição por "&amp;AN20&amp;" segundos | "),AU21="A","Realizar alternadamente "&amp;AN20&amp;" repetições cada lado | ",AU21="U","Realizar "&amp;AN20&amp;" repetições de um lado e trocar para o outro na sequência | ",AT21="P",OFFSET(Biblioteca!$H$2,MATCH(AU20,Biblioteca!$A$3:$A$200,0),0),TRUE,""))</f>
        <v>Manter a posição por 50 segundos | </v>
      </c>
      <c r="AM21" s="118" t="str">
        <f>IF(AI20="","",IFS(AT21="H","Carga Sugerida: "&amp;ROUNDUP(AW20/2,0)&amp;" kg de cada lado (Total: "&amp;ROUNDUP(AW20/2,0)*2&amp;" kg)",AT21="C","Este exercício usa o Peso Corporal como carga",AT21="E","Este exercício usa a resistência da banda elástica como carga",AT21="O","Carga Sugerida: "&amp;INT(AW20)&amp;" kg",TRUE,""))</f>
        <v>Este exercício usa o Peso Corporal como carga</v>
      </c>
      <c r="AR21" s="66"/>
      <c r="AS21" s="126">
        <f>AS20</f>
        <v>3</v>
      </c>
      <c r="AT21" s="120" t="str">
        <f>LEFT(AW21)</f>
        <v>C</v>
      </c>
      <c r="AU21" s="121" t="str">
        <f>MID(AW21,2,1)</f>
        <v>O</v>
      </c>
      <c r="AV21" s="122" t="str">
        <f>RIGHT(AW21)</f>
        <v>I</v>
      </c>
      <c r="AW21" s="123" t="str">
        <f>IF(AU20="","",OFFSET(Biblioteca!$I$2,MATCH(AU20,Biblioteca!$A$3:$A$200,0),0))</f>
        <v>COI</v>
      </c>
      <c r="AX21" s="124"/>
      <c r="AY21" s="125"/>
      <c r="AZ21" s="117" t="str">
        <f>IF(AZ20="","",IFS(BK21="A",Montagem!$F$80,BM21="T","Realizar a maior quantidade de repetições por "&amp;BE20&amp;" segundos | ",BM21="I",IF(BL21="U","Manter a posição por "&amp;BE20&amp;" segundos de um lado e trocar para o outro na sequência | ","Manter a posição por "&amp;BE20&amp;" segundos | "),BL21="A","Realizar alternadamente "&amp;BE20&amp;" repetições cada lado | ",BL21="U","Realizar "&amp;BE20&amp;" repetições de um lado e trocar para o outro na sequência | ",BK21="P",OFFSET(Biblioteca!$H$2,MATCH(BL20,Biblioteca!$A$3:$A$200,0),0),TRUE,""))</f>
        <v>Manter a posição por 50 segundos | </v>
      </c>
      <c r="BD21" s="118" t="str">
        <f>IF(AZ20="","",IFS(BK21="H","Carga Sugerida: "&amp;ROUNDUP(BN20/2,0)&amp;" kg de cada lado (Total: "&amp;ROUNDUP(BN20/2,0)*2&amp;" kg)",BK21="C","Este exercício usa o Peso Corporal como carga",BK21="E","Este exercício usa a resistência da banda elástica como carga",BK21="O","Carga Sugerida: "&amp;INT(BN20)&amp;" kg",TRUE,""))</f>
        <v>Este exercício usa o Peso Corporal como carga</v>
      </c>
      <c r="BI21" s="66"/>
      <c r="BJ21" s="126">
        <f>BJ20</f>
        <v>3</v>
      </c>
      <c r="BK21" s="120" t="str">
        <f>LEFT(BN21)</f>
        <v>C</v>
      </c>
      <c r="BL21" s="121" t="str">
        <f>MID(BN21,2,1)</f>
        <v>O</v>
      </c>
      <c r="BM21" s="122" t="str">
        <f>RIGHT(BN21)</f>
        <v>I</v>
      </c>
      <c r="BN21" s="123" t="str">
        <f>IF(BL20="","",OFFSET(Biblioteca!$I$2,MATCH(BL20,Biblioteca!$A$3:$A$200,0),0))</f>
        <v>COI</v>
      </c>
      <c r="BO21" s="124"/>
      <c r="BP21" s="125"/>
      <c r="BQ21" s="117" t="str">
        <f>IF(BQ20="","",IFS(CB21="A",Montagem!$G$80,CD21="T","Realizar a maior quantidade de repetições por "&amp;BV20&amp;" segundos | ",CD21="I",IF(CC21="U","Manter a posição por "&amp;BV20&amp;" segundos de um lado e trocar para o outro na sequência | ","Manter a posição por "&amp;BV20&amp;" segundos | "),CC21="A","Realizar alternadamente "&amp;BV20&amp;" repetições cada lado | ",CC21="U","Realizar "&amp;BV20&amp;" repetições de um lado e trocar para o outro na sequência | ",CB21="P",OFFSET(Biblioteca!$H$2,MATCH(CC20,Biblioteca!$A$3:$A$200,0),0),TRUE,""))</f>
        <v>Manter a posição por 50 segundos | </v>
      </c>
      <c r="BU21" s="118" t="str">
        <f>IF(BQ20="","",IFS(CB21="H","Carga Sugerida: "&amp;ROUNDUP(CE20/2,0)&amp;" kg de cada lado (Total: "&amp;ROUNDUP(CE20/2,0)*2&amp;" kg)",CB21="C","Este exercício usa o Peso Corporal como carga",CB21="E","Este exercício usa a resistência da banda elástica como carga",CB21="O","Carga Sugerida: "&amp;INT(CE20)&amp;" kg",TRUE,""))</f>
        <v>Este exercício usa o Peso Corporal como carga</v>
      </c>
      <c r="BZ21" s="66"/>
      <c r="CA21" s="126">
        <f>CA20</f>
        <v>3</v>
      </c>
      <c r="CB21" s="120" t="str">
        <f>LEFT(CE21)</f>
        <v>C</v>
      </c>
      <c r="CC21" s="121" t="str">
        <f>MID(CE21,2,1)</f>
        <v>O</v>
      </c>
      <c r="CD21" s="122" t="str">
        <f>RIGHT(CE21)</f>
        <v>I</v>
      </c>
      <c r="CE21" s="123" t="str">
        <f>IF(CC20="","",OFFSET(Biblioteca!$I$2,MATCH(CC20,Biblioteca!$A$3:$A$200,0),0))</f>
        <v>COI</v>
      </c>
      <c r="CF21" s="124"/>
      <c r="CG21" s="125"/>
      <c r="CH21" s="117" t="str">
        <f>IF(CH20="","",IFS(CS21="A",Montagem!$H$80,CU21="T","Realizar a maior quantidade de repetições por "&amp;CM20&amp;" segundos | ",CU21="I",IF(CT21="U","Manter a posição por "&amp;CM20&amp;" segundos de um lado e trocar para o outro na sequência | ","Manter a posição por "&amp;CM20&amp;" segundos | "),CT21="A","Realizar alternadamente "&amp;CM20&amp;" repetições cada lado | ",CT21="U","Realizar "&amp;CM20&amp;" repetições de um lado e trocar para o outro na sequência | ",CS21="P",OFFSET(Biblioteca!$H$2,MATCH(CT20,Biblioteca!$A$3:$A$200,0),0),TRUE,""))</f>
        <v>Manter a posição por 50 segundos | </v>
      </c>
      <c r="CL21" s="118" t="str">
        <f>IF(CH20="","",IFS(CS21="H","Carga Sugerida: "&amp;ROUNDUP(CV20/2,0)&amp;" kg de cada lado (Total: "&amp;ROUNDUP(CV20/2,0)*2&amp;" kg)",CS21="C","Este exercício usa o Peso Corporal como carga",CS21="E","Este exercício usa a resistência da banda elástica como carga",CS21="O","Carga Sugerida: "&amp;INT(CV20)&amp;" kg",TRUE,""))</f>
        <v>Este exercício usa o Peso Corporal como carga</v>
      </c>
      <c r="CQ21" s="66"/>
      <c r="CR21" s="126">
        <f>CR20</f>
        <v>3</v>
      </c>
      <c r="CS21" s="120" t="str">
        <f>LEFT(CV21)</f>
        <v>C</v>
      </c>
      <c r="CT21" s="121" t="str">
        <f>MID(CV21,2,1)</f>
        <v>O</v>
      </c>
      <c r="CU21" s="122" t="str">
        <f>RIGHT(CV21)</f>
        <v>I</v>
      </c>
      <c r="CV21" s="123" t="str">
        <f>IF(CT20="","",OFFSET(Biblioteca!$I$2,MATCH(CT20,Biblioteca!$A$3:$A$200,0),0))</f>
        <v>COI</v>
      </c>
      <c r="CW21" s="124"/>
      <c r="CX21" s="125"/>
      <c r="CY21" s="117" t="str">
        <f>IF(CY20="","",IFS(DJ21="A",Montagem!$I$80,DL21="T","Realizar a maior quantidade de repetições por "&amp;DD20&amp;" segundos | ",DL21="I",IF(DK21="U","Manter a posição por "&amp;DD20&amp;" segundos de um lado e trocar para o outro na sequência | ","Manter a posição por "&amp;DD20&amp;" segundos | "),DK21="A","Realizar alternadamente "&amp;DD20&amp;" repetições cada lado | ",DK21="U","Realizar "&amp;DD20&amp;" repetições de um lado e trocar para o outro na sequência | ",DJ21="P",OFFSET(Biblioteca!$H$2,MATCH(DK20,Biblioteca!$A$3:$A$200,0),0),TRUE,""))</f>
        <v/>
      </c>
      <c r="DC21" s="118" t="str">
        <f>IF(CY20="","",IFS(DJ21="H","Carga Sugerida: "&amp;ROUNDUP(DM20/2,0)&amp;" kg de cada lado (Total: "&amp;ROUNDUP(DM20/2,0)*2&amp;" kg)",DJ21="C","Este exercício usa o Peso Corporal como carga",DJ21="E","Este exercício usa a resistência da banda elástica como carga",DJ21="O","Carga Sugerida: "&amp;INT(DM20)&amp;" kg",TRUE,""))</f>
        <v/>
      </c>
      <c r="DH21" s="66"/>
      <c r="DI21" s="126">
        <f>DI20</f>
        <v>1</v>
      </c>
      <c r="DJ21" s="120" t="str">
        <f>LEFT(DM21)</f>
        <v/>
      </c>
      <c r="DK21" s="121" t="str">
        <f>MID(DM21,2,1)</f>
        <v/>
      </c>
      <c r="DL21" s="122" t="str">
        <f>RIGHT(DM21)</f>
        <v/>
      </c>
      <c r="DM21" s="123" t="str">
        <f>IF(DK20="","",OFFSET(Biblioteca!$I$2,MATCH(DK20,Biblioteca!$A$3:$A$200,0),0))</f>
        <v/>
      </c>
      <c r="DN21" s="124"/>
      <c r="DO21" s="125"/>
      <c r="DP21" s="133" t="s">
        <v>45</v>
      </c>
      <c r="DQ21" s="56">
        <f>DQ20*DQ11</f>
        <v>144.9899813</v>
      </c>
      <c r="DR21" s="56"/>
      <c r="DS21" s="56"/>
      <c r="DT21" s="56"/>
      <c r="DU21" s="56"/>
      <c r="DV21" s="56"/>
      <c r="DW21" s="56"/>
      <c r="DX21" s="56"/>
      <c r="DY21" s="56"/>
    </row>
    <row r="22">
      <c r="A22" s="115" t="str">
        <f>IF(M22="","",HYPERLINK(OFFSET(Biblioteca!$B$2,MATCH(M22,Biblioteca!$A$3:$A$200,0),0),M22))</f>
        <v/>
      </c>
      <c r="D22" s="109" t="str">
        <f>Montagem!Q69</f>
        <v/>
      </c>
      <c r="E22" s="104" t="str">
        <f>Montagem!R69</f>
        <v/>
      </c>
      <c r="F22" s="110" t="str">
        <f>Montagem!S69</f>
        <v/>
      </c>
      <c r="G22" s="110" t="str">
        <f>Montagem!T69</f>
        <v/>
      </c>
      <c r="H22" s="110" t="str">
        <f>Montagem!U69</f>
        <v/>
      </c>
      <c r="I22" s="134" t="str">
        <f>Montagem!V69</f>
        <v/>
      </c>
      <c r="J22" s="105"/>
      <c r="K22" s="106">
        <f>Montagem!K69</f>
        <v>4</v>
      </c>
      <c r="L22" s="111" t="str">
        <f>Montagem!W69</f>
        <v/>
      </c>
      <c r="M22" s="111" t="str">
        <f>Montagem!L69</f>
        <v/>
      </c>
      <c r="N22" s="111" t="str">
        <f>Montagem!X69</f>
        <v/>
      </c>
      <c r="O22" s="106" t="str">
        <f>IF(N22="",L22,N22)</f>
        <v/>
      </c>
      <c r="P22" s="106" t="str">
        <f>IF(L23="C",'Dados de Base'!$D$5*0.1,IF(L23="E",5,IF(J22="",O22,J22)))</f>
        <v/>
      </c>
      <c r="Q22" s="108"/>
      <c r="R22" s="115" t="str">
        <f>IF(AD22="","",HYPERLINK(OFFSET(Biblioteca!$B$2,MATCH(AD22,Biblioteca!$A$3:$A$200,0),0),AD22))</f>
        <v/>
      </c>
      <c r="U22" s="109" t="str">
        <f>Montagem!AF69</f>
        <v/>
      </c>
      <c r="V22" s="110" t="str">
        <f>Montagem!AG69</f>
        <v/>
      </c>
      <c r="W22" s="110" t="str">
        <f>Montagem!AH69</f>
        <v/>
      </c>
      <c r="X22" s="110" t="str">
        <f>Montagem!AI69</f>
        <v/>
      </c>
      <c r="Y22" s="135" t="str">
        <f>Montagem!AJ69</f>
        <v/>
      </c>
      <c r="Z22" s="109" t="str">
        <f>Montagem!AK69</f>
        <v/>
      </c>
      <c r="AA22" s="105"/>
      <c r="AB22" s="111">
        <f>Montagem!Z69</f>
        <v>4</v>
      </c>
      <c r="AC22" s="111" t="str">
        <f>Montagem!AL69</f>
        <v/>
      </c>
      <c r="AD22" s="129" t="str">
        <f>Montagem!AA69</f>
        <v/>
      </c>
      <c r="AE22" s="111" t="str">
        <f>Montagem!AM69</f>
        <v/>
      </c>
      <c r="AF22" s="106" t="str">
        <f>IF(AE22="",AC22,AE22)</f>
        <v/>
      </c>
      <c r="AG22" s="106" t="str">
        <f>IF(AC23="C",'Dados de Base'!$D$5*0.1,IF(AC23="E",5,IF(AA22="",AF22,AA22)))</f>
        <v/>
      </c>
      <c r="AH22" s="108"/>
      <c r="AI22" s="115" t="str">
        <f>IF(AU22="","",HYPERLINK(OFFSET(Biblioteca!$B$2,MATCH(AU22,Biblioteca!$A$3:$A$200,0),0),AU22))</f>
        <v/>
      </c>
      <c r="AL22" s="109" t="str">
        <f>Montagem!AU69</f>
        <v/>
      </c>
      <c r="AM22" s="110" t="str">
        <f>Montagem!AV69</f>
        <v/>
      </c>
      <c r="AN22" s="110" t="str">
        <f>Montagem!AW69</f>
        <v/>
      </c>
      <c r="AO22" s="110" t="str">
        <f>Montagem!AX69</f>
        <v/>
      </c>
      <c r="AP22" s="135" t="str">
        <f>Montagem!AY69</f>
        <v/>
      </c>
      <c r="AQ22" s="109" t="str">
        <f>Montagem!AZ69</f>
        <v/>
      </c>
      <c r="AR22" s="105"/>
      <c r="AS22" s="111">
        <f>Montagem!AO69</f>
        <v>4</v>
      </c>
      <c r="AT22" s="111" t="str">
        <f>Montagem!BA69</f>
        <v/>
      </c>
      <c r="AU22" s="111" t="str">
        <f>Montagem!AP69</f>
        <v/>
      </c>
      <c r="AV22" s="111" t="str">
        <f>Montagem!BB69</f>
        <v/>
      </c>
      <c r="AW22" s="106" t="str">
        <f>IF(AV22="",AT22,AV22)</f>
        <v/>
      </c>
      <c r="AX22" s="106" t="str">
        <f>IF(AT23="C",'Dados de Base'!$D$5*0.1,IF(AT23="E",5,IF(AR22="",AW22,AR22)))</f>
        <v/>
      </c>
      <c r="AY22" s="108"/>
      <c r="AZ22" s="115" t="str">
        <f>IF(BL22="","",HYPERLINK(OFFSET(Biblioteca!$B$2,MATCH(BL22,Biblioteca!$A$3:$A$200,0),0),BL22))</f>
        <v/>
      </c>
      <c r="BC22" s="109" t="str">
        <f>Montagem!BJ69</f>
        <v/>
      </c>
      <c r="BD22" s="110" t="str">
        <f>Montagem!BK69</f>
        <v/>
      </c>
      <c r="BE22" s="110" t="str">
        <f>Montagem!BL69</f>
        <v/>
      </c>
      <c r="BF22" s="110" t="str">
        <f>Montagem!BM69</f>
        <v/>
      </c>
      <c r="BG22" s="110" t="str">
        <f>Montagem!BN69</f>
        <v/>
      </c>
      <c r="BH22" s="110" t="str">
        <f>Montagem!BO69</f>
        <v/>
      </c>
      <c r="BI22" s="112"/>
      <c r="BJ22" s="111">
        <f>Montagem!BD69</f>
        <v>3</v>
      </c>
      <c r="BK22" s="111" t="str">
        <f>Montagem!BP69</f>
        <v/>
      </c>
      <c r="BL22" s="111" t="str">
        <f>Montagem!BE69</f>
        <v/>
      </c>
      <c r="BM22" s="111" t="str">
        <f>Montagem!BQ69</f>
        <v/>
      </c>
      <c r="BN22" s="106" t="str">
        <f>IF(BM22="",BK22,BM22)</f>
        <v/>
      </c>
      <c r="BO22" s="106" t="str">
        <f>IF(BK23="C",'Dados de Base'!$D$5*0.1,IF(BK23="E",5,IF(BI22="",BN22,BI22)))</f>
        <v/>
      </c>
      <c r="BP22" s="108"/>
      <c r="BQ22" s="115" t="str">
        <f>IF(CC22="","",HYPERLINK(OFFSET(Biblioteca!$B$2,MATCH(CC22,Biblioteca!$A$3:$A$200,0),0),CC22))</f>
        <v/>
      </c>
      <c r="BT22" s="109" t="str">
        <f>Montagem!BY69</f>
        <v/>
      </c>
      <c r="BU22" s="110" t="str">
        <f>Montagem!BZ69</f>
        <v/>
      </c>
      <c r="BV22" s="110" t="str">
        <f>Montagem!CA69</f>
        <v/>
      </c>
      <c r="BW22" s="110" t="str">
        <f>Montagem!CB69</f>
        <v/>
      </c>
      <c r="BX22" s="135" t="str">
        <f>Montagem!CC69</f>
        <v/>
      </c>
      <c r="BY22" s="109" t="str">
        <f>Montagem!CD69</f>
        <v/>
      </c>
      <c r="BZ22" s="113"/>
      <c r="CA22" s="111">
        <f>Montagem!BS69</f>
        <v>3</v>
      </c>
      <c r="CB22" s="111" t="str">
        <f>Montagem!CE69</f>
        <v/>
      </c>
      <c r="CC22" s="111" t="str">
        <f>Montagem!BT69</f>
        <v/>
      </c>
      <c r="CD22" s="111" t="str">
        <f>Montagem!CF69</f>
        <v/>
      </c>
      <c r="CE22" s="106" t="str">
        <f>IF(CD22="",CB22,CD22)</f>
        <v/>
      </c>
      <c r="CF22" s="106" t="str">
        <f>IF(CB23="C",'Dados de Base'!$D$5*0.1,IF(CB23="E",5,IF(BZ22="",CE22,BZ22)))</f>
        <v/>
      </c>
      <c r="CG22" s="108"/>
      <c r="CH22" s="115" t="str">
        <f>IF(CT22="","",HYPERLINK(OFFSET(Biblioteca!$B$2,MATCH(CT22,Biblioteca!$A$3:$A$200,0),0),CT22))</f>
        <v/>
      </c>
      <c r="CK22" s="109" t="str">
        <f>Montagem!CN69</f>
        <v/>
      </c>
      <c r="CL22" s="110" t="str">
        <f>Montagem!CO69</f>
        <v/>
      </c>
      <c r="CM22" s="110" t="str">
        <f>Montagem!CP69</f>
        <v/>
      </c>
      <c r="CN22" s="110" t="str">
        <f>Montagem!CQ69</f>
        <v/>
      </c>
      <c r="CO22" s="135" t="str">
        <f>Montagem!CR69</f>
        <v/>
      </c>
      <c r="CP22" s="109" t="str">
        <f>Montagem!CS69</f>
        <v/>
      </c>
      <c r="CQ22" s="114"/>
      <c r="CR22" s="111">
        <f>Montagem!CH69</f>
        <v>4</v>
      </c>
      <c r="CS22" s="111" t="str">
        <f>Montagem!CT69</f>
        <v/>
      </c>
      <c r="CT22" s="111" t="str">
        <f>Montagem!CI69</f>
        <v/>
      </c>
      <c r="CU22" s="111" t="str">
        <f>Montagem!CU69</f>
        <v/>
      </c>
      <c r="CV22" s="106" t="str">
        <f>IF(CU22="",CS22,CU22)</f>
        <v/>
      </c>
      <c r="CW22" s="106" t="str">
        <f>IF(CS23="C",'Dados de Base'!$D$5*0.1,IF(CS23="E",5,IF(CQ22="",CV22,CQ22)))</f>
        <v/>
      </c>
      <c r="CX22" s="108"/>
      <c r="CY22" s="115" t="str">
        <f>IF(DK22="","",HYPERLINK(OFFSET(Biblioteca!$B$2,MATCH(DK22,Biblioteca!$A$3:$A$200,0),0),DK22))</f>
        <v/>
      </c>
      <c r="DB22" s="130" t="str">
        <f>Montagem!DC69</f>
        <v/>
      </c>
      <c r="DC22" s="131" t="str">
        <f>Montagem!DD69</f>
        <v/>
      </c>
      <c r="DD22" s="131" t="str">
        <f>Montagem!DE69</f>
        <v/>
      </c>
      <c r="DE22" s="131" t="str">
        <f>Montagem!DF69</f>
        <v/>
      </c>
      <c r="DF22" s="136" t="str">
        <f>Montagem!DG69</f>
        <v/>
      </c>
      <c r="DG22" s="130" t="str">
        <f>Montagem!DH69</f>
        <v/>
      </c>
      <c r="DH22" s="114"/>
      <c r="DI22" s="111">
        <f>Montagem!CW69</f>
        <v>1</v>
      </c>
      <c r="DJ22" s="111" t="str">
        <f>Montagem!DI69</f>
        <v/>
      </c>
      <c r="DK22" s="111" t="str">
        <f>Montagem!CX69</f>
        <v/>
      </c>
      <c r="DL22" s="111" t="str">
        <f>Montagem!DJ69</f>
        <v/>
      </c>
      <c r="DM22" s="106" t="str">
        <f>IF(DL22="",DJ22,DL22)</f>
        <v/>
      </c>
      <c r="DN22" s="106" t="str">
        <f>IF(DJ23="C",'Dados de Base'!$D$5*0.1,IF(DJ23="E",5,IF(DH22="",DM22,DH22)))</f>
        <v/>
      </c>
      <c r="DO22" s="108"/>
      <c r="DP22" s="116" t="s">
        <v>46</v>
      </c>
      <c r="DQ22" s="106">
        <f>COUNTA(A75,R75,AI75,AZ75,BQ75,CH75,CY75)</f>
        <v>0</v>
      </c>
      <c r="DR22" s="106"/>
      <c r="DS22" s="106"/>
      <c r="DT22" s="106"/>
      <c r="DU22" s="106"/>
      <c r="DV22" s="106"/>
      <c r="DW22" s="106"/>
      <c r="DX22" s="106"/>
      <c r="DY22" s="106"/>
    </row>
    <row r="23">
      <c r="A23" s="117" t="str">
        <f>IF(A22="","",IFS(L23="A",Montagem!$C$80,N23="T","Realizar a maior quantidade de repetições por "&amp;F22&amp;" segundos | ",N23="I",IF(M23="U","Manter a posição por "&amp;F22&amp;" segundos de um lado e trocar para o outro na sequência | ","Manter a posição por "&amp;F22&amp;" segundos | "),M23="A","Realizar alternadamente "&amp;F22&amp;" repetições cada lado | ",M23="U","Realizar "&amp;F22&amp;" repetições de um lado e trocar para o outro na sequência | ",L23="P",OFFSET(Biblioteca!$H$2,MATCH(M22,Biblioteca!$A$3:$A$200,0),0),TRUE,""))</f>
        <v/>
      </c>
      <c r="E23" s="118" t="str">
        <f>IF(A22="","",IFS(L23="H","Carga Sugerida: "&amp;ROUNDUP(O22/2,0)&amp;" kg de cada lado (Total: "&amp;ROUNDUP(O22/2,0)*2&amp;" kg)",L23="C","Este exercício usa o Peso Corporal como carga",L23="E","Este exercício usa a resistência da banda elástica como carga",L23="O","Carga Sugerida: "&amp;INT(O22)&amp;" kg",TRUE,""))</f>
        <v/>
      </c>
      <c r="J23" s="66"/>
      <c r="K23" s="126">
        <f>K22</f>
        <v>4</v>
      </c>
      <c r="L23" s="120" t="str">
        <f>LEFT(O23)</f>
        <v/>
      </c>
      <c r="M23" s="121" t="str">
        <f>MID(O23,2,1)</f>
        <v/>
      </c>
      <c r="N23" s="122" t="str">
        <f>RIGHT(O23)</f>
        <v/>
      </c>
      <c r="O23" s="123" t="str">
        <f>IF(M22="","",OFFSET(Biblioteca!$I$2,MATCH(M22,Biblioteca!$A$3:$A$200,0),0))</f>
        <v/>
      </c>
      <c r="P23" s="124"/>
      <c r="Q23" s="125"/>
      <c r="R23" s="117" t="str">
        <f>IF(R22="","",IFS(AC23="A",Montagem!$D$80,AE23="T","Realizar a maior quantidade de repetições por "&amp;W22&amp;" segundos | ",AE23="I",IF(AD23="U","Manter a posição por "&amp;W22&amp;" segundos de um lado e trocar para o outro na sequência | ","Manter a posição por "&amp;W22&amp;" segundos | "),AD23="A","Realizar alternadamente "&amp;W22&amp;" repetições cada lado | ",AD23="U","Realizar "&amp;W22&amp;" repetições de um lado e trocar para o outro na sequência | ",AC23="P",OFFSET(Biblioteca!$H$2,MATCH(AD22,Biblioteca!$A$3:$A$200,0),0),TRUE,""))</f>
        <v/>
      </c>
      <c r="V23" s="118" t="str">
        <f>IF(R22="","",IFS(AC23="H","Carga Sugerida: "&amp;ROUNDUP(AF22/2,0)&amp;" kg de cada lado (Total: "&amp;ROUNDUP(AF22/2,0)*2&amp;" kg)",AC23="C","Este exercício usa o Peso Corporal como carga",AC23="E","Este exercício usa a resistência da banda elástica como carga",AC23="O","Carga Sugerida: "&amp;INT(AF22)&amp;" kg",TRUE,""))</f>
        <v/>
      </c>
      <c r="AA23" s="66"/>
      <c r="AB23" s="126">
        <f>AB22</f>
        <v>4</v>
      </c>
      <c r="AC23" s="120" t="str">
        <f>LEFT(AF23)</f>
        <v/>
      </c>
      <c r="AD23" s="121" t="str">
        <f>MID(AF23,2,1)</f>
        <v/>
      </c>
      <c r="AE23" s="122" t="str">
        <f>RIGHT(AF23)</f>
        <v/>
      </c>
      <c r="AF23" s="123" t="str">
        <f>IF(AD22="","",OFFSET(Biblioteca!$I$2,MATCH(AD22,Biblioteca!$A$3:$A$200,0),0))</f>
        <v/>
      </c>
      <c r="AG23" s="124"/>
      <c r="AH23" s="125"/>
      <c r="AI23" s="117" t="str">
        <f>IF(AI22="","",IFS(AT23="A",Montagem!$E$80,AV23="T","Realizar a maior quantidade de repetições por "&amp;AN22&amp;" segundos | ",AV23="I",IF(AU23="U","Manter a posição por "&amp;AN22&amp;" segundos de um lado e trocar para o outro na sequência | ","Manter a posição por "&amp;AN22&amp;" segundos | "),AU23="A","Realizar alternadamente "&amp;AN22&amp;" repetições cada lado | ",AU23="U","Realizar "&amp;AN22&amp;" repetições de um lado e trocar para o outro na sequência | ",AT23="P",OFFSET(Biblioteca!$H$2,MATCH(AU22,Biblioteca!$A$3:$A$200,0),0),TRUE,""))</f>
        <v/>
      </c>
      <c r="AM23" s="118" t="str">
        <f>IF(AI22="","",IFS(AT23="H","Carga Sugerida: "&amp;ROUNDUP(AW22/2,0)&amp;" kg de cada lado (Total: "&amp;ROUNDUP(AW22/2,0)*2&amp;" kg)",AT23="C","Este exercício usa o Peso Corporal como carga",AT23="E","Este exercício usa a resistência da banda elástica como carga",AT23="O","Carga Sugerida: "&amp;INT(AW22)&amp;" kg",TRUE,""))</f>
        <v/>
      </c>
      <c r="AR23" s="66"/>
      <c r="AS23" s="126">
        <f>AS22</f>
        <v>4</v>
      </c>
      <c r="AT23" s="120" t="str">
        <f>LEFT(AW23)</f>
        <v/>
      </c>
      <c r="AU23" s="121" t="str">
        <f>MID(AW23,2,1)</f>
        <v/>
      </c>
      <c r="AV23" s="122" t="str">
        <f>RIGHT(AW23)</f>
        <v/>
      </c>
      <c r="AW23" s="123" t="str">
        <f>IF(AU22="","",OFFSET(Biblioteca!$I$2,MATCH(AU22,Biblioteca!$A$3:$A$200,0),0))</f>
        <v/>
      </c>
      <c r="AX23" s="124"/>
      <c r="AY23" s="125"/>
      <c r="AZ23" s="117" t="str">
        <f>IF(AZ22="","",IFS(BK23="A",Montagem!$F$80,BM23="T","Realizar a maior quantidade de repetições por "&amp;BE22&amp;" segundos | ",BM23="I",IF(BL23="U","Manter a posição por "&amp;BE22&amp;" segundos de um lado e trocar para o outro na sequência | ","Manter a posição por "&amp;BE22&amp;" segundos | "),BL23="A","Realizar alternadamente "&amp;BE22&amp;" repetições cada lado | ",BL23="U","Realizar "&amp;BE22&amp;" repetições de um lado e trocar para o outro na sequência | ",BK23="P",OFFSET(Biblioteca!$H$2,MATCH(BL22,Biblioteca!$A$3:$A$200,0),0),TRUE,""))</f>
        <v/>
      </c>
      <c r="BD23" s="118" t="str">
        <f>IF(AZ22="","",IFS(BK23="H","Carga Sugerida: "&amp;ROUNDUP(BN22/2,0)&amp;" kg de cada lado (Total: "&amp;ROUNDUP(BN22/2,0)*2&amp;" kg)",BK23="C","Este exercício usa o Peso Corporal como carga",BK23="E","Este exercício usa a resistência da banda elástica como carga",BK23="O","Carga Sugerida: "&amp;INT(BN22)&amp;" kg",TRUE,""))</f>
        <v/>
      </c>
      <c r="BI23" s="66"/>
      <c r="BJ23" s="126">
        <f>BJ22</f>
        <v>3</v>
      </c>
      <c r="BK23" s="120" t="str">
        <f>LEFT(BN23)</f>
        <v/>
      </c>
      <c r="BL23" s="121" t="str">
        <f>MID(BN23,2,1)</f>
        <v/>
      </c>
      <c r="BM23" s="122" t="str">
        <f>RIGHT(BN23)</f>
        <v/>
      </c>
      <c r="BN23" s="123" t="str">
        <f>IF(BL22="","",OFFSET(Biblioteca!$I$2,MATCH(BL22,Biblioteca!$A$3:$A$200,0),0))</f>
        <v/>
      </c>
      <c r="BO23" s="124"/>
      <c r="BP23" s="125"/>
      <c r="BQ23" s="117" t="str">
        <f>IF(BQ22="","",IFS(CB23="A",Montagem!$G$80,CD23="T","Realizar a maior quantidade de repetições por "&amp;BV22&amp;" segundos | ",CD23="I",IF(CC23="U","Manter a posição por "&amp;BV22&amp;" segundos de um lado e trocar para o outro na sequência | ","Manter a posição por "&amp;BV22&amp;" segundos | "),CC23="A","Realizar alternadamente "&amp;BV22&amp;" repetições cada lado | ",CC23="U","Realizar "&amp;BV22&amp;" repetições de um lado e trocar para o outro na sequência | ",CB23="P",OFFSET(Biblioteca!$H$2,MATCH(CC22,Biblioteca!$A$3:$A$200,0),0),TRUE,""))</f>
        <v/>
      </c>
      <c r="BU23" s="118" t="str">
        <f>IF(BQ22="","",IFS(CB23="H","Carga Sugerida: "&amp;ROUNDUP(CE22/2,0)&amp;" kg de cada lado (Total: "&amp;ROUNDUP(CE22/2,0)*2&amp;" kg)",CB23="C","Este exercício usa o Peso Corporal como carga",CB23="E","Este exercício usa a resistência da banda elástica como carga",CB23="O","Carga Sugerida: "&amp;INT(CE22)&amp;" kg",TRUE,""))</f>
        <v/>
      </c>
      <c r="BZ23" s="66"/>
      <c r="CA23" s="126">
        <f>CA22</f>
        <v>3</v>
      </c>
      <c r="CB23" s="120" t="str">
        <f>LEFT(CE23)</f>
        <v/>
      </c>
      <c r="CC23" s="121" t="str">
        <f>MID(CE23,2,1)</f>
        <v/>
      </c>
      <c r="CD23" s="122" t="str">
        <f>RIGHT(CE23)</f>
        <v/>
      </c>
      <c r="CE23" s="123" t="str">
        <f>IF(CC22="","",OFFSET(Biblioteca!$I$2,MATCH(CC22,Biblioteca!$A$3:$A$200,0),0))</f>
        <v/>
      </c>
      <c r="CF23" s="124"/>
      <c r="CG23" s="125"/>
      <c r="CH23" s="117" t="str">
        <f>IF(CH22="","",IFS(CS23="A",Montagem!$H$80,CU23="T","Realizar a maior quantidade de repetições por "&amp;CM22&amp;" segundos | ",CU23="I",IF(CT23="U","Manter a posição por "&amp;CM22&amp;" segundos de um lado e trocar para o outro na sequência | ","Manter a posição por "&amp;CM22&amp;" segundos | "),CT23="A","Realizar alternadamente "&amp;CM22&amp;" repetições cada lado | ",CT23="U","Realizar "&amp;CM22&amp;" repetições de um lado e trocar para o outro na sequência | ",CS23="P",OFFSET(Biblioteca!$H$2,MATCH(CT22,Biblioteca!$A$3:$A$200,0),0),TRUE,""))</f>
        <v/>
      </c>
      <c r="CL23" s="118" t="str">
        <f>IF(CH22="","",IFS(CS23="H","Carga Sugerida: "&amp;ROUNDUP(CV22/2,0)&amp;" kg de cada lado (Total: "&amp;ROUNDUP(CV22/2,0)*2&amp;" kg)",CS23="C","Este exercício usa o Peso Corporal como carga",CS23="E","Este exercício usa a resistência da banda elástica como carga",CS23="O","Carga Sugerida: "&amp;INT(CV22)&amp;" kg",TRUE,""))</f>
        <v/>
      </c>
      <c r="CQ23" s="66"/>
      <c r="CR23" s="126">
        <f>CR22</f>
        <v>4</v>
      </c>
      <c r="CS23" s="120" t="str">
        <f>LEFT(CV23)</f>
        <v/>
      </c>
      <c r="CT23" s="121" t="str">
        <f>MID(CV23,2,1)</f>
        <v/>
      </c>
      <c r="CU23" s="122" t="str">
        <f>RIGHT(CV23)</f>
        <v/>
      </c>
      <c r="CV23" s="123" t="str">
        <f>IF(CT22="","",OFFSET(Biblioteca!$I$2,MATCH(CT22,Biblioteca!$A$3:$A$200,0),0))</f>
        <v/>
      </c>
      <c r="CW23" s="124"/>
      <c r="CX23" s="125"/>
      <c r="CY23" s="117" t="str">
        <f>IF(CY22="","",IFS(DJ23="A",Montagem!$I$80,DL23="T","Realizar a maior quantidade de repetições por "&amp;DD22&amp;" segundos | ",DL23="I",IF(DK23="U","Manter a posição por "&amp;DD22&amp;" segundos de um lado e trocar para o outro na sequência | ","Manter a posição por "&amp;DD22&amp;" segundos | "),DK23="A","Realizar alternadamente "&amp;DD22&amp;" repetições cada lado | ",DK23="U","Realizar "&amp;DD22&amp;" repetições de um lado e trocar para o outro na sequência | ",DJ23="P",OFFSET(Biblioteca!$H$2,MATCH(DK22,Biblioteca!$A$3:$A$200,0),0),TRUE,""))</f>
        <v/>
      </c>
      <c r="DC23" s="118" t="str">
        <f>IF(CY22="","",IFS(DJ23="H","Carga Sugerida: "&amp;ROUNDUP(DM22/2,0)&amp;" kg de cada lado (Total: "&amp;ROUNDUP(DM22/2,0)*2&amp;" kg)",DJ23="C","Este exercício usa o Peso Corporal como carga",DJ23="E","Este exercício usa a resistência da banda elástica como carga",DJ23="O","Carga Sugerida: "&amp;INT(DM22)&amp;" kg",TRUE,""))</f>
        <v/>
      </c>
      <c r="DH23" s="66"/>
      <c r="DI23" s="126">
        <f>DI22</f>
        <v>1</v>
      </c>
      <c r="DJ23" s="120" t="str">
        <f>LEFT(DM23)</f>
        <v/>
      </c>
      <c r="DK23" s="121" t="str">
        <f>MID(DM23,2,1)</f>
        <v/>
      </c>
      <c r="DL23" s="122" t="str">
        <f>RIGHT(DM23)</f>
        <v/>
      </c>
      <c r="DM23" s="123" t="str">
        <f>IF(DK22="","",OFFSET(Biblioteca!$I$2,MATCH(DK22,Biblioteca!$A$3:$A$200,0),0))</f>
        <v/>
      </c>
      <c r="DN23" s="124"/>
      <c r="DO23" s="125"/>
      <c r="DP23" s="57"/>
      <c r="DQ23" s="56"/>
      <c r="DR23" s="56"/>
      <c r="DS23" s="56"/>
      <c r="DT23" s="56"/>
      <c r="DU23" s="56"/>
      <c r="DV23" s="56"/>
      <c r="DW23" s="56"/>
      <c r="DX23" s="56"/>
      <c r="DY23" s="56"/>
    </row>
    <row r="24">
      <c r="A24" s="90" t="s">
        <v>47</v>
      </c>
      <c r="J24" s="66"/>
      <c r="K24" s="57"/>
      <c r="L24" s="57"/>
      <c r="M24" s="57"/>
      <c r="N24" s="57"/>
      <c r="O24" s="57"/>
      <c r="P24" s="57"/>
      <c r="Q24" s="58"/>
      <c r="R24" s="90" t="s">
        <v>47</v>
      </c>
      <c r="AA24" s="66"/>
      <c r="AB24" s="138"/>
      <c r="AC24" s="57"/>
      <c r="AD24" s="138"/>
      <c r="AE24" s="138"/>
      <c r="AF24" s="57"/>
      <c r="AG24" s="57"/>
      <c r="AH24" s="58"/>
      <c r="AI24" s="90" t="s">
        <v>47</v>
      </c>
      <c r="AR24" s="66"/>
      <c r="AS24" s="138"/>
      <c r="AT24" s="57"/>
      <c r="AU24" s="138"/>
      <c r="AV24" s="138"/>
      <c r="AW24" s="57"/>
      <c r="AX24" s="57"/>
      <c r="AY24" s="58"/>
      <c r="AZ24" s="90" t="s">
        <v>47</v>
      </c>
      <c r="BI24" s="66"/>
      <c r="BJ24" s="138"/>
      <c r="BK24" s="57"/>
      <c r="BL24" s="138"/>
      <c r="BM24" s="138"/>
      <c r="BN24" s="57"/>
      <c r="BO24" s="57"/>
      <c r="BP24" s="58"/>
      <c r="BQ24" s="90" t="s">
        <v>47</v>
      </c>
      <c r="BZ24" s="66"/>
      <c r="CA24" s="138"/>
      <c r="CB24" s="57"/>
      <c r="CC24" s="138"/>
      <c r="CD24" s="138"/>
      <c r="CE24" s="57"/>
      <c r="CF24" s="57"/>
      <c r="CG24" s="58"/>
      <c r="CH24" s="90" t="s">
        <v>47</v>
      </c>
      <c r="CQ24" s="66"/>
      <c r="CR24" s="138"/>
      <c r="CS24" s="57"/>
      <c r="CT24" s="138"/>
      <c r="CU24" s="138"/>
      <c r="CV24" s="57"/>
      <c r="CW24" s="57"/>
      <c r="CX24" s="58"/>
      <c r="CY24" s="90" t="s">
        <v>47</v>
      </c>
      <c r="DH24" s="66"/>
      <c r="DI24" s="138"/>
      <c r="DJ24" s="57"/>
      <c r="DK24" s="138"/>
      <c r="DL24" s="138"/>
      <c r="DM24" s="57"/>
      <c r="DN24" s="57"/>
      <c r="DO24" s="58"/>
      <c r="DP24" s="57"/>
      <c r="DQ24" s="56"/>
      <c r="DR24" s="56"/>
      <c r="DS24" s="56"/>
      <c r="DT24" s="56"/>
      <c r="DU24" s="56"/>
      <c r="DV24" s="56"/>
      <c r="DW24" s="56"/>
      <c r="DX24" s="56"/>
      <c r="DY24" s="56"/>
    </row>
    <row r="25">
      <c r="A25" s="96" t="s">
        <v>31</v>
      </c>
      <c r="D25" s="97" t="s">
        <v>32</v>
      </c>
      <c r="E25" s="98" t="s">
        <v>33</v>
      </c>
      <c r="F25" s="98" t="s">
        <v>34</v>
      </c>
      <c r="G25" s="98" t="s">
        <v>35</v>
      </c>
      <c r="H25" s="98" t="s">
        <v>36</v>
      </c>
      <c r="I25" s="98" t="s">
        <v>37</v>
      </c>
      <c r="J25" s="99" t="s">
        <v>38</v>
      </c>
      <c r="K25" s="57"/>
      <c r="L25" s="57"/>
      <c r="M25" s="57"/>
      <c r="N25" s="57"/>
      <c r="O25" s="57"/>
      <c r="P25" s="57"/>
      <c r="Q25" s="58"/>
      <c r="R25" s="96" t="s">
        <v>31</v>
      </c>
      <c r="U25" s="139" t="s">
        <v>32</v>
      </c>
      <c r="V25" s="140" t="s">
        <v>33</v>
      </c>
      <c r="W25" s="140" t="s">
        <v>34</v>
      </c>
      <c r="X25" s="140" t="s">
        <v>35</v>
      </c>
      <c r="Y25" s="140" t="s">
        <v>36</v>
      </c>
      <c r="Z25" s="140" t="s">
        <v>37</v>
      </c>
      <c r="AA25" s="141" t="s">
        <v>38</v>
      </c>
      <c r="AB25" s="138"/>
      <c r="AC25" s="57"/>
      <c r="AD25" s="138"/>
      <c r="AE25" s="138"/>
      <c r="AF25" s="57"/>
      <c r="AG25" s="57"/>
      <c r="AH25" s="58"/>
      <c r="AI25" s="96" t="s">
        <v>31</v>
      </c>
      <c r="AL25" s="139" t="s">
        <v>32</v>
      </c>
      <c r="AM25" s="140" t="s">
        <v>33</v>
      </c>
      <c r="AN25" s="140" t="s">
        <v>34</v>
      </c>
      <c r="AO25" s="140" t="s">
        <v>35</v>
      </c>
      <c r="AP25" s="140" t="s">
        <v>36</v>
      </c>
      <c r="AQ25" s="140" t="s">
        <v>37</v>
      </c>
      <c r="AR25" s="141" t="s">
        <v>38</v>
      </c>
      <c r="AS25" s="138"/>
      <c r="AT25" s="57"/>
      <c r="AU25" s="138"/>
      <c r="AV25" s="138"/>
      <c r="AW25" s="57"/>
      <c r="AX25" s="57"/>
      <c r="AY25" s="58"/>
      <c r="AZ25" s="96" t="s">
        <v>31</v>
      </c>
      <c r="BC25" s="139" t="s">
        <v>32</v>
      </c>
      <c r="BD25" s="140" t="s">
        <v>33</v>
      </c>
      <c r="BE25" s="140" t="s">
        <v>34</v>
      </c>
      <c r="BF25" s="140" t="s">
        <v>35</v>
      </c>
      <c r="BG25" s="140" t="s">
        <v>36</v>
      </c>
      <c r="BH25" s="140" t="s">
        <v>37</v>
      </c>
      <c r="BI25" s="141" t="s">
        <v>38</v>
      </c>
      <c r="BJ25" s="138"/>
      <c r="BK25" s="57"/>
      <c r="BL25" s="138"/>
      <c r="BM25" s="138"/>
      <c r="BN25" s="57"/>
      <c r="BO25" s="57"/>
      <c r="BP25" s="58"/>
      <c r="BQ25" s="96" t="s">
        <v>31</v>
      </c>
      <c r="BT25" s="139" t="s">
        <v>32</v>
      </c>
      <c r="BU25" s="140" t="s">
        <v>33</v>
      </c>
      <c r="BV25" s="140" t="s">
        <v>34</v>
      </c>
      <c r="BW25" s="140" t="s">
        <v>35</v>
      </c>
      <c r="BX25" s="140" t="s">
        <v>36</v>
      </c>
      <c r="BY25" s="140" t="s">
        <v>37</v>
      </c>
      <c r="BZ25" s="141" t="s">
        <v>38</v>
      </c>
      <c r="CA25" s="138"/>
      <c r="CB25" s="57"/>
      <c r="CC25" s="138"/>
      <c r="CD25" s="138"/>
      <c r="CE25" s="57"/>
      <c r="CF25" s="57"/>
      <c r="CG25" s="58"/>
      <c r="CH25" s="96" t="s">
        <v>31</v>
      </c>
      <c r="CK25" s="139" t="s">
        <v>32</v>
      </c>
      <c r="CL25" s="140" t="s">
        <v>33</v>
      </c>
      <c r="CM25" s="140" t="s">
        <v>34</v>
      </c>
      <c r="CN25" s="140" t="s">
        <v>35</v>
      </c>
      <c r="CO25" s="140" t="s">
        <v>36</v>
      </c>
      <c r="CP25" s="140" t="s">
        <v>37</v>
      </c>
      <c r="CQ25" s="141" t="s">
        <v>38</v>
      </c>
      <c r="CR25" s="138"/>
      <c r="CS25" s="57"/>
      <c r="CT25" s="138"/>
      <c r="CU25" s="138"/>
      <c r="CV25" s="57"/>
      <c r="CW25" s="57"/>
      <c r="CX25" s="58"/>
      <c r="CY25" s="96" t="s">
        <v>31</v>
      </c>
      <c r="DB25" s="139" t="s">
        <v>32</v>
      </c>
      <c r="DC25" s="140" t="s">
        <v>33</v>
      </c>
      <c r="DD25" s="140" t="s">
        <v>34</v>
      </c>
      <c r="DE25" s="140" t="s">
        <v>35</v>
      </c>
      <c r="DF25" s="140" t="s">
        <v>36</v>
      </c>
      <c r="DG25" s="140" t="s">
        <v>37</v>
      </c>
      <c r="DH25" s="141" t="s">
        <v>38</v>
      </c>
      <c r="DI25" s="138"/>
      <c r="DJ25" s="57"/>
      <c r="DK25" s="138"/>
      <c r="DL25" s="138"/>
      <c r="DM25" s="57"/>
      <c r="DN25" s="57"/>
      <c r="DO25" s="58"/>
      <c r="DP25" s="142"/>
      <c r="DQ25" s="56"/>
      <c r="DR25" s="56"/>
      <c r="DS25" s="56"/>
      <c r="DT25" s="56"/>
      <c r="DU25" s="56"/>
      <c r="DV25" s="56"/>
      <c r="DW25" s="56"/>
      <c r="DX25" s="56"/>
      <c r="DY25" s="56"/>
    </row>
    <row r="26">
      <c r="A26" s="213" t="str">
        <f>IF(M26="","",HYPERLINK(OFFSET(Biblioteca!$B$2,MATCH(M26,Biblioteca!$A$3:$A$200,0),0),M26))</f>
        <v>Esteira</v>
      </c>
      <c r="D26" s="103" t="str">
        <f>Montagem!Q71</f>
        <v/>
      </c>
      <c r="E26" s="104" t="str">
        <f>Montagem!R71</f>
        <v/>
      </c>
      <c r="F26" s="104" t="str">
        <f>Montagem!S71</f>
        <v/>
      </c>
      <c r="G26" s="104">
        <f>Montagem!T71</f>
        <v>60</v>
      </c>
      <c r="H26" s="104" t="str">
        <f>Montagem!U71</f>
        <v/>
      </c>
      <c r="I26" s="132" t="str">
        <f>Montagem!V71</f>
        <v/>
      </c>
      <c r="J26" s="105">
        <v>10.0</v>
      </c>
      <c r="K26" s="106">
        <f>Montagem!K71</f>
        <v>1</v>
      </c>
      <c r="L26" s="111">
        <f>Montagem!W71</f>
        <v>0</v>
      </c>
      <c r="M26" s="111" t="str">
        <f>Montagem!L71</f>
        <v>Esteira</v>
      </c>
      <c r="N26" s="111" t="str">
        <f>Montagem!X71</f>
        <v/>
      </c>
      <c r="O26" s="106">
        <f>IF(N26="",L26,N26)</f>
        <v>0</v>
      </c>
      <c r="P26" s="106">
        <f>IF(L27="C",'Dados de Base'!$D$5*0.1,IF(L27="E",5,IF(J26="",O26,J26)))</f>
        <v>10</v>
      </c>
      <c r="Q26" s="108"/>
      <c r="R26" s="115" t="str">
        <f>IF(AD26="","",HYPERLINK(OFFSET(Biblioteca!$B$2,MATCH(AD26,Biblioteca!$A$3:$A$200,0),0),AD26))</f>
        <v>Bicicleta</v>
      </c>
      <c r="U26" s="109" t="str">
        <f>Montagem!AF71</f>
        <v/>
      </c>
      <c r="V26" s="110" t="str">
        <f>Montagem!AG71</f>
        <v/>
      </c>
      <c r="W26" s="110" t="str">
        <f>Montagem!AH71</f>
        <v/>
      </c>
      <c r="X26" s="110">
        <f>Montagem!AI71</f>
        <v>60</v>
      </c>
      <c r="Y26" s="135" t="str">
        <f>Montagem!AJ71</f>
        <v/>
      </c>
      <c r="Z26" s="109" t="str">
        <f>Montagem!AK71</f>
        <v/>
      </c>
      <c r="AA26" s="113">
        <v>10.0</v>
      </c>
      <c r="AB26" s="111">
        <f>Montagem!Z71</f>
        <v>1</v>
      </c>
      <c r="AC26" s="111">
        <f>Montagem!AL71</f>
        <v>0</v>
      </c>
      <c r="AD26" s="129" t="str">
        <f>Montagem!AA71</f>
        <v>Bicicleta</v>
      </c>
      <c r="AE26" s="111" t="str">
        <f>Montagem!AM71</f>
        <v/>
      </c>
      <c r="AF26" s="106">
        <f>IF(AE26="",AC26,AE26)</f>
        <v>0</v>
      </c>
      <c r="AG26" s="106">
        <f>IF(AC27="C",'Dados de Base'!$D$5*0.1,IF(AC27="E",5,IF(AA26="",AF26,AA26)))</f>
        <v>10</v>
      </c>
      <c r="AH26" s="108"/>
      <c r="AI26" s="115" t="str">
        <f>IF(AU26="","",HYPERLINK(OFFSET(Biblioteca!$B$2,MATCH(AU26,Biblioteca!$A$3:$A$200,0),0),AU26))</f>
        <v>Pista</v>
      </c>
      <c r="AL26" s="109" t="str">
        <f>Montagem!AU71</f>
        <v/>
      </c>
      <c r="AM26" s="110" t="str">
        <f>Montagem!AV71</f>
        <v/>
      </c>
      <c r="AN26" s="110" t="str">
        <f>Montagem!AW71</f>
        <v/>
      </c>
      <c r="AO26" s="110" t="str">
        <f>Montagem!AX71</f>
        <v/>
      </c>
      <c r="AP26" s="135" t="str">
        <f>Montagem!AY71</f>
        <v/>
      </c>
      <c r="AQ26" s="109" t="str">
        <f>Montagem!AZ71</f>
        <v/>
      </c>
      <c r="AR26" s="114"/>
      <c r="AS26" s="111">
        <f>Montagem!AO71</f>
        <v>1</v>
      </c>
      <c r="AT26" s="111">
        <f>Montagem!BA71</f>
        <v>0</v>
      </c>
      <c r="AU26" s="111" t="str">
        <f>Montagem!AP71</f>
        <v>Pista</v>
      </c>
      <c r="AV26" s="111" t="str">
        <f>Montagem!BB71</f>
        <v/>
      </c>
      <c r="AW26" s="106">
        <f>IF(AV26="",AT26,AV26)</f>
        <v>0</v>
      </c>
      <c r="AX26" s="106">
        <f>IF(AT27="C",'Dados de Base'!$D$5*0.1,IF(AT27="E",5,IF(AR26="",AW26,AR26)))</f>
        <v>0</v>
      </c>
      <c r="AY26" s="108"/>
      <c r="AZ26" s="115" t="str">
        <f>IF(BL26="","",HYPERLINK(OFFSET(Biblioteca!$B$2,MATCH(BL26,Biblioteca!$A$3:$A$200,0),0),BL26))</f>
        <v>Flexão com impulsão</v>
      </c>
      <c r="BC26" s="109" t="str">
        <f>Montagem!BJ71</f>
        <v>Bi-SET</v>
      </c>
      <c r="BD26" s="110">
        <f>Montagem!BK71</f>
        <v>3</v>
      </c>
      <c r="BE26" s="110">
        <f>Montagem!BL71</f>
        <v>10</v>
      </c>
      <c r="BF26" s="110" t="str">
        <f>Montagem!BM71</f>
        <v/>
      </c>
      <c r="BG26" s="110">
        <f>Montagem!BN71</f>
        <v>1</v>
      </c>
      <c r="BH26" s="110">
        <f>Montagem!BO71</f>
        <v>2</v>
      </c>
      <c r="BI26" s="113">
        <v>10.0</v>
      </c>
      <c r="BJ26" s="111">
        <f>Montagem!BD71</f>
        <v>1</v>
      </c>
      <c r="BK26" s="111">
        <f>Montagem!BP71</f>
        <v>0</v>
      </c>
      <c r="BL26" s="111" t="str">
        <f>Montagem!BE71</f>
        <v>Flexão com impulsão</v>
      </c>
      <c r="BM26" s="111" t="str">
        <f>Montagem!BQ71</f>
        <v/>
      </c>
      <c r="BN26" s="106">
        <f>IF(BM26="",BK26,BM26)</f>
        <v>0</v>
      </c>
      <c r="BO26" s="106">
        <f>IF(BK27="C",'Dados de Base'!$D$5*0.1,IF(BK27="E",5,IF(BI26="",BN26,BI26)))</f>
        <v>10</v>
      </c>
      <c r="BP26" s="108"/>
      <c r="BQ26" s="102" t="str">
        <f>IF(CC26="","",HYPERLINK(OFFSET(Biblioteca!$B$2,MATCH(CC26,Biblioteca!$A$3:$A$200,0),0),CC26))</f>
        <v>Corda</v>
      </c>
      <c r="BT26" s="109" t="str">
        <f>Montagem!BY71</f>
        <v/>
      </c>
      <c r="BU26" s="110" t="str">
        <f>Montagem!BZ71</f>
        <v/>
      </c>
      <c r="BV26" s="110" t="str">
        <f>Montagem!CA71</f>
        <v/>
      </c>
      <c r="BW26" s="110">
        <f>Montagem!CB71</f>
        <v>60</v>
      </c>
      <c r="BX26" s="135" t="str">
        <f>Montagem!CC71</f>
        <v/>
      </c>
      <c r="BY26" s="109" t="str">
        <f>Montagem!CD71</f>
        <v/>
      </c>
      <c r="BZ26" s="113"/>
      <c r="CA26" s="111">
        <f>Montagem!BS71</f>
        <v>1</v>
      </c>
      <c r="CB26" s="111">
        <f>Montagem!CE71</f>
        <v>0</v>
      </c>
      <c r="CC26" s="111" t="str">
        <f>Montagem!BT71</f>
        <v>Corda</v>
      </c>
      <c r="CD26" s="111" t="str">
        <f>Montagem!CF71</f>
        <v/>
      </c>
      <c r="CE26" s="106">
        <f>IF(CD26="",CB26,CD26)</f>
        <v>0</v>
      </c>
      <c r="CF26" s="106">
        <f>IF(CB27="C",'Dados de Base'!$D$5*0.1,IF(CB27="E",5,IF(BZ26="",CE26,BZ26)))</f>
        <v>0</v>
      </c>
      <c r="CG26" s="108"/>
      <c r="CH26" s="115" t="str">
        <f>IF(CT26="","",HYPERLINK(OFFSET(Biblioteca!$B$2,MATCH(CT26,Biblioteca!$A$3:$A$200,0),0),CT26))</f>
        <v>Pista</v>
      </c>
      <c r="CK26" s="109" t="str">
        <f>Montagem!CN71</f>
        <v/>
      </c>
      <c r="CL26" s="110" t="str">
        <f>Montagem!CO71</f>
        <v/>
      </c>
      <c r="CM26" s="110" t="str">
        <f>Montagem!CP71</f>
        <v/>
      </c>
      <c r="CN26" s="110" t="str">
        <f>Montagem!CQ71</f>
        <v/>
      </c>
      <c r="CO26" s="135" t="str">
        <f>Montagem!CR71</f>
        <v/>
      </c>
      <c r="CP26" s="109" t="str">
        <f>Montagem!CS71</f>
        <v/>
      </c>
      <c r="CQ26" s="114"/>
      <c r="CR26" s="111">
        <f>Montagem!CH71</f>
        <v>1</v>
      </c>
      <c r="CS26" s="111">
        <f>Montagem!CT71</f>
        <v>0</v>
      </c>
      <c r="CT26" s="111" t="str">
        <f>Montagem!CI71</f>
        <v>Pista</v>
      </c>
      <c r="CU26" s="111" t="str">
        <f>Montagem!CU71</f>
        <v/>
      </c>
      <c r="CV26" s="106">
        <f>IF(CU26="",CS26,CU26)</f>
        <v>0</v>
      </c>
      <c r="CW26" s="106">
        <f>IF(CS27="C",'Dados de Base'!$D$5*0.1,IF(CS27="E",5,IF(CQ26="",CV26,CQ26)))</f>
        <v>0</v>
      </c>
      <c r="CX26" s="108"/>
      <c r="CY26" s="115" t="str">
        <f>IF(DK26="","",HYPERLINK(OFFSET(Biblioteca!$B$2,MATCH(DK26,Biblioteca!$A$3:$A$200,0),0),DK26))</f>
        <v/>
      </c>
      <c r="DB26" s="130" t="str">
        <f>Montagem!DC71</f>
        <v/>
      </c>
      <c r="DC26" s="131" t="str">
        <f>Montagem!DD71</f>
        <v/>
      </c>
      <c r="DD26" s="131" t="str">
        <f>Montagem!DE71</f>
        <v/>
      </c>
      <c r="DE26" s="131" t="str">
        <f>Montagem!DF71</f>
        <v/>
      </c>
      <c r="DF26" s="136" t="str">
        <f>Montagem!DG71</f>
        <v/>
      </c>
      <c r="DG26" s="130" t="str">
        <f>Montagem!DH71</f>
        <v/>
      </c>
      <c r="DH26" s="113"/>
      <c r="DI26" s="111">
        <f>Montagem!CW71</f>
        <v>1</v>
      </c>
      <c r="DJ26" s="111" t="str">
        <f>Montagem!DI71</f>
        <v/>
      </c>
      <c r="DK26" s="111" t="str">
        <f>Montagem!CX71</f>
        <v/>
      </c>
      <c r="DL26" s="111" t="str">
        <f>Montagem!DJ71</f>
        <v/>
      </c>
      <c r="DM26" s="106" t="str">
        <f>IF(DL26="",DJ26,DL26)</f>
        <v/>
      </c>
      <c r="DN26" s="106" t="str">
        <f>IF(DJ27="C",'Dados de Base'!$D$5*0.1,IF(DJ27="E",5,IF(DH26="",DM26,DH26)))</f>
        <v/>
      </c>
      <c r="DO26" s="108"/>
      <c r="DP26" s="106"/>
      <c r="DQ26" s="106"/>
      <c r="DR26" s="106"/>
      <c r="DS26" s="106"/>
      <c r="DT26" s="106"/>
      <c r="DU26" s="106"/>
      <c r="DV26" s="106"/>
      <c r="DW26" s="106"/>
      <c r="DX26" s="106"/>
      <c r="DY26" s="106"/>
    </row>
    <row r="27">
      <c r="A27" s="117" t="str">
        <f>IF(A26="","",IFS(L27="A",Montagem!$C$80,N27="T","Realizar a maior quantidade de repetições por "&amp;F26&amp;" segundos | ",N27="I",IF(M27="U","Manter a posição por "&amp;F26&amp;" segundos de um lado e trocar para o outro na sequência | ","Manter a posição por "&amp;F26&amp;" segundos | "),M27="A","Realizar alternadamente "&amp;F26&amp;" repetições cada lado | ",M27="U","Realizar "&amp;F26&amp;" repetições de um lado e trocar para o outro na sequência | ",L27="P",OFFSET(Biblioteca!$H$2,MATCH(M26,Biblioteca!$A$3:$A$200,0),0),TRUE,"")&amp;IF(N27="R","Ajuste a carga para que tenha "&amp;$K$2&amp;" repetições de reserva",""))</f>
        <v>1x (3m a 142,95 - 148,3 bpm-&gt; 15,4 - 16,4km/h)</v>
      </c>
      <c r="E27" s="118" t="str">
        <f>IF(A26="","",IFS(L27="H","Carga Sugerida: "&amp;ROUNDUP(O26/2,0)&amp;" kg de cada lado (Total: "&amp;ROUNDUP(O26/2,0)*2&amp;" kg)",L27="C","Este exercício usa o Peso Corporal como carga",L27="E","Este exercício usa a resistência da banda elástica como carga",L27="O","Carga Sugerida: "&amp;INT(O26)&amp;" kg",TRUE,""))</f>
        <v/>
      </c>
      <c r="J27" s="66"/>
      <c r="K27" s="126">
        <f>K26</f>
        <v>1</v>
      </c>
      <c r="L27" s="120" t="str">
        <f>LEFT(O27)</f>
        <v>A</v>
      </c>
      <c r="M27" s="121" t="str">
        <f>MID(O27,2,1)</f>
        <v>-</v>
      </c>
      <c r="N27" s="122" t="str">
        <f>RIGHT(O27)</f>
        <v>-</v>
      </c>
      <c r="O27" s="123" t="str">
        <f>IF(M26="","",OFFSET(Biblioteca!$I$2,MATCH(M26,Biblioteca!$A$3:$A$200,0),0))</f>
        <v>A--</v>
      </c>
      <c r="P27" s="124"/>
      <c r="Q27" s="125"/>
      <c r="R27" s="117" t="str">
        <f>IF(R26="","",IFS(AC27="A",Montagem!$D$80,AE27="T","Realizar a maior quantidade de repetições por "&amp;W26&amp;" segundos | ",AE27="I",IF(AD27="U","Manter a posição por "&amp;W26&amp;" segundos de um lado e trocar para o outro na sequência | ","Manter a posição por "&amp;W26&amp;" segundos | "),AD27="A","Realizar alternadamente "&amp;W26&amp;" repetições cada lado | ",AD27="U","Realizar "&amp;W26&amp;" repetições de um lado e trocar para o outro na sequência | ",AC27="P",OFFSET(Biblioteca!$H$2,MATCH(AD26,Biblioteca!$A$3:$A$200,0),0),TRUE,"")&amp;IF(AE27="R","Ajuste a carga para que tenha "&amp;$K$2&amp;" repetições de reserva",""))</f>
        <v>1x (3m all out)</v>
      </c>
      <c r="V27" s="118" t="str">
        <f>IF(R26="","",IFS(AC27="H","Carga Sugerida: "&amp;ROUNDUP(AF26/2,0)&amp;" kg de cada lado (Total: "&amp;ROUNDUP(AF26/2,0)*2&amp;" kg)",AC27="C","Este exercício usa o Peso Corporal como carga",AC27="E","Este exercício usa a resistência da banda elástica como carga",AC27="O","Carga Sugerida: "&amp;INT(AF26)&amp;" kg",TRUE,""))</f>
        <v/>
      </c>
      <c r="AA27" s="66"/>
      <c r="AB27" s="126">
        <f>AB26</f>
        <v>1</v>
      </c>
      <c r="AC27" s="120" t="str">
        <f>LEFT(AF27)</f>
        <v>A</v>
      </c>
      <c r="AD27" s="121" t="str">
        <f>MID(AF27,2,1)</f>
        <v>-</v>
      </c>
      <c r="AE27" s="122" t="str">
        <f>RIGHT(AF27)</f>
        <v>-</v>
      </c>
      <c r="AF27" s="123" t="str">
        <f>IF(AD26="","",OFFSET(Biblioteca!$I$2,MATCH(AD26,Biblioteca!$A$3:$A$200,0),0))</f>
        <v>A--</v>
      </c>
      <c r="AG27" s="124"/>
      <c r="AH27" s="125"/>
      <c r="AI27" s="117" t="str">
        <f>IF(AI26="","",IFS(AT27="A",Montagem!$E$80,AV27="T","Realizar a maior quantidade de repetições por "&amp;AN26&amp;" segundos | ",AV27="I",IF(AU27="U","Manter a posição por "&amp;AN26&amp;" segundos de um lado e trocar para o outro na sequência | ","Manter a posição por "&amp;AN26&amp;" segundos | "),AU27="A","Realizar alternadamente "&amp;AN26&amp;" repetições cada lado | ",AU27="U","Realizar "&amp;AN26&amp;" repetições de um lado e trocar para o outro na sequência | ",AT27="P",OFFSET(Biblioteca!$H$2,MATCH(AU26,Biblioteca!$A$3:$A$200,0),0),TRUE,"")&amp;IF(AV27="R","Ajuste a carga para que tenha "&amp;$K$2&amp;" repetições de reserva",""))</f>
        <v>- Correr 15 km no menor tempo possível.
</v>
      </c>
      <c r="AM27" s="118" t="str">
        <f>IF(AI26="","",IFS(AT27="H","Carga Sugerida: "&amp;ROUNDUP(AW26/2,0)&amp;" kg de cada lado (Total: "&amp;ROUNDUP(AW26/2,0)*2&amp;" kg)",AT27="C","Este exercício usa o Peso Corporal como carga",AT27="E","Este exercício usa a resistência da banda elástica como carga",AT27="O","Carga Sugerida: "&amp;INT(AW26)&amp;" kg",TRUE,""))</f>
        <v/>
      </c>
      <c r="AR27" s="66"/>
      <c r="AS27" s="126">
        <f>AS26</f>
        <v>1</v>
      </c>
      <c r="AT27" s="120" t="str">
        <f>LEFT(AW27)</f>
        <v>A</v>
      </c>
      <c r="AU27" s="121" t="str">
        <f>MID(AW27,2,1)</f>
        <v>-</v>
      </c>
      <c r="AV27" s="122" t="str">
        <f>RIGHT(AW27)</f>
        <v>-</v>
      </c>
      <c r="AW27" s="123" t="str">
        <f>IF(AU26="","",OFFSET(Biblioteca!$I$2,MATCH(AU26,Biblioteca!$A$3:$A$200,0),0))</f>
        <v>A--</v>
      </c>
      <c r="AX27" s="124"/>
      <c r="AY27" s="125"/>
      <c r="AZ27" s="117" t="str">
        <f>IF(AZ26="","",IFS(BK27="A",Montagem!$F$80,BM27="T","Realizar a maior quantidade de repetições por "&amp;BE26&amp;" segundos | ",BM27="I",IF(BL27="U","Manter a posição por "&amp;BE26&amp;" segundos de um lado e trocar para o outro na sequência | ","Manter a posição por "&amp;BE26&amp;" segundos | "),BL27="A","Realizar alternadamente "&amp;BE26&amp;" repetições cada lado | ",BL27="U","Realizar "&amp;BE26&amp;" repetições de um lado e trocar para o outro na sequência | ",BK27="P",OFFSET(Biblioteca!$H$2,MATCH(BL26,Biblioteca!$A$3:$A$200,0),0),TRUE,"")&amp;IF(BM27="R","Ajuste a carga para que tenha "&amp;$K$2&amp;" repetições de reserva",""))</f>
        <v/>
      </c>
      <c r="BD27" s="118" t="str">
        <f>IF(AZ26="","",IFS(BK27="H","Carga Sugerida: "&amp;ROUNDUP(BN26/2,0)&amp;" kg de cada lado (Total: "&amp;ROUNDUP(BN26/2,0)*2&amp;" kg)",BK27="C","Este exercício usa o Peso Corporal como carga",BK27="E","Este exercício usa a resistência da banda elástica como carga",BK27="O","Carga Sugerida: "&amp;INT(BN26)&amp;" kg",TRUE,""))</f>
        <v/>
      </c>
      <c r="BI27" s="66"/>
      <c r="BJ27" s="126">
        <f>BJ26</f>
        <v>1</v>
      </c>
      <c r="BK27" s="120" t="str">
        <f>LEFT(BN27)</f>
        <v/>
      </c>
      <c r="BL27" s="121" t="str">
        <f>MID(BN27,2,1)</f>
        <v/>
      </c>
      <c r="BM27" s="122" t="str">
        <f>RIGHT(BN27)</f>
        <v/>
      </c>
      <c r="BN27" s="123" t="str">
        <f>IF(BL26="","",OFFSET(Biblioteca!$I$2,MATCH(BL26,Biblioteca!$A$3:$A$200,0),0))</f>
        <v/>
      </c>
      <c r="BO27" s="124"/>
      <c r="BP27" s="125"/>
      <c r="BQ27" s="117" t="str">
        <f>IF(BQ26="","",IFS(CB27="A",Montagem!$G$80,CD27="T","Realizar a maior quantidade de repetições por "&amp;BV26&amp;" segundos | ",CD27="I",IF(CC27="U","Manter a posição por "&amp;BV26&amp;" segundos de um lado e trocar para o outro na sequência | ","Manter a posição por "&amp;BV26&amp;" segundos | "),CC27="A","Realizar alternadamente "&amp;BV26&amp;" repetições cada lado | ",CC27="U","Realizar "&amp;BV26&amp;" repetições de um lado e trocar para o outro na sequência | ",CB27="P",OFFSET(Biblioteca!$H$2,MATCH(CC26,Biblioteca!$A$3:$A$200,0),0),TRUE,"")&amp;IF(CD27="R","Ajuste a carga para que tenha "&amp;$K$2&amp;" repetições de reserva",""))</f>
        <v>1x (5m all out)</v>
      </c>
      <c r="BU27" s="118" t="str">
        <f>IF(BQ26="","",IFS(CB27="H","Carga Sugerida: "&amp;ROUNDUP(CE26/2,0)&amp;" kg de cada lado (Total: "&amp;ROUNDUP(CE26/2,0)*2&amp;" kg)",CB27="C","Este exercício usa o Peso Corporal como carga",CB27="E","Este exercício usa a resistência da banda elástica como carga",CB27="O","Carga Sugerida: "&amp;INT(CE26)&amp;" kg",TRUE,""))</f>
        <v/>
      </c>
      <c r="BZ27" s="66"/>
      <c r="CA27" s="126">
        <f>CA26</f>
        <v>1</v>
      </c>
      <c r="CB27" s="120" t="str">
        <f>LEFT(CE27)</f>
        <v>A</v>
      </c>
      <c r="CC27" s="121" t="str">
        <f>MID(CE27,2,1)</f>
        <v>T</v>
      </c>
      <c r="CD27" s="122" t="str">
        <f>RIGHT(CE27)</f>
        <v>T</v>
      </c>
      <c r="CE27" s="123" t="str">
        <f>IF(CC26="","",OFFSET(Biblioteca!$I$2,MATCH(CC26,Biblioteca!$A$3:$A$200,0),0))</f>
        <v>AT</v>
      </c>
      <c r="CF27" s="124"/>
      <c r="CG27" s="125"/>
      <c r="CH27" s="117" t="str">
        <f>IF(CH26="","",IFS(CS27="A",Montagem!$H$80,CU27="T","Realizar a maior quantidade de repetições por "&amp;CM26&amp;" segundos | ",CU27="I",IF(CT27="U","Manter a posição por "&amp;CM26&amp;" segundos de um lado e trocar para o outro na sequência | ","Manter a posição por "&amp;CM26&amp;" segundos | "),CT27="A","Realizar alternadamente "&amp;CM26&amp;" repetições cada lado | ",CT27="U","Realizar "&amp;CM26&amp;" repetições de um lado e trocar para o outro na sequência | ",CS27="P",OFFSET(Biblioteca!$H$2,MATCH(CT26,Biblioteca!$A$3:$A$200,0),0),TRUE,"")&amp;IF(CU27="R","Ajuste a carga para que tenha "&amp;$K$2&amp;" repetições de reserva",""))</f>
        <v>***TRAJETO***
- 2 km à 11,0km/h;
- 16km à 12,5 km/h;
- 2 km All out </v>
      </c>
      <c r="CL27" s="118" t="str">
        <f>IF(CH26="","",IFS(CS27="H","Carga Sugerida: "&amp;ROUNDUP(CV26/2,0)&amp;" kg de cada lado (Total: "&amp;ROUNDUP(CV26/2,0)*2&amp;" kg)",CS27="C","Este exercício usa o Peso Corporal como carga",CS27="E","Este exercício usa a resistência da banda elástica como carga",CS27="O","Carga Sugerida: "&amp;INT(CV26)&amp;" kg",TRUE,""))</f>
        <v/>
      </c>
      <c r="CQ27" s="66"/>
      <c r="CR27" s="126">
        <f>CR26</f>
        <v>1</v>
      </c>
      <c r="CS27" s="120" t="str">
        <f>LEFT(CV27)</f>
        <v>A</v>
      </c>
      <c r="CT27" s="121" t="str">
        <f>MID(CV27,2,1)</f>
        <v>-</v>
      </c>
      <c r="CU27" s="122" t="str">
        <f>RIGHT(CV27)</f>
        <v>-</v>
      </c>
      <c r="CV27" s="123" t="str">
        <f>IF(CT26="","",OFFSET(Biblioteca!$I$2,MATCH(CT26,Biblioteca!$A$3:$A$200,0),0))</f>
        <v>A--</v>
      </c>
      <c r="CW27" s="124"/>
      <c r="CX27" s="125"/>
      <c r="CY27" s="117" t="str">
        <f>IF(CY26="","",IFS(DJ27="A",Montagem!$I$80,DL27="T","Realizar a maior quantidade de repetições por "&amp;DD26&amp;" segundos | ",DL27="I",IF(DK27="U","Manter a posição por "&amp;DD26&amp;" segundos de um lado e trocar para o outro na sequência | ","Manter a posição por "&amp;DD26&amp;" segundos | "),DK27="A","Realizar alternadamente "&amp;DD26&amp;" repetições cada lado | ",DK27="U","Realizar "&amp;DD26&amp;" repetições de um lado e trocar para o outro na sequência | ",DJ27="P",OFFSET(Biblioteca!$H$2,MATCH(DK26,Biblioteca!$A$3:$A$200,0),0),TRUE,"")&amp;IF(DL27="R","Ajuste a carga para que tenha "&amp;$K$2&amp;" repetições de reserva",""))</f>
        <v/>
      </c>
      <c r="DC27" s="118" t="str">
        <f>IF(CY26="","",IFS(DJ27="H","Carga Sugerida: "&amp;ROUNDUP(DM26/2,0)&amp;" kg de cada lado (Total: "&amp;ROUNDUP(DM26/2,0)*2&amp;" kg)",DJ27="C","Este exercício usa o Peso Corporal como carga",DJ27="E","Este exercício usa a resistência da banda elástica como carga",DJ27="O","Carga Sugerida: "&amp;INT(DM26)&amp;" kg",TRUE,""))</f>
        <v/>
      </c>
      <c r="DH27" s="66"/>
      <c r="DI27" s="126">
        <f>DI26</f>
        <v>1</v>
      </c>
      <c r="DJ27" s="120" t="str">
        <f>LEFT(DM27)</f>
        <v/>
      </c>
      <c r="DK27" s="121" t="str">
        <f>MID(DM27,2,1)</f>
        <v/>
      </c>
      <c r="DL27" s="122" t="str">
        <f>RIGHT(DM27)</f>
        <v/>
      </c>
      <c r="DM27" s="123" t="str">
        <f>IF(DK26="","",OFFSET(Biblioteca!$I$2,MATCH(DK26,Biblioteca!$A$3:$A$200,0),0))</f>
        <v/>
      </c>
      <c r="DN27" s="124"/>
      <c r="DO27" s="125"/>
      <c r="DP27" s="57"/>
      <c r="DQ27" s="56"/>
      <c r="DR27" s="56"/>
      <c r="DS27" s="56"/>
      <c r="DT27" s="56"/>
      <c r="DU27" s="56"/>
      <c r="DV27" s="56"/>
      <c r="DW27" s="56"/>
      <c r="DX27" s="56"/>
      <c r="DY27" s="56"/>
    </row>
    <row r="28">
      <c r="A28" s="102" t="str">
        <f>IF(M28="","",HYPERLINK(OFFSET(Biblioteca!$B$2,MATCH(M28,Biblioteca!$A$3:$A$200,0),0),M28))</f>
        <v>Supino</v>
      </c>
      <c r="D28" s="103" t="str">
        <f>Montagem!Q72</f>
        <v>Bi-SET</v>
      </c>
      <c r="E28" s="104">
        <f>Montagem!R72</f>
        <v>3</v>
      </c>
      <c r="F28" s="104">
        <f>Montagem!S72</f>
        <v>12</v>
      </c>
      <c r="G28" s="104" t="str">
        <f>Montagem!T72</f>
        <v/>
      </c>
      <c r="H28" s="104">
        <f>Montagem!U72</f>
        <v>1</v>
      </c>
      <c r="I28" s="127">
        <f>Montagem!V72</f>
        <v>2</v>
      </c>
      <c r="J28" s="105">
        <v>54.0</v>
      </c>
      <c r="K28" s="106">
        <f>Montagem!K72</f>
        <v>2</v>
      </c>
      <c r="L28" s="111">
        <f>Montagem!W72</f>
        <v>54.42176871</v>
      </c>
      <c r="M28" s="111" t="str">
        <f>Montagem!L72</f>
        <v>Supino</v>
      </c>
      <c r="N28" s="111" t="str">
        <f>Montagem!X72</f>
        <v/>
      </c>
      <c r="O28" s="106">
        <f>IF(N28="",L28,N28)</f>
        <v>54.42176871</v>
      </c>
      <c r="P28" s="106">
        <f>IF(L29="C",'Dados de Base'!$D$5*0.1,IF(L29="E",5,IF(J28="",O28,J28)))</f>
        <v>54</v>
      </c>
      <c r="Q28" s="108"/>
      <c r="R28" s="102" t="str">
        <f>IF(AD28="","",HYPERLINK(OFFSET(Biblioteca!$B$2,MATCH(AD28,Biblioteca!$A$3:$A$200,0),0),AD28))</f>
        <v>Agachamento</v>
      </c>
      <c r="U28" s="109" t="str">
        <f>Montagem!AF72</f>
        <v>Bi-SET</v>
      </c>
      <c r="V28" s="110">
        <f>Montagem!AG72</f>
        <v>3</v>
      </c>
      <c r="W28" s="110">
        <f>Montagem!AH72</f>
        <v>12</v>
      </c>
      <c r="X28" s="110" t="str">
        <f>Montagem!AI72</f>
        <v/>
      </c>
      <c r="Y28" s="110">
        <f>Montagem!AJ72</f>
        <v>1</v>
      </c>
      <c r="Z28" s="110">
        <f>Montagem!AK72</f>
        <v>2</v>
      </c>
      <c r="AA28" s="113">
        <v>80.0</v>
      </c>
      <c r="AB28" s="111">
        <f>Montagem!Z72</f>
        <v>2</v>
      </c>
      <c r="AC28" s="111">
        <f>Montagem!AL72</f>
        <v>81.63265306</v>
      </c>
      <c r="AD28" s="129" t="str">
        <f>Montagem!AA72</f>
        <v>Agachamento</v>
      </c>
      <c r="AE28" s="111" t="str">
        <f>Montagem!AM72</f>
        <v/>
      </c>
      <c r="AF28" s="106">
        <f>IF(AE28="",AC28,AE28)</f>
        <v>81.63265306</v>
      </c>
      <c r="AG28" s="106">
        <f>IF(AC29="C",'Dados de Base'!$D$5*0.1,IF(AC29="E",5,IF(AA28="",AF28,AA28)))</f>
        <v>80</v>
      </c>
      <c r="AH28" s="108"/>
      <c r="AI28" s="115" t="str">
        <f>IF(AU28="","",HYPERLINK(OFFSET(Biblioteca!$B$2,MATCH(AU28,Biblioteca!$A$3:$A$200,0),0),AU28))</f>
        <v/>
      </c>
      <c r="AL28" s="109" t="str">
        <f>Montagem!AU72</f>
        <v/>
      </c>
      <c r="AM28" s="110" t="str">
        <f>Montagem!AV72</f>
        <v/>
      </c>
      <c r="AN28" s="110" t="str">
        <f>Montagem!AW72</f>
        <v/>
      </c>
      <c r="AO28" s="110" t="str">
        <f>Montagem!AX72</f>
        <v/>
      </c>
      <c r="AP28" s="110" t="str">
        <f>Montagem!AY72</f>
        <v/>
      </c>
      <c r="AQ28" s="110" t="str">
        <f>Montagem!AZ72</f>
        <v/>
      </c>
      <c r="AR28" s="114"/>
      <c r="AS28" s="111">
        <f>Montagem!AO72</f>
        <v>1</v>
      </c>
      <c r="AT28" s="111" t="str">
        <f>Montagem!BA72</f>
        <v/>
      </c>
      <c r="AU28" s="111" t="str">
        <f>Montagem!AP72</f>
        <v/>
      </c>
      <c r="AV28" s="111" t="str">
        <f>Montagem!BB72</f>
        <v/>
      </c>
      <c r="AW28" s="106" t="str">
        <f>IF(AV28="",AT28,AV28)</f>
        <v/>
      </c>
      <c r="AX28" s="106" t="str">
        <f>IF(AT29="C",'Dados de Base'!$D$5*0.1,IF(AT29="E",5,IF(AR28="",AW28,AR28)))</f>
        <v/>
      </c>
      <c r="AY28" s="108"/>
      <c r="AZ28" s="102" t="str">
        <f>IF(BL28="","",HYPERLINK(OFFSET(Biblioteca!$B$2,MATCH(BL28,Biblioteca!$A$3:$A$200,0),0),BL28))</f>
        <v>Remada Horizontal com Movimentação do Tronco</v>
      </c>
      <c r="BC28" s="109" t="str">
        <f>Montagem!BJ72</f>
        <v>Bi-SET</v>
      </c>
      <c r="BD28" s="110">
        <f>Montagem!BK72</f>
        <v>3</v>
      </c>
      <c r="BE28" s="110">
        <f>Montagem!BL72</f>
        <v>12</v>
      </c>
      <c r="BF28" s="110">
        <f>Montagem!BM72</f>
        <v>60</v>
      </c>
      <c r="BG28" s="110">
        <f>Montagem!BN72</f>
        <v>1</v>
      </c>
      <c r="BH28" s="110">
        <f>Montagem!BO72</f>
        <v>2</v>
      </c>
      <c r="BI28" s="113">
        <v>10.0</v>
      </c>
      <c r="BJ28" s="111">
        <f>Montagem!BD72</f>
        <v>1</v>
      </c>
      <c r="BK28" s="111">
        <f>Montagem!BP72</f>
        <v>10</v>
      </c>
      <c r="BL28" s="111" t="str">
        <f>Montagem!BE72</f>
        <v>Remada Horizontal com Movimentação do Tronco</v>
      </c>
      <c r="BM28" s="111" t="str">
        <f>Montagem!BQ72</f>
        <v/>
      </c>
      <c r="BN28" s="106">
        <f>IF(BM28="",BK28,BM28)</f>
        <v>10</v>
      </c>
      <c r="BO28" s="106">
        <f>IF(BK29="C",'Dados de Base'!$D$5*0.1,IF(BK29="E",5,IF(BI28="",BN28,BI28)))</f>
        <v>10</v>
      </c>
      <c r="BP28" s="108"/>
      <c r="BQ28" s="102" t="str">
        <f>IF(CC28="","",HYPERLINK(OFFSET(Biblioteca!$B$2,MATCH(CC28,Biblioteca!$A$3:$A$200,0),0),CC28))</f>
        <v>Levantamento Terra</v>
      </c>
      <c r="BT28" s="109" t="str">
        <f>Montagem!BY72</f>
        <v>Bi-SET</v>
      </c>
      <c r="BU28" s="110">
        <f>Montagem!BZ72</f>
        <v>3</v>
      </c>
      <c r="BV28" s="110">
        <f>Montagem!CA72</f>
        <v>12</v>
      </c>
      <c r="BW28" s="110" t="str">
        <f>Montagem!CB72</f>
        <v/>
      </c>
      <c r="BX28" s="110">
        <f>Montagem!CC72</f>
        <v>1</v>
      </c>
      <c r="BY28" s="110">
        <f>Montagem!CD72</f>
        <v>2</v>
      </c>
      <c r="BZ28" s="113">
        <v>70.0</v>
      </c>
      <c r="CA28" s="111">
        <f>Montagem!BS72</f>
        <v>2</v>
      </c>
      <c r="CB28" s="111">
        <f>Montagem!CE72</f>
        <v>70.74829932</v>
      </c>
      <c r="CC28" s="111" t="str">
        <f>Montagem!BT72</f>
        <v>Levantamento Terra</v>
      </c>
      <c r="CD28" s="111" t="str">
        <f>Montagem!CF72</f>
        <v/>
      </c>
      <c r="CE28" s="106">
        <f>IF(CD28="",CB28,CD28)</f>
        <v>70.74829932</v>
      </c>
      <c r="CF28" s="106">
        <f>IF(CB29="C",'Dados de Base'!$D$5*0.1,IF(CB29="E",5,IF(BZ28="",CE28,BZ28)))</f>
        <v>70</v>
      </c>
      <c r="CG28" s="108"/>
      <c r="CH28" s="115" t="str">
        <f>IF(CT28="","",HYPERLINK(OFFSET(Biblioteca!$B$2,MATCH(CT28,Biblioteca!$A$3:$A$200,0),0),CT28))</f>
        <v/>
      </c>
      <c r="CK28" s="109" t="str">
        <f>Montagem!CN72</f>
        <v/>
      </c>
      <c r="CL28" s="110" t="str">
        <f>Montagem!CO72</f>
        <v/>
      </c>
      <c r="CM28" s="110" t="str">
        <f>Montagem!CP72</f>
        <v/>
      </c>
      <c r="CN28" s="110" t="str">
        <f>Montagem!CQ72</f>
        <v/>
      </c>
      <c r="CO28" s="110" t="str">
        <f>Montagem!CR72</f>
        <v/>
      </c>
      <c r="CP28" s="110" t="str">
        <f>Montagem!CS72</f>
        <v/>
      </c>
      <c r="CQ28" s="114"/>
      <c r="CR28" s="111">
        <f>Montagem!CH72</f>
        <v>1</v>
      </c>
      <c r="CS28" s="111" t="str">
        <f>Montagem!CT72</f>
        <v/>
      </c>
      <c r="CT28" s="111" t="str">
        <f>Montagem!CI72</f>
        <v/>
      </c>
      <c r="CU28" s="111" t="str">
        <f>Montagem!CU72</f>
        <v/>
      </c>
      <c r="CV28" s="106" t="str">
        <f>IF(CU28="",CS28,CU28)</f>
        <v/>
      </c>
      <c r="CW28" s="106" t="str">
        <f>IF(CS29="C",'Dados de Base'!$D$5*0.1,IF(CS29="E",5,IF(CQ28="",CV28,CQ28)))</f>
        <v/>
      </c>
      <c r="CX28" s="108"/>
      <c r="CY28" s="115" t="str">
        <f>IF(DK28="","",HYPERLINK(OFFSET(Biblioteca!$B$2,MATCH(DK28,Biblioteca!$A$3:$A$200,0),0),DK28))</f>
        <v/>
      </c>
      <c r="DB28" s="130" t="str">
        <f>Montagem!DC72</f>
        <v/>
      </c>
      <c r="DC28" s="131" t="str">
        <f>Montagem!DD72</f>
        <v/>
      </c>
      <c r="DD28" s="131" t="str">
        <f>Montagem!DE72</f>
        <v/>
      </c>
      <c r="DE28" s="131" t="str">
        <f>Montagem!DF72</f>
        <v/>
      </c>
      <c r="DF28" s="131" t="str">
        <f>Montagem!DG72</f>
        <v/>
      </c>
      <c r="DG28" s="131" t="str">
        <f>Montagem!DH72</f>
        <v/>
      </c>
      <c r="DH28" s="114"/>
      <c r="DI28" s="111">
        <f>Montagem!CW72</f>
        <v>1</v>
      </c>
      <c r="DJ28" s="111" t="str">
        <f>Montagem!DI72</f>
        <v/>
      </c>
      <c r="DK28" s="111" t="str">
        <f>Montagem!CX72</f>
        <v/>
      </c>
      <c r="DL28" s="111" t="str">
        <f>Montagem!DJ72</f>
        <v/>
      </c>
      <c r="DM28" s="106" t="str">
        <f>IF(DL28="",DJ28,DL28)</f>
        <v/>
      </c>
      <c r="DN28" s="106" t="str">
        <f>IF(DJ29="C",'Dados de Base'!$D$5*0.1,IF(DJ29="E",5,IF(DH28="",DM28,DH28)))</f>
        <v/>
      </c>
      <c r="DO28" s="108"/>
      <c r="DP28" s="106"/>
      <c r="DQ28" s="106"/>
      <c r="DR28" s="106"/>
      <c r="DS28" s="106"/>
      <c r="DT28" s="106"/>
      <c r="DU28" s="106"/>
      <c r="DV28" s="106"/>
      <c r="DW28" s="106"/>
      <c r="DX28" s="106"/>
      <c r="DY28" s="106"/>
    </row>
    <row r="29">
      <c r="A29" s="117" t="str">
        <f>IF(A28="","",IFS(L29="A",Montagem!$C$80,N29="T","Realizar a maior quantidade de repetições por "&amp;F28&amp;" segundos | ",N29="I",IF(M29="U","Manter a posição por "&amp;F28&amp;" segundos de um lado e trocar para o outro na sequência | ","Manter a posição por "&amp;F28&amp;" segundos | "),M29="A","Realizar alternadamente "&amp;F28&amp;" repetições cada lado | ",M29="U","Realizar "&amp;F28&amp;" repetições de um lado e trocar para o outro na sequência | ",L29="P",OFFSET(Biblioteca!$H$2,MATCH(M28,Biblioteca!$A$3:$A$200,0),0),TRUE,"")&amp;IF(N29="R","Ajuste a carga para que tenha "&amp;$K$2&amp;" repetições de reserva",""))</f>
        <v>Ajuste a carga para que tenha 0 a 2 repetições de reserva</v>
      </c>
      <c r="E29" s="118" t="str">
        <f>IF(A28="","",IFS(L29="H","Carga Sugerida: "&amp;ROUNDUP(O28/2,0)&amp;" kg de cada lado (Total: "&amp;ROUNDUP(O28/2,0)*2&amp;" kg)",L29="C","Este exercício usa o Peso Corporal como carga",L29="E","Este exercício usa a resistência da banda elástica como carga",L29="O","Carga Sugerida: "&amp;INT(O28)&amp;" kg",TRUE,""))</f>
        <v>Carga Sugerida: 54 kg</v>
      </c>
      <c r="J29" s="66"/>
      <c r="K29" s="126">
        <f>K28</f>
        <v>2</v>
      </c>
      <c r="L29" s="120" t="str">
        <f>LEFT(O29)</f>
        <v>O</v>
      </c>
      <c r="M29" s="121" t="str">
        <f>MID(O29,2,1)</f>
        <v>O</v>
      </c>
      <c r="N29" s="122" t="str">
        <f>RIGHT(O29)</f>
        <v>R</v>
      </c>
      <c r="O29" s="123" t="str">
        <f>IF(M28="","",OFFSET(Biblioteca!$I$2,MATCH(M28,Biblioteca!$A$3:$A$200,0),0))</f>
        <v>OOR</v>
      </c>
      <c r="P29" s="124"/>
      <c r="Q29" s="125"/>
      <c r="R29" s="117" t="str">
        <f>IF(R28="","",IFS(AC29="A",Montagem!$D$80,AE29="T","Realizar a maior quantidade de repetições por "&amp;W28&amp;" segundos | ",AE29="I",IF(AD29="U","Manter a posição por "&amp;W28&amp;" segundos de um lado e trocar para o outro na sequência | ","Manter a posição por "&amp;W28&amp;" segundos | "),AD29="A","Realizar alternadamente "&amp;W28&amp;" repetições cada lado | ",AD29="U","Realizar "&amp;W28&amp;" repetições de um lado e trocar para o outro na sequência | ",AC29="P",OFFSET(Biblioteca!$H$2,MATCH(AD28,Biblioteca!$A$3:$A$200,0),0),TRUE,"")&amp;IF(AE29="R","Ajuste a carga para que tenha "&amp;$K$2&amp;" repetições de reserva",""))</f>
        <v>Ajuste a carga para que tenha 0 a 2 repetições de reserva</v>
      </c>
      <c r="V29" s="118" t="str">
        <f>IF(R28="","",IFS(AC29="H","Carga Sugerida: "&amp;ROUNDUP(AF28/2,0)&amp;" kg de cada lado (Total: "&amp;ROUNDUP(AF28/2,0)*2&amp;" kg)",AC29="C","Este exercício usa o Peso Corporal como carga",AC29="E","Este exercício usa a resistência da banda elástica como carga",AC29="O","Carga Sugerida: "&amp;INT(AF28)&amp;" kg",TRUE,""))</f>
        <v>Carga Sugerida: 81 kg</v>
      </c>
      <c r="AA29" s="66"/>
      <c r="AB29" s="126">
        <f>AB28</f>
        <v>2</v>
      </c>
      <c r="AC29" s="120" t="str">
        <f>LEFT(AF29)</f>
        <v>O</v>
      </c>
      <c r="AD29" s="121" t="str">
        <f>MID(AF29,2,1)</f>
        <v>O</v>
      </c>
      <c r="AE29" s="122" t="str">
        <f>RIGHT(AF29)</f>
        <v>R</v>
      </c>
      <c r="AF29" s="123" t="str">
        <f>IF(AD28="","",OFFSET(Biblioteca!$I$2,MATCH(AD28,Biblioteca!$A$3:$A$200,0),0))</f>
        <v>OOR</v>
      </c>
      <c r="AG29" s="124"/>
      <c r="AH29" s="125"/>
      <c r="AI29" s="117" t="str">
        <f>IF(AI28="","",IFS(AT29="A",Montagem!$E$80,AV29="T","Realizar a maior quantidade de repetições por "&amp;AN28&amp;" segundos | ",AV29="I",IF(AU29="U","Manter a posição por "&amp;AN28&amp;" segundos de um lado e trocar para o outro na sequência | ","Manter a posição por "&amp;AN28&amp;" segundos | "),AU29="A","Realizar alternadamente "&amp;AN28&amp;" repetições cada lado | ",AU29="U","Realizar "&amp;AN28&amp;" repetições de um lado e trocar para o outro na sequência | ",AT29="P",OFFSET(Biblioteca!$H$2,MATCH(AU28,Biblioteca!$A$3:$A$200,0),0),TRUE,"")&amp;IF(AV29="R","Ajuste a carga para que tenha "&amp;$K$2&amp;" repetições de reserva",""))</f>
        <v/>
      </c>
      <c r="AM29" s="118" t="str">
        <f>IF(AI28="","",IFS(AT29="H","Carga Sugerida: "&amp;ROUNDUP(AW28/2,0)&amp;" kg de cada lado (Total: "&amp;ROUNDUP(AW28/2,0)*2&amp;" kg)",AT29="C","Este exercício usa o Peso Corporal como carga",AT29="E","Este exercício usa a resistência da banda elástica como carga",AT29="O","Carga Sugerida: "&amp;INT(AW28)&amp;" kg",TRUE,""))</f>
        <v/>
      </c>
      <c r="AR29" s="66"/>
      <c r="AS29" s="126">
        <f>AS28</f>
        <v>1</v>
      </c>
      <c r="AT29" s="120" t="str">
        <f>LEFT(AW29)</f>
        <v/>
      </c>
      <c r="AU29" s="121" t="str">
        <f>MID(AW29,2,1)</f>
        <v/>
      </c>
      <c r="AV29" s="122" t="str">
        <f>RIGHT(AW29)</f>
        <v/>
      </c>
      <c r="AW29" s="123" t="str">
        <f>IF(AU28="","",OFFSET(Biblioteca!$I$2,MATCH(AU28,Biblioteca!$A$3:$A$200,0),0))</f>
        <v/>
      </c>
      <c r="AX29" s="124"/>
      <c r="AY29" s="125"/>
      <c r="AZ29" s="117" t="str">
        <f>IF(AZ28="","",IFS(BK29="A",Montagem!$F$80,BM29="T","Realizar a maior quantidade de repetições por "&amp;BE28&amp;" segundos | ",BM29="I",IF(BL29="U","Manter a posição por "&amp;BE28&amp;" segundos de um lado e trocar para o outro na sequência | ","Manter a posição por "&amp;BE28&amp;" segundos | "),BL29="A","Realizar alternadamente "&amp;BE28&amp;" repetições cada lado | ",BL29="U","Realizar "&amp;BE28&amp;" repetições de um lado e trocar para o outro na sequência | ",BK29="P",OFFSET(Biblioteca!$H$2,MATCH(BL28,Biblioteca!$A$3:$A$200,0),0),TRUE,"")&amp;IF(BM29="R","Ajuste a carga para que tenha "&amp;$K$2&amp;" repetições de reserva",""))</f>
        <v>Ajuste a carga para que tenha 0 a 2 repetições de reserva</v>
      </c>
      <c r="BD29" s="118" t="str">
        <f>IF(AZ28="","",IFS(BK29="H","Carga Sugerida: "&amp;ROUNDUP(BN28/2,0)&amp;" kg de cada lado (Total: "&amp;ROUNDUP(BN28/2,0)*2&amp;" kg)",BK29="C","Este exercício usa o Peso Corporal como carga",BK29="E","Este exercício usa a resistência da banda elástica como carga",BK29="O","Carga Sugerida: "&amp;INT(BN28)&amp;" kg",TRUE,""))</f>
        <v>Carga Sugerida: 10 kg</v>
      </c>
      <c r="BI29" s="66"/>
      <c r="BJ29" s="126">
        <f>BJ28</f>
        <v>1</v>
      </c>
      <c r="BK29" s="120" t="str">
        <f>LEFT(BN29)</f>
        <v>O</v>
      </c>
      <c r="BL29" s="121" t="str">
        <f>MID(BN29,2,1)</f>
        <v>O</v>
      </c>
      <c r="BM29" s="122" t="str">
        <f>RIGHT(BN29)</f>
        <v>R</v>
      </c>
      <c r="BN29" s="123" t="str">
        <f>IF(BL28="","",OFFSET(Biblioteca!$I$2,MATCH(BL28,Biblioteca!$A$3:$A$200,0),0))</f>
        <v>OOR</v>
      </c>
      <c r="BO29" s="124"/>
      <c r="BP29" s="125"/>
      <c r="BQ29" s="117" t="str">
        <f>IF(BQ28="","",IFS(CB29="A",Montagem!$G$80,CD29="T","Realizar a maior quantidade de repetições por "&amp;BV28&amp;" segundos | ",CD29="I",IF(CC29="U","Manter a posição por "&amp;BV28&amp;" segundos de um lado e trocar para o outro na sequência | ","Manter a posição por "&amp;BV28&amp;" segundos | "),CC29="A","Realizar alternadamente "&amp;BV28&amp;" repetições cada lado | ",CC29="U","Realizar "&amp;BV28&amp;" repetições de um lado e trocar para o outro na sequência | ",CB29="P",OFFSET(Biblioteca!$H$2,MATCH(CC28,Biblioteca!$A$3:$A$200,0),0),TRUE,"")&amp;IF(CD29="R","Ajuste a carga para que tenha "&amp;$K$2&amp;" repetições de reserva",""))</f>
        <v>Ajuste a carga para que tenha 0 a 2 repetições de reserva</v>
      </c>
      <c r="BU29" s="118" t="str">
        <f>IF(BQ28="","",IFS(CB29="H","Carga Sugerida: "&amp;ROUNDUP(CE28/2,0)&amp;" kg de cada lado (Total: "&amp;ROUNDUP(CE28/2,0)*2&amp;" kg)",CB29="C","Este exercício usa o Peso Corporal como carga",CB29="E","Este exercício usa a resistência da banda elástica como carga",CB29="O","Carga Sugerida: "&amp;INT(CE28)&amp;" kg",TRUE,""))</f>
        <v>Carga Sugerida: 70 kg</v>
      </c>
      <c r="BZ29" s="66"/>
      <c r="CA29" s="126">
        <f>CA28</f>
        <v>2</v>
      </c>
      <c r="CB29" s="120" t="str">
        <f>LEFT(CE29)</f>
        <v>O</v>
      </c>
      <c r="CC29" s="121" t="str">
        <f>MID(CE29,2,1)</f>
        <v>O</v>
      </c>
      <c r="CD29" s="122" t="str">
        <f>RIGHT(CE29)</f>
        <v>R</v>
      </c>
      <c r="CE29" s="123" t="str">
        <f>IF(CC28="","",OFFSET(Biblioteca!$I$2,MATCH(CC28,Biblioteca!$A$3:$A$200,0),0))</f>
        <v>OOR</v>
      </c>
      <c r="CF29" s="124"/>
      <c r="CG29" s="125"/>
      <c r="CH29" s="117" t="str">
        <f>IF(CH28="","",IFS(CS29="A",Montagem!$H$80,CU29="T","Realizar a maior quantidade de repetições por "&amp;CM28&amp;" segundos | ",CU29="I",IF(CT29="U","Manter a posição por "&amp;CM28&amp;" segundos de um lado e trocar para o outro na sequência | ","Manter a posição por "&amp;CM28&amp;" segundos | "),CT29="A","Realizar alternadamente "&amp;CM28&amp;" repetições cada lado | ",CT29="U","Realizar "&amp;CM28&amp;" repetições de um lado e trocar para o outro na sequência | ",CS29="P",OFFSET(Biblioteca!$H$2,MATCH(CT28,Biblioteca!$A$3:$A$200,0),0),TRUE,"")&amp;IF(CU29="R","Ajuste a carga para que tenha "&amp;$K$2&amp;" repetições de reserva",""))</f>
        <v/>
      </c>
      <c r="CL29" s="118" t="str">
        <f>IF(CH28="","",IFS(CS29="H","Carga Sugerida: "&amp;ROUNDUP(CV28/2,0)&amp;" kg de cada lado (Total: "&amp;ROUNDUP(CV28/2,0)*2&amp;" kg)",CS29="C","Este exercício usa o Peso Corporal como carga",CS29="E","Este exercício usa a resistência da banda elástica como carga",CS29="O","Carga Sugerida: "&amp;INT(CV28)&amp;" kg",TRUE,""))</f>
        <v/>
      </c>
      <c r="CQ29" s="66"/>
      <c r="CR29" s="126">
        <f>CR28</f>
        <v>1</v>
      </c>
      <c r="CS29" s="120" t="str">
        <f>LEFT(CV29)</f>
        <v/>
      </c>
      <c r="CT29" s="121" t="str">
        <f>MID(CV29,2,1)</f>
        <v/>
      </c>
      <c r="CU29" s="122" t="str">
        <f>RIGHT(CV29)</f>
        <v/>
      </c>
      <c r="CV29" s="123" t="str">
        <f>IF(CT28="","",OFFSET(Biblioteca!$I$2,MATCH(CT28,Biblioteca!$A$3:$A$200,0),0))</f>
        <v/>
      </c>
      <c r="CW29" s="124"/>
      <c r="CX29" s="125"/>
      <c r="CY29" s="117" t="str">
        <f>IF(CY28="","",IFS(DJ29="A",Montagem!$I$80,DL29="T","Realizar a maior quantidade de repetições por "&amp;DD28&amp;" segundos | ",DL29="I",IF(DK29="U","Manter a posição por "&amp;DD28&amp;" segundos de um lado e trocar para o outro na sequência | ","Manter a posição por "&amp;DD28&amp;" segundos | "),DK29="A","Realizar alternadamente "&amp;DD28&amp;" repetições cada lado | ",DK29="U","Realizar "&amp;DD28&amp;" repetições de um lado e trocar para o outro na sequência | ",DJ29="P",OFFSET(Biblioteca!$H$2,MATCH(DK28,Biblioteca!$A$3:$A$200,0),0),TRUE,"")&amp;IF(DL29="R","Ajuste a carga para que tenha "&amp;$K$2&amp;" repetições de reserva",""))</f>
        <v/>
      </c>
      <c r="DC29" s="118" t="str">
        <f>IF(CY28="","",IFS(DJ29="H","Carga Sugerida: "&amp;ROUNDUP(DM28/2,0)&amp;" kg de cada lado (Total: "&amp;ROUNDUP(DM28/2,0)*2&amp;" kg)",DJ29="C","Este exercício usa o Peso Corporal como carga",DJ29="E","Este exercício usa a resistência da banda elástica como carga",DJ29="O","Carga Sugerida: "&amp;INT(DM28)&amp;" kg",TRUE,""))</f>
        <v/>
      </c>
      <c r="DH29" s="66"/>
      <c r="DI29" s="126">
        <f>DI28</f>
        <v>1</v>
      </c>
      <c r="DJ29" s="120" t="str">
        <f>LEFT(DM29)</f>
        <v/>
      </c>
      <c r="DK29" s="121" t="str">
        <f>MID(DM29,2,1)</f>
        <v/>
      </c>
      <c r="DL29" s="122" t="str">
        <f>RIGHT(DM29)</f>
        <v/>
      </c>
      <c r="DM29" s="123" t="str">
        <f>IF(DK28="","",OFFSET(Biblioteca!$I$2,MATCH(DK28,Biblioteca!$A$3:$A$200,0),0))</f>
        <v/>
      </c>
      <c r="DN29" s="124"/>
      <c r="DO29" s="125"/>
      <c r="DP29" s="57"/>
      <c r="DQ29" s="56"/>
      <c r="DR29" s="56"/>
      <c r="DS29" s="56"/>
      <c r="DT29" s="56"/>
      <c r="DU29" s="56"/>
      <c r="DV29" s="56"/>
      <c r="DW29" s="56"/>
      <c r="DX29" s="56"/>
      <c r="DY29" s="56"/>
    </row>
    <row r="30">
      <c r="A30" s="102" t="str">
        <f>IF(M30="","",HYPERLINK(OFFSET(Biblioteca!$B$2,MATCH(M30,Biblioteca!$A$3:$A$200,0),0),M30))</f>
        <v>Remada Frontal Máquina</v>
      </c>
      <c r="D30" s="103" t="str">
        <f>Montagem!Q73</f>
        <v>Bi-SET</v>
      </c>
      <c r="E30" s="104">
        <f>Montagem!R73</f>
        <v>3</v>
      </c>
      <c r="F30" s="104">
        <f>Montagem!S73</f>
        <v>12</v>
      </c>
      <c r="G30" s="104">
        <f>Montagem!T73</f>
        <v>60</v>
      </c>
      <c r="H30" s="104">
        <f>Montagem!U73</f>
        <v>1</v>
      </c>
      <c r="I30" s="127">
        <f>Montagem!V73</f>
        <v>2</v>
      </c>
      <c r="J30" s="105">
        <v>60.0</v>
      </c>
      <c r="K30" s="106">
        <f>Montagem!K73</f>
        <v>2</v>
      </c>
      <c r="L30" s="111">
        <f>Montagem!W73</f>
        <v>61.67800454</v>
      </c>
      <c r="M30" s="111" t="str">
        <f>Montagem!L73</f>
        <v>Remada Frontal Máquina</v>
      </c>
      <c r="N30" s="111" t="str">
        <f>Montagem!X73</f>
        <v/>
      </c>
      <c r="O30" s="106">
        <f>IF(N30="",L30,N30)</f>
        <v>61.67800454</v>
      </c>
      <c r="P30" s="106">
        <f>IF(L31="C",'Dados de Base'!$D$5*0.1,IF(L31="E",5,IF(J30="",O30,J30)))</f>
        <v>60</v>
      </c>
      <c r="Q30" s="108"/>
      <c r="R30" s="102" t="str">
        <f>IF(AD30="","",HYPERLINK(OFFSET(Biblioteca!$B$2,MATCH(AD30,Biblioteca!$A$3:$A$200,0),0),AD30))</f>
        <v>Stiff</v>
      </c>
      <c r="U30" s="109" t="str">
        <f>Montagem!AF73</f>
        <v>Bi-SET</v>
      </c>
      <c r="V30" s="110">
        <f>Montagem!AG73</f>
        <v>3</v>
      </c>
      <c r="W30" s="110">
        <f>Montagem!AH73</f>
        <v>12</v>
      </c>
      <c r="X30" s="110">
        <f>Montagem!AI73</f>
        <v>60</v>
      </c>
      <c r="Y30" s="110">
        <f>Montagem!AJ73</f>
        <v>1</v>
      </c>
      <c r="Z30" s="110">
        <f>Montagem!AK73</f>
        <v>2</v>
      </c>
      <c r="AA30" s="113">
        <v>90.0</v>
      </c>
      <c r="AB30" s="111">
        <f>Montagem!Z73</f>
        <v>2</v>
      </c>
      <c r="AC30" s="111">
        <f>Montagem!AL73</f>
        <v>90.70294785</v>
      </c>
      <c r="AD30" s="129" t="str">
        <f>Montagem!AA73</f>
        <v>Stiff</v>
      </c>
      <c r="AE30" s="111" t="str">
        <f>Montagem!AM73</f>
        <v/>
      </c>
      <c r="AF30" s="106">
        <f>IF(AE30="",AC30,AE30)</f>
        <v>90.70294785</v>
      </c>
      <c r="AG30" s="106">
        <f>IF(AC31="C",'Dados de Base'!$D$5*0.1,IF(AC31="E",5,IF(AA30="",AF30,AA30)))</f>
        <v>90</v>
      </c>
      <c r="AH30" s="108"/>
      <c r="AI30" s="115" t="str">
        <f>IF(AU30="","",HYPERLINK(OFFSET(Biblioteca!$B$2,MATCH(AU30,Biblioteca!$A$3:$A$200,0),0),AU30))</f>
        <v/>
      </c>
      <c r="AL30" s="109" t="str">
        <f>Montagem!AU73</f>
        <v/>
      </c>
      <c r="AM30" s="110" t="str">
        <f>Montagem!AV73</f>
        <v/>
      </c>
      <c r="AN30" s="110" t="str">
        <f>Montagem!AW73</f>
        <v/>
      </c>
      <c r="AO30" s="110" t="str">
        <f>Montagem!AX73</f>
        <v/>
      </c>
      <c r="AP30" s="110" t="str">
        <f>Montagem!AY73</f>
        <v/>
      </c>
      <c r="AQ30" s="110" t="str">
        <f>Montagem!AZ73</f>
        <v/>
      </c>
      <c r="AR30" s="114"/>
      <c r="AS30" s="111">
        <f>Montagem!AO73</f>
        <v>1</v>
      </c>
      <c r="AT30" s="111" t="str">
        <f>Montagem!BA73</f>
        <v/>
      </c>
      <c r="AU30" s="111" t="str">
        <f>Montagem!AP73</f>
        <v/>
      </c>
      <c r="AV30" s="111" t="str">
        <f>Montagem!BB73</f>
        <v/>
      </c>
      <c r="AW30" s="106" t="str">
        <f>IF(AV30="",AT30,AV30)</f>
        <v/>
      </c>
      <c r="AX30" s="106" t="str">
        <f>IF(AT31="C",'Dados de Base'!$D$5*0.1,IF(AT31="E",5,IF(AR30="",AW30,AR30)))</f>
        <v/>
      </c>
      <c r="AY30" s="108"/>
      <c r="AZ30" s="102" t="str">
        <f>IF(BL30="","",HYPERLINK(OFFSET(Biblioteca!$B$2,MATCH(BL30,Biblioteca!$A$3:$A$200,0),0),BL30))</f>
        <v>Remada Alta na Polia</v>
      </c>
      <c r="BC30" s="109" t="str">
        <f>Montagem!BJ73</f>
        <v>Bi-SET</v>
      </c>
      <c r="BD30" s="110">
        <f>Montagem!BK73</f>
        <v>3</v>
      </c>
      <c r="BE30" s="110">
        <f>Montagem!BL73</f>
        <v>12</v>
      </c>
      <c r="BF30" s="110" t="str">
        <f>Montagem!BM73</f>
        <v/>
      </c>
      <c r="BG30" s="110">
        <f>Montagem!BN73</f>
        <v>1</v>
      </c>
      <c r="BH30" s="110">
        <f>Montagem!BO73</f>
        <v>2</v>
      </c>
      <c r="BI30" s="113">
        <v>7.0</v>
      </c>
      <c r="BJ30" s="111">
        <f>Montagem!BD73</f>
        <v>2</v>
      </c>
      <c r="BK30" s="111">
        <f>Montagem!BP73</f>
        <v>7.33055625</v>
      </c>
      <c r="BL30" s="111" t="str">
        <f>Montagem!BE73</f>
        <v>Remada Alta na Polia</v>
      </c>
      <c r="BM30" s="111" t="str">
        <f>Montagem!BQ73</f>
        <v/>
      </c>
      <c r="BN30" s="106">
        <f>IF(BM30="",BK30,BM30)</f>
        <v>7.33055625</v>
      </c>
      <c r="BO30" s="106">
        <f>IF(BK31="C",'Dados de Base'!$D$5*0.1,IF(BK31="E",5,IF(BI30="",BN30,BI30)))</f>
        <v>7</v>
      </c>
      <c r="BP30" s="108"/>
      <c r="BQ30" s="102" t="str">
        <f>IF(CC30="","",HYPERLINK(OFFSET(Biblioteca!$B$2,MATCH(CC30,Biblioteca!$A$3:$A$200,0),0),CC30))</f>
        <v>Banco Sóleo</v>
      </c>
      <c r="BT30" s="109" t="str">
        <f>Montagem!BY73</f>
        <v>Bi-SET</v>
      </c>
      <c r="BU30" s="110">
        <f>Montagem!BZ73</f>
        <v>3</v>
      </c>
      <c r="BV30" s="110">
        <f>Montagem!CA73</f>
        <v>12</v>
      </c>
      <c r="BW30" s="110">
        <f>Montagem!CB73</f>
        <v>60</v>
      </c>
      <c r="BX30" s="110">
        <f>Montagem!CC73</f>
        <v>1</v>
      </c>
      <c r="BY30" s="110">
        <f>Montagem!CD73</f>
        <v>2</v>
      </c>
      <c r="BZ30" s="113">
        <v>70.0</v>
      </c>
      <c r="CA30" s="111">
        <f>Montagem!BS73</f>
        <v>2</v>
      </c>
      <c r="CB30" s="111">
        <f>Montagem!CE73</f>
        <v>70.74829932</v>
      </c>
      <c r="CC30" s="111" t="str">
        <f>Montagem!BT73</f>
        <v>Banco Sóleo</v>
      </c>
      <c r="CD30" s="111" t="str">
        <f>Montagem!CF73</f>
        <v/>
      </c>
      <c r="CE30" s="106">
        <f>IF(CD30="",CB30,CD30)</f>
        <v>70.74829932</v>
      </c>
      <c r="CF30" s="106">
        <f>IF(CB31="C",'Dados de Base'!$D$5*0.1,IF(CB31="E",5,IF(BZ30="",CE30,BZ30)))</f>
        <v>70</v>
      </c>
      <c r="CG30" s="108"/>
      <c r="CH30" s="115" t="str">
        <f>IF(CT30="","",HYPERLINK(OFFSET(Biblioteca!$B$2,MATCH(CT30,Biblioteca!$A$3:$A$200,0),0),CT30))</f>
        <v/>
      </c>
      <c r="CK30" s="109" t="str">
        <f>Montagem!CN73</f>
        <v/>
      </c>
      <c r="CL30" s="110" t="str">
        <f>Montagem!CO73</f>
        <v/>
      </c>
      <c r="CM30" s="110" t="str">
        <f>Montagem!CP73</f>
        <v/>
      </c>
      <c r="CN30" s="110" t="str">
        <f>Montagem!CQ73</f>
        <v/>
      </c>
      <c r="CO30" s="110" t="str">
        <f>Montagem!CR73</f>
        <v/>
      </c>
      <c r="CP30" s="110" t="str">
        <f>Montagem!CS73</f>
        <v/>
      </c>
      <c r="CQ30" s="114"/>
      <c r="CR30" s="111">
        <f>Montagem!CH73</f>
        <v>1</v>
      </c>
      <c r="CS30" s="111" t="str">
        <f>Montagem!CT73</f>
        <v/>
      </c>
      <c r="CT30" s="111" t="str">
        <f>Montagem!CI73</f>
        <v/>
      </c>
      <c r="CU30" s="111" t="str">
        <f>Montagem!CU73</f>
        <v/>
      </c>
      <c r="CV30" s="106" t="str">
        <f>IF(CU30="",CS30,CU30)</f>
        <v/>
      </c>
      <c r="CW30" s="106" t="str">
        <f>IF(CS31="C",'Dados de Base'!$D$5*0.1,IF(CS31="E",5,IF(CQ30="",CV30,CQ30)))</f>
        <v/>
      </c>
      <c r="CX30" s="108"/>
      <c r="CY30" s="115" t="str">
        <f>IF(DK30="","",HYPERLINK(OFFSET(Biblioteca!$B$2,MATCH(DK30,Biblioteca!$A$3:$A$200,0),0),DK30))</f>
        <v/>
      </c>
      <c r="DB30" s="130" t="str">
        <f>Montagem!DC73</f>
        <v/>
      </c>
      <c r="DC30" s="131" t="str">
        <f>Montagem!DD73</f>
        <v/>
      </c>
      <c r="DD30" s="131" t="str">
        <f>Montagem!DE73</f>
        <v/>
      </c>
      <c r="DE30" s="131" t="str">
        <f>Montagem!DF73</f>
        <v/>
      </c>
      <c r="DF30" s="131" t="str">
        <f>Montagem!DG73</f>
        <v/>
      </c>
      <c r="DG30" s="131" t="str">
        <f>Montagem!DH73</f>
        <v/>
      </c>
      <c r="DH30" s="114"/>
      <c r="DI30" s="111">
        <f>Montagem!CW73</f>
        <v>1</v>
      </c>
      <c r="DJ30" s="111" t="str">
        <f>Montagem!DI73</f>
        <v/>
      </c>
      <c r="DK30" s="111" t="str">
        <f>Montagem!CX73</f>
        <v/>
      </c>
      <c r="DL30" s="111" t="str">
        <f>Montagem!DJ73</f>
        <v/>
      </c>
      <c r="DM30" s="106" t="str">
        <f>IF(DL30="",DJ30,DL30)</f>
        <v/>
      </c>
      <c r="DN30" s="106" t="str">
        <f>IF(DJ31="C",'Dados de Base'!$D$5*0.1,IF(DJ31="E",5,IF(DH30="",DM30,DH30)))</f>
        <v/>
      </c>
      <c r="DO30" s="108"/>
      <c r="DP30" s="106"/>
      <c r="DQ30" s="106"/>
      <c r="DR30" s="106"/>
      <c r="DS30" s="106"/>
      <c r="DT30" s="106"/>
      <c r="DU30" s="106"/>
      <c r="DV30" s="106"/>
      <c r="DW30" s="106"/>
      <c r="DX30" s="106"/>
      <c r="DY30" s="106"/>
    </row>
    <row r="31">
      <c r="A31" s="117" t="str">
        <f>IF(A30="","",IFS(L31="A",Montagem!$C$80,N31="T","Realizar a maior quantidade de repetições por "&amp;F30&amp;" segundos | ",N31="I",IF(M31="U","Manter a posição por "&amp;F30&amp;" segundos de um lado e trocar para o outro na sequência | ","Manter a posição por "&amp;F30&amp;" segundos | "),M31="A","Realizar alternadamente "&amp;F30&amp;" repetições cada lado | ",M31="U","Realizar "&amp;F30&amp;" repetições de um lado e trocar para o outro na sequência | ",L31="P",OFFSET(Biblioteca!$H$2,MATCH(M30,Biblioteca!$A$3:$A$200,0),0),TRUE,"")&amp;IF(N31="R","Ajuste a carga para que tenha "&amp;$K$2&amp;" repetições de reserva",""))</f>
        <v>Ajuste a carga para que tenha 0 a 2 repetições de reserva</v>
      </c>
      <c r="E31" s="118" t="str">
        <f>IF(A30="","",IFS(L31="H","Carga Sugerida: "&amp;ROUNDUP(O30/2,0)&amp;" kg de cada lado (Total: "&amp;ROUNDUP(O30/2,0)*2&amp;" kg)",L31="C","Este exercício usa o Peso Corporal como carga",L31="E","Este exercício usa a resistência da banda elástica como carga",L31="O","Carga Sugerida: "&amp;INT(O30)&amp;" kg",TRUE,""))</f>
        <v>Carga Sugerida: 61 kg</v>
      </c>
      <c r="J31" s="66"/>
      <c r="K31" s="126">
        <f>K30</f>
        <v>2</v>
      </c>
      <c r="L31" s="120" t="str">
        <f>LEFT(O31)</f>
        <v>O</v>
      </c>
      <c r="M31" s="121" t="str">
        <f>MID(O31,2,1)</f>
        <v>O</v>
      </c>
      <c r="N31" s="122" t="str">
        <f>RIGHT(O31)</f>
        <v>R</v>
      </c>
      <c r="O31" s="123" t="str">
        <f>IF(M30="","",OFFSET(Biblioteca!$I$2,MATCH(M30,Biblioteca!$A$3:$A$200,0),0))</f>
        <v>OOR</v>
      </c>
      <c r="P31" s="124"/>
      <c r="Q31" s="125"/>
      <c r="R31" s="117" t="str">
        <f>IF(R30="","",IFS(AC31="A",Montagem!$D$80,AE31="T","Realizar a maior quantidade de repetições por "&amp;W30&amp;" segundos | ",AE31="I",IF(AD31="U","Manter a posição por "&amp;W30&amp;" segundos de um lado e trocar para o outro na sequência | ","Manter a posição por "&amp;W30&amp;" segundos | "),AD31="A","Realizar alternadamente "&amp;W30&amp;" repetições cada lado | ",AD31="U","Realizar "&amp;W30&amp;" repetições de um lado e trocar para o outro na sequência | ",AC31="P",OFFSET(Biblioteca!$H$2,MATCH(AD30,Biblioteca!$A$3:$A$200,0),0),TRUE,"")&amp;IF(AE31="R","Ajuste a carga para que tenha "&amp;$K$2&amp;" repetições de reserva",""))</f>
        <v>Ajuste a carga para que tenha 0 a 2 repetições de reserva</v>
      </c>
      <c r="V31" s="118" t="str">
        <f>IF(R30="","",IFS(AC31="H","Carga Sugerida: "&amp;ROUNDUP(AF30/2,0)&amp;" kg de cada lado (Total: "&amp;ROUNDUP(AF30/2,0)*2&amp;" kg)",AC31="C","Este exercício usa o Peso Corporal como carga",AC31="E","Este exercício usa a resistência da banda elástica como carga",AC31="O","Carga Sugerida: "&amp;INT(AF30)&amp;" kg",TRUE,""))</f>
        <v>Carga Sugerida: 90 kg</v>
      </c>
      <c r="AA31" s="66"/>
      <c r="AB31" s="126">
        <f>AB30</f>
        <v>2</v>
      </c>
      <c r="AC31" s="120" t="str">
        <f>LEFT(AF31)</f>
        <v>O</v>
      </c>
      <c r="AD31" s="121" t="str">
        <f>MID(AF31,2,1)</f>
        <v>O</v>
      </c>
      <c r="AE31" s="122" t="str">
        <f>RIGHT(AF31)</f>
        <v>R</v>
      </c>
      <c r="AF31" s="123" t="str">
        <f>IF(AD30="","",OFFSET(Biblioteca!$I$2,MATCH(AD30,Biblioteca!$A$3:$A$200,0),0))</f>
        <v>OOR</v>
      </c>
      <c r="AG31" s="124"/>
      <c r="AH31" s="125"/>
      <c r="AI31" s="117" t="str">
        <f>IF(AI30="","",IFS(AT31="A",Montagem!$E$80,AV31="T","Realizar a maior quantidade de repetições por "&amp;AN30&amp;" segundos | ",AV31="I",IF(AU31="U","Manter a posição por "&amp;AN30&amp;" segundos de um lado e trocar para o outro na sequência | ","Manter a posição por "&amp;AN30&amp;" segundos | "),AU31="A","Realizar alternadamente "&amp;AN30&amp;" repetições cada lado | ",AU31="U","Realizar "&amp;AN30&amp;" repetições de um lado e trocar para o outro na sequência | ",AT31="P",OFFSET(Biblioteca!$H$2,MATCH(AU30,Biblioteca!$A$3:$A$200,0),0),TRUE,"")&amp;IF(AV31="R","Ajuste a carga para que tenha "&amp;$K$2&amp;" repetições de reserva",""))</f>
        <v/>
      </c>
      <c r="AM31" s="118" t="str">
        <f>IF(AI30="","",IFS(AT31="H","Carga Sugerida: "&amp;ROUNDUP(AW30/2,0)&amp;" kg de cada lado (Total: "&amp;ROUNDUP(AW30/2,0)*2&amp;" kg)",AT31="C","Este exercício usa o Peso Corporal como carga",AT31="E","Este exercício usa a resistência da banda elástica como carga",AT31="O","Carga Sugerida: "&amp;INT(AW30)&amp;" kg",TRUE,""))</f>
        <v/>
      </c>
      <c r="AR31" s="66"/>
      <c r="AS31" s="126">
        <f>AS30</f>
        <v>1</v>
      </c>
      <c r="AT31" s="120" t="str">
        <f>LEFT(AW31)</f>
        <v/>
      </c>
      <c r="AU31" s="121" t="str">
        <f>MID(AW31,2,1)</f>
        <v/>
      </c>
      <c r="AV31" s="122" t="str">
        <f>RIGHT(AW31)</f>
        <v/>
      </c>
      <c r="AW31" s="123" t="str">
        <f>IF(AU30="","",OFFSET(Biblioteca!$I$2,MATCH(AU30,Biblioteca!$A$3:$A$200,0),0))</f>
        <v/>
      </c>
      <c r="AX31" s="124"/>
      <c r="AY31" s="125"/>
      <c r="AZ31" s="117" t="str">
        <f>IF(AZ30="","",IFS(BK31="A",Montagem!$F$80,BM31="T","Realizar a maior quantidade de repetições por "&amp;BE30&amp;" segundos | ",BM31="I",IF(BL31="U","Manter a posição por "&amp;BE30&amp;" segundos de um lado e trocar para o outro na sequência | ","Manter a posição por "&amp;BE30&amp;" segundos | "),BL31="A","Realizar alternadamente "&amp;BE30&amp;" repetições cada lado | ",BL31="U","Realizar "&amp;BE30&amp;" repetições de um lado e trocar para o outro na sequência | ",BK31="P",OFFSET(Biblioteca!$H$2,MATCH(BL30,Biblioteca!$A$3:$A$200,0),0),TRUE,"")&amp;IF(BM31="R","Ajuste a carga para que tenha "&amp;$K$2&amp;" repetições de reserva",""))</f>
        <v>Ajuste a carga para que tenha 0 a 2 repetições de reserva</v>
      </c>
      <c r="BD31" s="118" t="str">
        <f>IF(AZ30="","",IFS(BK31="H","Carga Sugerida: "&amp;ROUNDUP(BN30/2,0)&amp;" kg de cada lado (Total: "&amp;ROUNDUP(BN30/2,0)*2&amp;" kg)",BK31="C","Este exercício usa o Peso Corporal como carga",BK31="E","Este exercício usa a resistência da banda elástica como carga",BK31="O","Carga Sugerida: "&amp;INT(BN30)&amp;" kg",TRUE,""))</f>
        <v>Carga Sugerida: 7 kg</v>
      </c>
      <c r="BI31" s="66"/>
      <c r="BJ31" s="126">
        <f>BJ30</f>
        <v>2</v>
      </c>
      <c r="BK31" s="120" t="str">
        <f>LEFT(BN31)</f>
        <v>O</v>
      </c>
      <c r="BL31" s="121" t="str">
        <f>MID(BN31,2,1)</f>
        <v>O</v>
      </c>
      <c r="BM31" s="122" t="str">
        <f>RIGHT(BN31)</f>
        <v>R</v>
      </c>
      <c r="BN31" s="123" t="str">
        <f>IF(BL30="","",OFFSET(Biblioteca!$I$2,MATCH(BL30,Biblioteca!$A$3:$A$200,0),0))</f>
        <v>OOR</v>
      </c>
      <c r="BO31" s="124"/>
      <c r="BP31" s="125"/>
      <c r="BQ31" s="117" t="str">
        <f>IF(BQ30="","",IFS(CB31="A",Montagem!$G$80,CD31="T","Realizar a maior quantidade de repetições por "&amp;BV30&amp;" segundos | ",CD31="I",IF(CC31="U","Manter a posição por "&amp;BV30&amp;" segundos de um lado e trocar para o outro na sequência | ","Manter a posição por "&amp;BV30&amp;" segundos | "),CC31="A","Realizar alternadamente "&amp;BV30&amp;" repetições cada lado | ",CC31="U","Realizar "&amp;BV30&amp;" repetições de um lado e trocar para o outro na sequência | ",CB31="P",OFFSET(Biblioteca!$H$2,MATCH(CC30,Biblioteca!$A$3:$A$200,0),0),TRUE,"")&amp;IF(CD31="R","Ajuste a carga para que tenha "&amp;$K$2&amp;" repetições de reserva",""))</f>
        <v>Ajuste a carga para que tenha 0 a 2 repetições de reserva</v>
      </c>
      <c r="BU31" s="118" t="str">
        <f>IF(BQ30="","",IFS(CB31="H","Carga Sugerida: "&amp;ROUNDUP(CE30/2,0)&amp;" kg de cada lado (Total: "&amp;ROUNDUP(CE30/2,0)*2&amp;" kg)",CB31="C","Este exercício usa o Peso Corporal como carga",CB31="E","Este exercício usa a resistência da banda elástica como carga",CB31="O","Carga Sugerida: "&amp;INT(CE30)&amp;" kg",TRUE,""))</f>
        <v>Carga Sugerida: 70 kg</v>
      </c>
      <c r="BZ31" s="66"/>
      <c r="CA31" s="126">
        <f>CA30</f>
        <v>2</v>
      </c>
      <c r="CB31" s="120" t="str">
        <f>LEFT(CE31)</f>
        <v>O</v>
      </c>
      <c r="CC31" s="121" t="str">
        <f>MID(CE31,2,1)</f>
        <v>O</v>
      </c>
      <c r="CD31" s="122" t="str">
        <f>RIGHT(CE31)</f>
        <v>R</v>
      </c>
      <c r="CE31" s="123" t="str">
        <f>IF(CC30="","",OFFSET(Biblioteca!$I$2,MATCH(CC30,Biblioteca!$A$3:$A$200,0),0))</f>
        <v>OOR</v>
      </c>
      <c r="CF31" s="124"/>
      <c r="CG31" s="125"/>
      <c r="CH31" s="117" t="str">
        <f>IF(CH30="","",IFS(CS31="A",Montagem!$H$80,CU31="T","Realizar a maior quantidade de repetições por "&amp;CM30&amp;" segundos | ",CU31="I",IF(CT31="U","Manter a posição por "&amp;CM30&amp;" segundos de um lado e trocar para o outro na sequência | ","Manter a posição por "&amp;CM30&amp;" segundos | "),CT31="A","Realizar alternadamente "&amp;CM30&amp;" repetições cada lado | ",CT31="U","Realizar "&amp;CM30&amp;" repetições de um lado e trocar para o outro na sequência | ",CS31="P",OFFSET(Biblioteca!$H$2,MATCH(CT30,Biblioteca!$A$3:$A$200,0),0),TRUE,"")&amp;IF(CU31="R","Ajuste a carga para que tenha "&amp;$K$2&amp;" repetições de reserva",""))</f>
        <v/>
      </c>
      <c r="CL31" s="118" t="str">
        <f>IF(CH30="","",IFS(CS31="H","Carga Sugerida: "&amp;ROUNDUP(CV30/2,0)&amp;" kg de cada lado (Total: "&amp;ROUNDUP(CV30/2,0)*2&amp;" kg)",CS31="C","Este exercício usa o Peso Corporal como carga",CS31="E","Este exercício usa a resistência da banda elástica como carga",CS31="O","Carga Sugerida: "&amp;INT(CV30)&amp;" kg",TRUE,""))</f>
        <v/>
      </c>
      <c r="CQ31" s="66"/>
      <c r="CR31" s="126">
        <f>CR30</f>
        <v>1</v>
      </c>
      <c r="CS31" s="120" t="str">
        <f>LEFT(CV31)</f>
        <v/>
      </c>
      <c r="CT31" s="121" t="str">
        <f>MID(CV31,2,1)</f>
        <v/>
      </c>
      <c r="CU31" s="122" t="str">
        <f>RIGHT(CV31)</f>
        <v/>
      </c>
      <c r="CV31" s="123" t="str">
        <f>IF(CT30="","",OFFSET(Biblioteca!$I$2,MATCH(CT30,Biblioteca!$A$3:$A$200,0),0))</f>
        <v/>
      </c>
      <c r="CW31" s="124"/>
      <c r="CX31" s="125"/>
      <c r="CY31" s="117" t="str">
        <f>IF(CY30="","",IFS(DJ31="A",Montagem!$I$80,DL31="T","Realizar a maior quantidade de repetições por "&amp;DD30&amp;" segundos | ",DL31="I",IF(DK31="U","Manter a posição por "&amp;DD30&amp;" segundos de um lado e trocar para o outro na sequência | ","Manter a posição por "&amp;DD30&amp;" segundos | "),DK31="A","Realizar alternadamente "&amp;DD30&amp;" repetições cada lado | ",DK31="U","Realizar "&amp;DD30&amp;" repetições de um lado e trocar para o outro na sequência | ",DJ31="P",OFFSET(Biblioteca!$H$2,MATCH(DK30,Biblioteca!$A$3:$A$200,0),0),TRUE,"")&amp;IF(DL31="R","Ajuste a carga para que tenha "&amp;$K$2&amp;" repetições de reserva",""))</f>
        <v/>
      </c>
      <c r="DC31" s="118" t="str">
        <f>IF(CY30="","",IFS(DJ31="H","Carga Sugerida: "&amp;ROUNDUP(DM30/2,0)&amp;" kg de cada lado (Total: "&amp;ROUNDUP(DM30/2,0)*2&amp;" kg)",DJ31="C","Este exercício usa o Peso Corporal como carga",DJ31="E","Este exercício usa a resistência da banda elástica como carga",DJ31="O","Carga Sugerida: "&amp;INT(DM30)&amp;" kg",TRUE,""))</f>
        <v/>
      </c>
      <c r="DH31" s="66"/>
      <c r="DI31" s="126">
        <f>DI30</f>
        <v>1</v>
      </c>
      <c r="DJ31" s="120" t="str">
        <f>LEFT(DM31)</f>
        <v/>
      </c>
      <c r="DK31" s="121" t="str">
        <f>MID(DM31,2,1)</f>
        <v/>
      </c>
      <c r="DL31" s="122" t="str">
        <f>RIGHT(DM31)</f>
        <v/>
      </c>
      <c r="DM31" s="123" t="str">
        <f>IF(DK30="","",OFFSET(Biblioteca!$I$2,MATCH(DK30,Biblioteca!$A$3:$A$200,0),0))</f>
        <v/>
      </c>
      <c r="DN31" s="124"/>
      <c r="DO31" s="125"/>
      <c r="DP31" s="57"/>
      <c r="DQ31" s="56"/>
      <c r="DR31" s="56"/>
      <c r="DS31" s="56"/>
      <c r="DT31" s="56"/>
      <c r="DU31" s="56"/>
      <c r="DV31" s="56"/>
      <c r="DW31" s="56"/>
      <c r="DX31" s="56"/>
      <c r="DY31" s="56"/>
    </row>
    <row r="32">
      <c r="A32" s="115" t="str">
        <f>IF(M32="","",HYPERLINK(OFFSET(Biblioteca!$B$2,MATCH(M32,Biblioteca!$A$3:$A$200,0),0),M32))</f>
        <v>Esteira</v>
      </c>
      <c r="D32" s="103" t="str">
        <f>Montagem!Q74</f>
        <v/>
      </c>
      <c r="E32" s="104" t="str">
        <f>Montagem!R74</f>
        <v/>
      </c>
      <c r="F32" s="104" t="str">
        <f>Montagem!S74</f>
        <v/>
      </c>
      <c r="G32" s="104">
        <f>Montagem!T74</f>
        <v>60</v>
      </c>
      <c r="H32" s="104" t="str">
        <f>Montagem!U74</f>
        <v/>
      </c>
      <c r="I32" s="132" t="str">
        <f>Montagem!V74</f>
        <v/>
      </c>
      <c r="J32" s="105">
        <v>10.0</v>
      </c>
      <c r="K32" s="106">
        <f>Montagem!K74</f>
        <v>3</v>
      </c>
      <c r="L32" s="111">
        <f>Montagem!W74</f>
        <v>0</v>
      </c>
      <c r="M32" s="111" t="str">
        <f>Montagem!L74</f>
        <v>Esteira</v>
      </c>
      <c r="N32" s="111" t="str">
        <f>Montagem!X74</f>
        <v/>
      </c>
      <c r="O32" s="106">
        <f>IF(N32="",L32,N32)</f>
        <v>0</v>
      </c>
      <c r="P32" s="106">
        <f>IF(L33="C",'Dados de Base'!$D$5*0.1,IF(L33="E",5,IF(J32="",O32,J32)))</f>
        <v>10</v>
      </c>
      <c r="Q32" s="108"/>
      <c r="R32" s="115" t="str">
        <f>IF(AD32="","",HYPERLINK(OFFSET(Biblioteca!$B$2,MATCH(AD32,Biblioteca!$A$3:$A$200,0),0),AD32))</f>
        <v>Bicicleta</v>
      </c>
      <c r="U32" s="109" t="str">
        <f>Montagem!AF74</f>
        <v/>
      </c>
      <c r="V32" s="110" t="str">
        <f>Montagem!AG74</f>
        <v/>
      </c>
      <c r="W32" s="110" t="str">
        <f>Montagem!AH74</f>
        <v/>
      </c>
      <c r="X32" s="110">
        <f>Montagem!AI74</f>
        <v>60</v>
      </c>
      <c r="Y32" s="110" t="str">
        <f>Montagem!AJ74</f>
        <v/>
      </c>
      <c r="Z32" s="110" t="str">
        <f>Montagem!AK74</f>
        <v/>
      </c>
      <c r="AA32" s="113">
        <v>10.0</v>
      </c>
      <c r="AB32" s="111">
        <f>Montagem!Z74</f>
        <v>3</v>
      </c>
      <c r="AC32" s="111">
        <f>Montagem!AL74</f>
        <v>0</v>
      </c>
      <c r="AD32" s="129" t="str">
        <f>Montagem!AA74</f>
        <v>Bicicleta</v>
      </c>
      <c r="AE32" s="111" t="str">
        <f>Montagem!AM74</f>
        <v/>
      </c>
      <c r="AF32" s="106">
        <f>IF(AE32="",AC32,AE32)</f>
        <v>0</v>
      </c>
      <c r="AG32" s="106">
        <f>IF(AC33="C",'Dados de Base'!$D$5*0.1,IF(AC33="E",5,IF(AA32="",AF32,AA32)))</f>
        <v>10</v>
      </c>
      <c r="AH32" s="108"/>
      <c r="AI32" s="115" t="str">
        <f>IF(AU32="","",HYPERLINK(OFFSET(Biblioteca!$B$2,MATCH(AU32,Biblioteca!$A$3:$A$200,0),0),AU32))</f>
        <v/>
      </c>
      <c r="AL32" s="109" t="str">
        <f>Montagem!AU74</f>
        <v/>
      </c>
      <c r="AM32" s="110" t="str">
        <f>Montagem!AV74</f>
        <v/>
      </c>
      <c r="AN32" s="110" t="str">
        <f>Montagem!AW74</f>
        <v/>
      </c>
      <c r="AO32" s="110" t="str">
        <f>Montagem!AX74</f>
        <v/>
      </c>
      <c r="AP32" s="110" t="str">
        <f>Montagem!AY74</f>
        <v/>
      </c>
      <c r="AQ32" s="110" t="str">
        <f>Montagem!AZ74</f>
        <v/>
      </c>
      <c r="AR32" s="114"/>
      <c r="AS32" s="111">
        <f>Montagem!AO74</f>
        <v>1</v>
      </c>
      <c r="AT32" s="111" t="str">
        <f>Montagem!BA74</f>
        <v/>
      </c>
      <c r="AU32" s="111" t="str">
        <f>Montagem!AP74</f>
        <v/>
      </c>
      <c r="AV32" s="111" t="str">
        <f>Montagem!BB74</f>
        <v/>
      </c>
      <c r="AW32" s="106" t="str">
        <f>IF(AV32="",AT32,AV32)</f>
        <v/>
      </c>
      <c r="AX32" s="106" t="str">
        <f>IF(AT33="C",'Dados de Base'!$D$5*0.1,IF(AT33="E",5,IF(AR32="",AW32,AR32)))</f>
        <v/>
      </c>
      <c r="AY32" s="108"/>
      <c r="AZ32" s="102" t="str">
        <f>IF(BL32="","",HYPERLINK(OFFSET(Biblioteca!$B$2,MATCH(BL32,Biblioteca!$A$3:$A$200,0),0),BL32))</f>
        <v>Arremesso</v>
      </c>
      <c r="BC32" s="109" t="str">
        <f>Montagem!BJ74</f>
        <v>Bi-SET</v>
      </c>
      <c r="BD32" s="110">
        <f>Montagem!BK74</f>
        <v>3</v>
      </c>
      <c r="BE32" s="110">
        <f>Montagem!BL74</f>
        <v>12</v>
      </c>
      <c r="BF32" s="110">
        <f>Montagem!BM74</f>
        <v>60</v>
      </c>
      <c r="BG32" s="110">
        <f>Montagem!BN74</f>
        <v>1</v>
      </c>
      <c r="BH32" s="110">
        <f>Montagem!BO74</f>
        <v>2</v>
      </c>
      <c r="BI32" s="113">
        <v>6.0</v>
      </c>
      <c r="BJ32" s="111">
        <f>Montagem!BD74</f>
        <v>2</v>
      </c>
      <c r="BK32" s="111">
        <f>Montagem!BP74</f>
        <v>6.397864257</v>
      </c>
      <c r="BL32" s="111" t="str">
        <f>Montagem!BE74</f>
        <v>Arremesso</v>
      </c>
      <c r="BM32" s="111" t="str">
        <f>Montagem!BQ74</f>
        <v/>
      </c>
      <c r="BN32" s="106">
        <f>IF(BM32="",BK32,BM32)</f>
        <v>6.397864257</v>
      </c>
      <c r="BO32" s="106">
        <f>IF(BK33="C",'Dados de Base'!$D$5*0.1,IF(BK33="E",5,IF(BI32="",BN32,BI32)))</f>
        <v>6</v>
      </c>
      <c r="BP32" s="108"/>
      <c r="BQ32" s="102" t="str">
        <f>IF(CC32="","",HYPERLINK(OFFSET(Biblioteca!$B$2,MATCH(CC32,Biblioteca!$A$3:$A$200,0),0),CC32))</f>
        <v>Flexão Nórdica</v>
      </c>
      <c r="BT32" s="109" t="str">
        <f>Montagem!BY74</f>
        <v>Bi-SET</v>
      </c>
      <c r="BU32" s="110">
        <f>Montagem!BZ74</f>
        <v>3</v>
      </c>
      <c r="BV32" s="110">
        <f>Montagem!CA74</f>
        <v>8</v>
      </c>
      <c r="BW32" s="110" t="str">
        <f>Montagem!CB74</f>
        <v/>
      </c>
      <c r="BX32" s="110">
        <f>Montagem!CC74</f>
        <v>1</v>
      </c>
      <c r="BY32" s="110">
        <f>Montagem!CD74</f>
        <v>2</v>
      </c>
      <c r="BZ32" s="113">
        <v>10.0</v>
      </c>
      <c r="CA32" s="111">
        <f>Montagem!BS74</f>
        <v>3</v>
      </c>
      <c r="CB32" s="111">
        <f>Montagem!CE74</f>
        <v>0</v>
      </c>
      <c r="CC32" s="111" t="str">
        <f>Montagem!BT74</f>
        <v>Flexão Nórdica</v>
      </c>
      <c r="CD32" s="111" t="str">
        <f>Montagem!CF74</f>
        <v/>
      </c>
      <c r="CE32" s="106">
        <f>IF(CD32="",CB32,CD32)</f>
        <v>0</v>
      </c>
      <c r="CF32" s="106">
        <f>IF(CB33="C",'Dados de Base'!$D$5*0.1,IF(CB33="E",5,IF(BZ32="",CE32,BZ32)))</f>
        <v>6.3</v>
      </c>
      <c r="CG32" s="108"/>
      <c r="CH32" s="115" t="str">
        <f>IF(CT32="","",HYPERLINK(OFFSET(Biblioteca!$B$2,MATCH(CT32,Biblioteca!$A$3:$A$200,0),0),CT32))</f>
        <v/>
      </c>
      <c r="CK32" s="109" t="str">
        <f>Montagem!CN74</f>
        <v/>
      </c>
      <c r="CL32" s="110" t="str">
        <f>Montagem!CO74</f>
        <v/>
      </c>
      <c r="CM32" s="110" t="str">
        <f>Montagem!CP74</f>
        <v/>
      </c>
      <c r="CN32" s="110" t="str">
        <f>Montagem!CQ74</f>
        <v/>
      </c>
      <c r="CO32" s="110" t="str">
        <f>Montagem!CR74</f>
        <v/>
      </c>
      <c r="CP32" s="110" t="str">
        <f>Montagem!CS74</f>
        <v/>
      </c>
      <c r="CQ32" s="114"/>
      <c r="CR32" s="111">
        <f>Montagem!CH74</f>
        <v>1</v>
      </c>
      <c r="CS32" s="111" t="str">
        <f>Montagem!CT74</f>
        <v/>
      </c>
      <c r="CT32" s="111" t="str">
        <f>Montagem!CI74</f>
        <v/>
      </c>
      <c r="CU32" s="111" t="str">
        <f>Montagem!CU74</f>
        <v/>
      </c>
      <c r="CV32" s="106" t="str">
        <f>IF(CU32="",CS32,CU32)</f>
        <v/>
      </c>
      <c r="CW32" s="106" t="str">
        <f>IF(CS33="C",'Dados de Base'!$D$5*0.1,IF(CS33="E",5,IF(CQ32="",CV32,CQ32)))</f>
        <v/>
      </c>
      <c r="CX32" s="108"/>
      <c r="CY32" s="115" t="str">
        <f>IF(DK32="","",HYPERLINK(OFFSET(Biblioteca!$B$2,MATCH(DK32,Biblioteca!$A$3:$A$200,0),0),DK32))</f>
        <v/>
      </c>
      <c r="DB32" s="130" t="str">
        <f>Montagem!DC74</f>
        <v/>
      </c>
      <c r="DC32" s="131" t="str">
        <f>Montagem!DD74</f>
        <v/>
      </c>
      <c r="DD32" s="131" t="str">
        <f>Montagem!DE74</f>
        <v/>
      </c>
      <c r="DE32" s="131" t="str">
        <f>Montagem!DF74</f>
        <v/>
      </c>
      <c r="DF32" s="131" t="str">
        <f>Montagem!DG74</f>
        <v/>
      </c>
      <c r="DG32" s="131" t="str">
        <f>Montagem!DH74</f>
        <v/>
      </c>
      <c r="DH32" s="114"/>
      <c r="DI32" s="111">
        <f>Montagem!CW74</f>
        <v>1</v>
      </c>
      <c r="DJ32" s="111" t="str">
        <f>Montagem!DI74</f>
        <v/>
      </c>
      <c r="DK32" s="111" t="str">
        <f>Montagem!CX74</f>
        <v/>
      </c>
      <c r="DL32" s="111" t="str">
        <f>Montagem!DJ74</f>
        <v/>
      </c>
      <c r="DM32" s="106" t="str">
        <f>IF(DL32="",DJ32,DL32)</f>
        <v/>
      </c>
      <c r="DN32" s="106" t="str">
        <f>IF(DJ33="C",'Dados de Base'!$D$5*0.1,IF(DJ33="E",5,IF(DH32="",DM32,DH32)))</f>
        <v/>
      </c>
      <c r="DO32" s="108"/>
      <c r="DP32" s="106"/>
      <c r="DQ32" s="106"/>
      <c r="DR32" s="106"/>
      <c r="DS32" s="106"/>
      <c r="DT32" s="106"/>
      <c r="DU32" s="106"/>
      <c r="DV32" s="106"/>
      <c r="DW32" s="106"/>
      <c r="DX32" s="106"/>
      <c r="DY32" s="106"/>
    </row>
    <row r="33">
      <c r="A33" s="117" t="str">
        <f>IF(A32="","",IFS(L33="A",Montagem!$C$80,N33="T","Realizar a maior quantidade de repetições por "&amp;F32&amp;" segundos | ",N33="I",IF(M33="U","Manter a posição por "&amp;F32&amp;" segundos de um lado e trocar para o outro na sequência | ","Manter a posição por "&amp;F32&amp;" segundos | "),M33="A","Realizar alternadamente "&amp;F32&amp;" repetições cada lado | ",M33="U","Realizar "&amp;F32&amp;" repetições de um lado e trocar para o outro na sequência | ",L33="P",OFFSET(Biblioteca!$H$2,MATCH(M32,Biblioteca!$A$3:$A$200,0),0),TRUE,"")&amp;IF(N33="R","Ajuste a carga para que tenha "&amp;$K$2&amp;" repetições de reserva",""))</f>
        <v>1x (3m a 142,95 - 148,3 bpm-&gt; 15,4 - 16,4km/h)</v>
      </c>
      <c r="E33" s="118" t="str">
        <f>IF(A32="","",IFS(L33="H","Carga Sugerida: "&amp;ROUNDUP(O32/2,0)&amp;" kg de cada lado (Total: "&amp;ROUNDUP(O32/2,0)*2&amp;" kg)",L33="C","Este exercício usa o Peso Corporal como carga",L33="E","Este exercício usa a resistência da banda elástica como carga",L33="O","Carga Sugerida: "&amp;INT(O32)&amp;" kg",TRUE,""))</f>
        <v/>
      </c>
      <c r="J33" s="66"/>
      <c r="K33" s="126">
        <f>K32</f>
        <v>3</v>
      </c>
      <c r="L33" s="120" t="str">
        <f>LEFT(O33)</f>
        <v>A</v>
      </c>
      <c r="M33" s="121" t="str">
        <f>MID(O33,2,1)</f>
        <v>-</v>
      </c>
      <c r="N33" s="122" t="str">
        <f>RIGHT(O33)</f>
        <v>-</v>
      </c>
      <c r="O33" s="123" t="str">
        <f>IF(M32="","",OFFSET(Biblioteca!$I$2,MATCH(M32,Biblioteca!$A$3:$A$200,0),0))</f>
        <v>A--</v>
      </c>
      <c r="P33" s="124"/>
      <c r="Q33" s="125"/>
      <c r="R33" s="117" t="str">
        <f>IF(R32="","",IFS(AC33="A",Montagem!$D$80,AE33="T","Realizar a maior quantidade de repetições por "&amp;W32&amp;" segundos | ",AE33="I",IF(AD33="U","Manter a posição por "&amp;W32&amp;" segundos de um lado e trocar para o outro na sequência | ","Manter a posição por "&amp;W32&amp;" segundos | "),AD33="A","Realizar alternadamente "&amp;W32&amp;" repetições cada lado | ",AD33="U","Realizar "&amp;W32&amp;" repetições de um lado e trocar para o outro na sequência | ",AC33="P",OFFSET(Biblioteca!$H$2,MATCH(AD32,Biblioteca!$A$3:$A$200,0),0),TRUE,"")&amp;IF(AE33="R","Ajuste a carga para que tenha "&amp;$K$2&amp;" repetições de reserva",""))</f>
        <v>1x (3m all out)</v>
      </c>
      <c r="V33" s="118" t="str">
        <f>IF(R32="","",IFS(AC33="H","Carga Sugerida: "&amp;ROUNDUP(AF32/2,0)&amp;" kg de cada lado (Total: "&amp;ROUNDUP(AF32/2,0)*2&amp;" kg)",AC33="C","Este exercício usa o Peso Corporal como carga",AC33="E","Este exercício usa a resistência da banda elástica como carga",AC33="O","Carga Sugerida: "&amp;INT(AF32)&amp;" kg",TRUE,""))</f>
        <v/>
      </c>
      <c r="AA33" s="66"/>
      <c r="AB33" s="126">
        <f>AB32</f>
        <v>3</v>
      </c>
      <c r="AC33" s="120" t="str">
        <f>LEFT(AF33)</f>
        <v>A</v>
      </c>
      <c r="AD33" s="121" t="str">
        <f>MID(AF33,2,1)</f>
        <v>-</v>
      </c>
      <c r="AE33" s="122" t="str">
        <f>RIGHT(AF33)</f>
        <v>-</v>
      </c>
      <c r="AF33" s="123" t="str">
        <f>IF(AD32="","",OFFSET(Biblioteca!$I$2,MATCH(AD32,Biblioteca!$A$3:$A$200,0),0))</f>
        <v>A--</v>
      </c>
      <c r="AG33" s="124"/>
      <c r="AH33" s="125"/>
      <c r="AI33" s="117" t="str">
        <f>IF(AI32="","",IFS(AT33="A",Montagem!$E$80,AV33="T","Realizar a maior quantidade de repetições por "&amp;AN32&amp;" segundos | ",AV33="I",IF(AU33="U","Manter a posição por "&amp;AN32&amp;" segundos de um lado e trocar para o outro na sequência | ","Manter a posição por "&amp;AN32&amp;" segundos | "),AU33="A","Realizar alternadamente "&amp;AN32&amp;" repetições cada lado | ",AU33="U","Realizar "&amp;AN32&amp;" repetições de um lado e trocar para o outro na sequência | ",AT33="P",OFFSET(Biblioteca!$H$2,MATCH(AU32,Biblioteca!$A$3:$A$200,0),0),TRUE,"")&amp;IF(AV33="R","Ajuste a carga para que tenha "&amp;$K$2&amp;" repetições de reserva",""))</f>
        <v/>
      </c>
      <c r="AM33" s="118" t="str">
        <f>IF(AI32="","",IFS(AT33="H","Carga Sugerida: "&amp;ROUNDUP(AW32/2,0)&amp;" kg de cada lado (Total: "&amp;ROUNDUP(AW32/2,0)*2&amp;" kg)",AT33="C","Este exercício usa o Peso Corporal como carga",AT33="E","Este exercício usa a resistência da banda elástica como carga",AT33="O","Carga Sugerida: "&amp;INT(AW32)&amp;" kg",TRUE,""))</f>
        <v/>
      </c>
      <c r="AR33" s="66"/>
      <c r="AS33" s="126">
        <f>AS32</f>
        <v>1</v>
      </c>
      <c r="AT33" s="120" t="str">
        <f>LEFT(AW33)</f>
        <v/>
      </c>
      <c r="AU33" s="121" t="str">
        <f>MID(AW33,2,1)</f>
        <v/>
      </c>
      <c r="AV33" s="122" t="str">
        <f>RIGHT(AW33)</f>
        <v/>
      </c>
      <c r="AW33" s="123" t="str">
        <f>IF(AU32="","",OFFSET(Biblioteca!$I$2,MATCH(AU32,Biblioteca!$A$3:$A$200,0),0))</f>
        <v/>
      </c>
      <c r="AX33" s="124"/>
      <c r="AY33" s="125"/>
      <c r="AZ33" s="117" t="str">
        <f>IF(AZ32="","",IFS(BK33="A",Montagem!$F$80,BM33="T","Realizar a maior quantidade de repetições por "&amp;BE32&amp;" segundos | ",BM33="I",IF(BL33="U","Manter a posição por "&amp;BE32&amp;" segundos de um lado e trocar para o outro na sequência | ","Manter a posição por "&amp;BE32&amp;" segundos | "),BL33="A","Realizar alternadamente "&amp;BE32&amp;" repetições cada lado | ",BL33="U","Realizar "&amp;BE32&amp;" repetições de um lado e trocar para o outro na sequência | ",BK33="P",OFFSET(Biblioteca!$H$2,MATCH(BL32,Biblioteca!$A$3:$A$200,0),0),TRUE,"")&amp;IF(BM33="R","Ajuste a carga para que tenha "&amp;$K$2&amp;" repetições de reserva",""))</f>
        <v>Ajuste a carga para que tenha 0 a 2 repetições de reserva</v>
      </c>
      <c r="BD33" s="118" t="str">
        <f>IF(AZ32="","",IFS(BK33="H","Carga Sugerida: "&amp;ROUNDUP(BN32/2,0)&amp;" kg de cada lado (Total: "&amp;ROUNDUP(BN32/2,0)*2&amp;" kg)",BK33="C","Este exercício usa o Peso Corporal como carga",BK33="E","Este exercício usa a resistência da banda elástica como carga",BK33="O","Carga Sugerida: "&amp;INT(BN32)&amp;" kg",TRUE,""))</f>
        <v>Carga Sugerida: 6 kg</v>
      </c>
      <c r="BI33" s="66"/>
      <c r="BJ33" s="126">
        <f>BJ32</f>
        <v>2</v>
      </c>
      <c r="BK33" s="120" t="str">
        <f>LEFT(BN33)</f>
        <v>O</v>
      </c>
      <c r="BL33" s="121" t="str">
        <f>MID(BN33,2,1)</f>
        <v>O</v>
      </c>
      <c r="BM33" s="122" t="str">
        <f>RIGHT(BN33)</f>
        <v>R</v>
      </c>
      <c r="BN33" s="123" t="str">
        <f>IF(BL32="","",OFFSET(Biblioteca!$I$2,MATCH(BL32,Biblioteca!$A$3:$A$200,0),0))</f>
        <v>OOR</v>
      </c>
      <c r="BO33" s="124"/>
      <c r="BP33" s="125"/>
      <c r="BQ33" s="117" t="str">
        <f>IF(BQ32="","",IFS(CB33="A",Montagem!$G$80,CD33="T","Realizar a maior quantidade de repetições por "&amp;BV32&amp;" segundos | ",CD33="I",IF(CC33="U","Manter a posição por "&amp;BV32&amp;" segundos de um lado e trocar para o outro na sequência | ","Manter a posição por "&amp;BV32&amp;" segundos | "),CC33="A","Realizar alternadamente "&amp;BV32&amp;" repetições cada lado | ",CC33="U","Realizar "&amp;BV32&amp;" repetições de um lado e trocar para o outro na sequência | ",CB33="P",OFFSET(Biblioteca!$H$2,MATCH(CC32,Biblioteca!$A$3:$A$200,0),0),TRUE,"")&amp;IF(CD33="R","Ajuste a carga para que tenha "&amp;$K$2&amp;" repetições de reserva",""))</f>
        <v>Ajuste a carga para que tenha 0 a 2 repetições de reserva</v>
      </c>
      <c r="BU33" s="118" t="str">
        <f>IF(BQ32="","",IFS(CB33="H","Carga Sugerida: "&amp;ROUNDUP(CE32/2,0)&amp;" kg de cada lado (Total: "&amp;ROUNDUP(CE32/2,0)*2&amp;" kg)",CB33="C","Este exercício usa o Peso Corporal como carga",CB33="E","Este exercício usa a resistência da banda elástica como carga",CB33="O","Carga Sugerida: "&amp;INT(CE32)&amp;" kg",TRUE,""))</f>
        <v>Este exercício usa o Peso Corporal como carga</v>
      </c>
      <c r="BZ33" s="66"/>
      <c r="CA33" s="126">
        <f>CA32</f>
        <v>3</v>
      </c>
      <c r="CB33" s="120" t="str">
        <f>LEFT(CE33)</f>
        <v>C</v>
      </c>
      <c r="CC33" s="121" t="str">
        <f>MID(CE33,2,1)</f>
        <v>O</v>
      </c>
      <c r="CD33" s="122" t="str">
        <f>RIGHT(CE33)</f>
        <v>R</v>
      </c>
      <c r="CE33" s="123" t="str">
        <f>IF(CC32="","",OFFSET(Biblioteca!$I$2,MATCH(CC32,Biblioteca!$A$3:$A$200,0),0))</f>
        <v>COR</v>
      </c>
      <c r="CF33" s="124"/>
      <c r="CG33" s="125"/>
      <c r="CH33" s="117" t="str">
        <f>IF(CH32="","",IFS(CS33="A",Montagem!$H$80,CU33="T","Realizar a maior quantidade de repetições por "&amp;CM32&amp;" segundos | ",CU33="I",IF(CT33="U","Manter a posição por "&amp;CM32&amp;" segundos de um lado e trocar para o outro na sequência | ","Manter a posição por "&amp;CM32&amp;" segundos | "),CT33="A","Realizar alternadamente "&amp;CM32&amp;" repetições cada lado | ",CT33="U","Realizar "&amp;CM32&amp;" repetições de um lado e trocar para o outro na sequência | ",CS33="P",OFFSET(Biblioteca!$H$2,MATCH(CT32,Biblioteca!$A$3:$A$200,0),0),TRUE,"")&amp;IF(CU33="R","Ajuste a carga para que tenha "&amp;$K$2&amp;" repetições de reserva",""))</f>
        <v/>
      </c>
      <c r="CL33" s="118" t="str">
        <f>IF(CH32="","",IFS(CS33="H","Carga Sugerida: "&amp;ROUNDUP(CV32/2,0)&amp;" kg de cada lado (Total: "&amp;ROUNDUP(CV32/2,0)*2&amp;" kg)",CS33="C","Este exercício usa o Peso Corporal como carga",CS33="E","Este exercício usa a resistência da banda elástica como carga",CS33="O","Carga Sugerida: "&amp;INT(CV32)&amp;" kg",TRUE,""))</f>
        <v/>
      </c>
      <c r="CQ33" s="66"/>
      <c r="CR33" s="126">
        <f>CR32</f>
        <v>1</v>
      </c>
      <c r="CS33" s="120" t="str">
        <f>LEFT(CV33)</f>
        <v/>
      </c>
      <c r="CT33" s="121" t="str">
        <f>MID(CV33,2,1)</f>
        <v/>
      </c>
      <c r="CU33" s="122" t="str">
        <f>RIGHT(CV33)</f>
        <v/>
      </c>
      <c r="CV33" s="123" t="str">
        <f>IF(CT32="","",OFFSET(Biblioteca!$I$2,MATCH(CT32,Biblioteca!$A$3:$A$200,0),0))</f>
        <v/>
      </c>
      <c r="CW33" s="124"/>
      <c r="CX33" s="125"/>
      <c r="CY33" s="117" t="str">
        <f>IF(CY32="","",IFS(DJ33="A",Montagem!$I$80,DL33="T","Realizar a maior quantidade de repetições por "&amp;DD32&amp;" segundos | ",DL33="I",IF(DK33="U","Manter a posição por "&amp;DD32&amp;" segundos de um lado e trocar para o outro na sequência | ","Manter a posição por "&amp;DD32&amp;" segundos | "),DK33="A","Realizar alternadamente "&amp;DD32&amp;" repetições cada lado | ",DK33="U","Realizar "&amp;DD32&amp;" repetições de um lado e trocar para o outro na sequência | ",DJ33="P",OFFSET(Biblioteca!$H$2,MATCH(DK32,Biblioteca!$A$3:$A$200,0),0),TRUE,"")&amp;IF(DL33="R","Ajuste a carga para que tenha "&amp;$K$2&amp;" repetições de reserva",""))</f>
        <v/>
      </c>
      <c r="DC33" s="118" t="str">
        <f>IF(CY32="","",IFS(DJ33="H","Carga Sugerida: "&amp;ROUNDUP(DM32/2,0)&amp;" kg de cada lado (Total: "&amp;ROUNDUP(DM32/2,0)*2&amp;" kg)",DJ33="C","Este exercício usa o Peso Corporal como carga",DJ33="E","Este exercício usa a resistência da banda elástica como carga",DJ33="O","Carga Sugerida: "&amp;INT(DM32)&amp;" kg",TRUE,""))</f>
        <v/>
      </c>
      <c r="DH33" s="66"/>
      <c r="DI33" s="126">
        <f>DI32</f>
        <v>1</v>
      </c>
      <c r="DJ33" s="120" t="str">
        <f>LEFT(DM33)</f>
        <v/>
      </c>
      <c r="DK33" s="121" t="str">
        <f>MID(DM33,2,1)</f>
        <v/>
      </c>
      <c r="DL33" s="122" t="str">
        <f>RIGHT(DM33)</f>
        <v/>
      </c>
      <c r="DM33" s="123" t="str">
        <f>IF(DK32="","",OFFSET(Biblioteca!$I$2,MATCH(DK32,Biblioteca!$A$3:$A$200,0),0))</f>
        <v/>
      </c>
      <c r="DN33" s="124"/>
      <c r="DO33" s="125"/>
      <c r="DP33" s="57"/>
      <c r="DQ33" s="56"/>
      <c r="DR33" s="56"/>
      <c r="DS33" s="56"/>
      <c r="DT33" s="56"/>
      <c r="DU33" s="56"/>
      <c r="DV33" s="56"/>
      <c r="DW33" s="56"/>
      <c r="DX33" s="56"/>
      <c r="DY33" s="56"/>
    </row>
    <row r="34">
      <c r="A34" s="102" t="str">
        <f>IF(M34="","",HYPERLINK(OFFSET(Biblioteca!$B$2,MATCH(M34,Biblioteca!$A$3:$A$200,0),0),M34))</f>
        <v>Supino Inclinado</v>
      </c>
      <c r="D34" s="103" t="str">
        <f>Montagem!Q75</f>
        <v>Bi-SET</v>
      </c>
      <c r="E34" s="104">
        <f>Montagem!R75</f>
        <v>3</v>
      </c>
      <c r="F34" s="104">
        <f>Montagem!S75</f>
        <v>12</v>
      </c>
      <c r="G34" s="104" t="str">
        <f>Montagem!T75</f>
        <v/>
      </c>
      <c r="H34" s="104">
        <f>Montagem!U75</f>
        <v>1</v>
      </c>
      <c r="I34" s="132">
        <f>Montagem!V75</f>
        <v>2</v>
      </c>
      <c r="J34" s="105">
        <v>44.0</v>
      </c>
      <c r="K34" s="106">
        <f>Montagem!K75</f>
        <v>4</v>
      </c>
      <c r="L34" s="111">
        <f>Montagem!W75</f>
        <v>45.35147392</v>
      </c>
      <c r="M34" s="111" t="str">
        <f>Montagem!L75</f>
        <v>Supino Inclinado</v>
      </c>
      <c r="N34" s="111" t="str">
        <f>Montagem!X75</f>
        <v/>
      </c>
      <c r="O34" s="106">
        <f>IF(N34="",L34,N34)</f>
        <v>45.35147392</v>
      </c>
      <c r="P34" s="106">
        <f>IF(L35="C",'Dados de Base'!$D$5*0.1,IF(L35="E",5,IF(J34="",O34,J34)))</f>
        <v>44</v>
      </c>
      <c r="Q34" s="108"/>
      <c r="R34" s="102" t="str">
        <f>IF(AD34="","",HYPERLINK(OFFSET(Biblioteca!$B$2,MATCH(AD34,Biblioteca!$A$3:$A$200,0),0),AD34))</f>
        <v>Elevação Pélvica</v>
      </c>
      <c r="U34" s="109" t="str">
        <f>Montagem!AF75</f>
        <v>Bi-SET</v>
      </c>
      <c r="V34" s="110">
        <f>Montagem!AG75</f>
        <v>3</v>
      </c>
      <c r="W34" s="110">
        <f>Montagem!AH75</f>
        <v>12</v>
      </c>
      <c r="X34" s="110" t="str">
        <f>Montagem!AI75</f>
        <v/>
      </c>
      <c r="Y34" s="110">
        <f>Montagem!AJ75</f>
        <v>1</v>
      </c>
      <c r="Z34" s="110">
        <f>Montagem!AK75</f>
        <v>2</v>
      </c>
      <c r="AA34" s="113">
        <v>100.0</v>
      </c>
      <c r="AB34" s="111">
        <f>Montagem!Z75</f>
        <v>4</v>
      </c>
      <c r="AC34" s="111">
        <f>Montagem!AL75</f>
        <v>100</v>
      </c>
      <c r="AD34" s="129" t="str">
        <f>Montagem!AA75</f>
        <v>Elevação Pélvica</v>
      </c>
      <c r="AE34" s="111" t="str">
        <f>Montagem!AM75</f>
        <v/>
      </c>
      <c r="AF34" s="106">
        <f>IF(AE34="",AC34,AE34)</f>
        <v>100</v>
      </c>
      <c r="AG34" s="106">
        <f>IF(AC35="C",'Dados de Base'!$D$5*0.1,IF(AC35="E",5,IF(AA34="",AF34,AA34)))</f>
        <v>100</v>
      </c>
      <c r="AH34" s="108"/>
      <c r="AI34" s="115" t="str">
        <f>IF(AU34="","",HYPERLINK(OFFSET(Biblioteca!$B$2,MATCH(AU34,Biblioteca!$A$3:$A$200,0),0),AU34))</f>
        <v/>
      </c>
      <c r="AL34" s="109" t="str">
        <f>Montagem!AU75</f>
        <v/>
      </c>
      <c r="AM34" s="110" t="str">
        <f>Montagem!AV75</f>
        <v/>
      </c>
      <c r="AN34" s="110" t="str">
        <f>Montagem!AW75</f>
        <v/>
      </c>
      <c r="AO34" s="110" t="str">
        <f>Montagem!AX75</f>
        <v/>
      </c>
      <c r="AP34" s="110" t="str">
        <f>Montagem!AY75</f>
        <v/>
      </c>
      <c r="AQ34" s="110" t="str">
        <f>Montagem!AZ75</f>
        <v/>
      </c>
      <c r="AR34" s="114"/>
      <c r="AS34" s="111">
        <f>Montagem!AO75</f>
        <v>1</v>
      </c>
      <c r="AT34" s="111" t="str">
        <f>Montagem!BA75</f>
        <v/>
      </c>
      <c r="AU34" s="111" t="str">
        <f>Montagem!AP75</f>
        <v/>
      </c>
      <c r="AV34" s="111" t="str">
        <f>Montagem!BB75</f>
        <v/>
      </c>
      <c r="AW34" s="106" t="str">
        <f>IF(AV34="",AT34,AV34)</f>
        <v/>
      </c>
      <c r="AX34" s="106" t="str">
        <f>IF(AT35="C",'Dados de Base'!$D$5*0.1,IF(AT35="E",5,IF(AR34="",AW34,AR34)))</f>
        <v/>
      </c>
      <c r="AY34" s="108"/>
      <c r="AZ34" s="102" t="str">
        <f>IF(BL34="","",HYPERLINK(OFFSET(Biblioteca!$B$2,MATCH(BL34,Biblioteca!$A$3:$A$200,0),0),BL34))</f>
        <v>Lat PullDown</v>
      </c>
      <c r="BC34" s="109" t="str">
        <f>Montagem!BJ75</f>
        <v>Bi-SET</v>
      </c>
      <c r="BD34" s="110">
        <f>Montagem!BK75</f>
        <v>3</v>
      </c>
      <c r="BE34" s="110">
        <f>Montagem!BL75</f>
        <v>12</v>
      </c>
      <c r="BF34" s="110" t="str">
        <f>Montagem!BM75</f>
        <v/>
      </c>
      <c r="BG34" s="110">
        <f>Montagem!BN75</f>
        <v>1</v>
      </c>
      <c r="BH34" s="110">
        <f>Montagem!BO75</f>
        <v>2</v>
      </c>
      <c r="BI34" s="113">
        <v>7.0</v>
      </c>
      <c r="BJ34" s="111">
        <f>Montagem!BD75</f>
        <v>3</v>
      </c>
      <c r="BK34" s="111">
        <f>Montagem!BP75</f>
        <v>7.6</v>
      </c>
      <c r="BL34" s="111" t="str">
        <f>Montagem!BE75</f>
        <v>Lat PullDown</v>
      </c>
      <c r="BM34" s="111" t="str">
        <f>Montagem!BQ75</f>
        <v/>
      </c>
      <c r="BN34" s="106">
        <f>IF(BM34="",BK34,BM34)</f>
        <v>7.6</v>
      </c>
      <c r="BO34" s="106">
        <f>IF(BK35="C",'Dados de Base'!$D$5*0.1,IF(BK35="E",5,IF(BI34="",BN34,BI34)))</f>
        <v>7</v>
      </c>
      <c r="BP34" s="108"/>
      <c r="BQ34" s="102" t="str">
        <f>IF(CC34="","",HYPERLINK(OFFSET(Biblioteca!$B$2,MATCH(CC34,Biblioteca!$A$3:$A$200,0),0),CC34))</f>
        <v>Cadeira Extensora</v>
      </c>
      <c r="BT34" s="109" t="str">
        <f>Montagem!BY75</f>
        <v>Bi-SET</v>
      </c>
      <c r="BU34" s="110">
        <f>Montagem!BZ75</f>
        <v>3</v>
      </c>
      <c r="BV34" s="110">
        <f>Montagem!CA75</f>
        <v>12</v>
      </c>
      <c r="BW34" s="110">
        <f>Montagem!CB75</f>
        <v>60</v>
      </c>
      <c r="BX34" s="110">
        <f>Montagem!CC75</f>
        <v>1</v>
      </c>
      <c r="BY34" s="110">
        <f>Montagem!CD75</f>
        <v>2</v>
      </c>
      <c r="BZ34" s="113">
        <v>14.0</v>
      </c>
      <c r="CA34" s="111">
        <f>Montagem!BS75</f>
        <v>3</v>
      </c>
      <c r="CB34" s="111">
        <f>Montagem!CE75</f>
        <v>14</v>
      </c>
      <c r="CC34" s="111" t="str">
        <f>Montagem!BT75</f>
        <v>Cadeira Extensora</v>
      </c>
      <c r="CD34" s="111" t="str">
        <f>Montagem!CF75</f>
        <v/>
      </c>
      <c r="CE34" s="106">
        <f>IF(CD34="",CB34,CD34)</f>
        <v>14</v>
      </c>
      <c r="CF34" s="106">
        <f>IF(CB35="C",'Dados de Base'!$D$5*0.1,IF(CB35="E",5,IF(BZ34="",CE34,BZ34)))</f>
        <v>14</v>
      </c>
      <c r="CG34" s="108"/>
      <c r="CH34" s="115" t="str">
        <f>IF(CT34="","",HYPERLINK(OFFSET(Biblioteca!$B$2,MATCH(CT34,Biblioteca!$A$3:$A$200,0),0),CT34))</f>
        <v/>
      </c>
      <c r="CK34" s="109" t="str">
        <f>Montagem!CN75</f>
        <v/>
      </c>
      <c r="CL34" s="110" t="str">
        <f>Montagem!CO75</f>
        <v/>
      </c>
      <c r="CM34" s="110" t="str">
        <f>Montagem!CP75</f>
        <v/>
      </c>
      <c r="CN34" s="110" t="str">
        <f>Montagem!CQ75</f>
        <v/>
      </c>
      <c r="CO34" s="110" t="str">
        <f>Montagem!CR75</f>
        <v/>
      </c>
      <c r="CP34" s="110" t="str">
        <f>Montagem!CS75</f>
        <v/>
      </c>
      <c r="CQ34" s="114"/>
      <c r="CR34" s="111">
        <f>Montagem!CH75</f>
        <v>1</v>
      </c>
      <c r="CS34" s="111" t="str">
        <f>Montagem!CT75</f>
        <v/>
      </c>
      <c r="CT34" s="111" t="str">
        <f>Montagem!CI75</f>
        <v/>
      </c>
      <c r="CU34" s="111" t="str">
        <f>Montagem!CU75</f>
        <v/>
      </c>
      <c r="CV34" s="106" t="str">
        <f>IF(CU34="",CS34,CU34)</f>
        <v/>
      </c>
      <c r="CW34" s="106" t="str">
        <f>IF(CS35="C",'Dados de Base'!$D$5*0.1,IF(CS35="E",5,IF(CQ34="",CV34,CQ34)))</f>
        <v/>
      </c>
      <c r="CX34" s="108"/>
      <c r="CY34" s="115" t="str">
        <f>IF(DK34="","",HYPERLINK(OFFSET(Biblioteca!$B$2,MATCH(DK34,Biblioteca!$A$3:$A$200,0),0),DK34))</f>
        <v/>
      </c>
      <c r="DB34" s="130" t="str">
        <f>Montagem!DC75</f>
        <v/>
      </c>
      <c r="DC34" s="131" t="str">
        <f>Montagem!DD75</f>
        <v/>
      </c>
      <c r="DD34" s="131" t="str">
        <f>Montagem!DE75</f>
        <v/>
      </c>
      <c r="DE34" s="131" t="str">
        <f>Montagem!DF75</f>
        <v/>
      </c>
      <c r="DF34" s="131" t="str">
        <f>Montagem!DG75</f>
        <v/>
      </c>
      <c r="DG34" s="131" t="str">
        <f>Montagem!DH75</f>
        <v/>
      </c>
      <c r="DH34" s="114"/>
      <c r="DI34" s="111">
        <f>Montagem!CW75</f>
        <v>1</v>
      </c>
      <c r="DJ34" s="111" t="str">
        <f>Montagem!DI75</f>
        <v/>
      </c>
      <c r="DK34" s="111" t="str">
        <f>Montagem!CX75</f>
        <v/>
      </c>
      <c r="DL34" s="111" t="str">
        <f>Montagem!DJ75</f>
        <v/>
      </c>
      <c r="DM34" s="106" t="str">
        <f>IF(DL34="",DJ34,DL34)</f>
        <v/>
      </c>
      <c r="DN34" s="106" t="str">
        <f>IF(DJ35="C",'Dados de Base'!$D$5*0.1,IF(DJ35="E",5,IF(DH34="",DM34,DH34)))</f>
        <v/>
      </c>
      <c r="DO34" s="108"/>
      <c r="DP34" s="106"/>
      <c r="DQ34" s="106"/>
      <c r="DR34" s="106"/>
      <c r="DS34" s="106"/>
      <c r="DT34" s="106"/>
      <c r="DU34" s="106"/>
      <c r="DV34" s="106"/>
      <c r="DW34" s="106"/>
      <c r="DX34" s="106"/>
      <c r="DY34" s="106"/>
    </row>
    <row r="35">
      <c r="A35" s="117" t="str">
        <f>IF(A34="","",IFS(L35="A",Montagem!$C$80,N35="T","Realizar a maior quantidade de repetições por "&amp;F34&amp;" segundos | ",N35="I",IF(M35="U","Manter a posição por "&amp;F34&amp;" segundos de um lado e trocar para o outro na sequência | ","Manter a posição por "&amp;F34&amp;" segundos | "),M35="A","Realizar alternadamente "&amp;F34&amp;" repetições cada lado | ",M35="U","Realizar "&amp;F34&amp;" repetições de um lado e trocar para o outro na sequência | ",L35="P",OFFSET(Biblioteca!$H$2,MATCH(M34,Biblioteca!$A$3:$A$200,0),0),TRUE,"")&amp;IF(N35="R","Ajuste a carga para que tenha "&amp;$K$2&amp;" repetições de reserva",""))</f>
        <v>Ajuste a carga para que tenha 0 a 2 repetições de reserva</v>
      </c>
      <c r="E35" s="118" t="str">
        <f>IF(A34="","",IFS(L35="H","Carga Sugerida: "&amp;ROUNDUP(O34/2,0)&amp;" kg de cada lado (Total: "&amp;ROUNDUP(O34/2,0)*2&amp;" kg)",L35="C","Este exercício usa o Peso Corporal como carga",L35="E","Este exercício usa a resistência da banda elástica como carga",L35="O","Carga Sugerida: "&amp;INT(O34)&amp;" kg",TRUE,""))</f>
        <v>Carga Sugerida: 45 kg</v>
      </c>
      <c r="J35" s="66"/>
      <c r="K35" s="126">
        <f>K34</f>
        <v>4</v>
      </c>
      <c r="L35" s="120" t="str">
        <f>LEFT(O35)</f>
        <v>O</v>
      </c>
      <c r="M35" s="121" t="str">
        <f>MID(O35,2,1)</f>
        <v>O</v>
      </c>
      <c r="N35" s="122" t="str">
        <f>RIGHT(O35)</f>
        <v>R</v>
      </c>
      <c r="O35" s="123" t="str">
        <f>IF(M34="","",OFFSET(Biblioteca!$I$2,MATCH(M34,Biblioteca!$A$3:$A$200,0),0))</f>
        <v>OOR</v>
      </c>
      <c r="P35" s="124"/>
      <c r="Q35" s="125"/>
      <c r="R35" s="117" t="str">
        <f>IF(R34="","",IFS(AC35="A",Montagem!$D$80,AE35="T","Realizar a maior quantidade de repetições por "&amp;W34&amp;" segundos | ",AE35="I",IF(AD35="U","Manter a posição por "&amp;W34&amp;" segundos de um lado e trocar para o outro na sequência | ","Manter a posição por "&amp;W34&amp;" segundos | "),AD35="A","Realizar alternadamente "&amp;W34&amp;" repetições cada lado | ",AD35="U","Realizar "&amp;W34&amp;" repetições de um lado e trocar para o outro na sequência | ",AC35="P",OFFSET(Biblioteca!$H$2,MATCH(AD34,Biblioteca!$A$3:$A$200,0),0),TRUE,"")&amp;IF(AE35="R","Ajuste a carga para que tenha "&amp;$K$2&amp;" repetições de reserva",""))</f>
        <v>Ajuste a carga para que tenha 0 a 2 repetições de reserva</v>
      </c>
      <c r="V35" s="118" t="str">
        <f>IF(R34="","",IFS(AC35="H","Carga Sugerida: "&amp;ROUNDUP(AF34/2,0)&amp;" kg de cada lado (Total: "&amp;ROUNDUP(AF34/2,0)*2&amp;" kg)",AC35="C","Este exercício usa o Peso Corporal como carga",AC35="E","Este exercício usa a resistência da banda elástica como carga",AC35="O","Carga Sugerida: "&amp;INT(AF34)&amp;" kg",TRUE,""))</f>
        <v>Carga Sugerida: 100 kg</v>
      </c>
      <c r="AA35" s="66"/>
      <c r="AB35" s="126">
        <f>AB34</f>
        <v>4</v>
      </c>
      <c r="AC35" s="120" t="str">
        <f>LEFT(AF35)</f>
        <v>O</v>
      </c>
      <c r="AD35" s="121" t="str">
        <f>MID(AF35,2,1)</f>
        <v>O</v>
      </c>
      <c r="AE35" s="122" t="str">
        <f>RIGHT(AF35)</f>
        <v>R</v>
      </c>
      <c r="AF35" s="123" t="str">
        <f>IF(AD34="","",OFFSET(Biblioteca!$I$2,MATCH(AD34,Biblioteca!$A$3:$A$200,0),0))</f>
        <v>OOR</v>
      </c>
      <c r="AG35" s="124"/>
      <c r="AH35" s="125"/>
      <c r="AI35" s="117" t="str">
        <f>IF(AI34="","",IFS(AT35="A",Montagem!$E$80,AV35="T","Realizar a maior quantidade de repetições por "&amp;AN34&amp;" segundos | ",AV35="I",IF(AU35="U","Manter a posição por "&amp;AN34&amp;" segundos de um lado e trocar para o outro na sequência | ","Manter a posição por "&amp;AN34&amp;" segundos | "),AU35="A","Realizar alternadamente "&amp;AN34&amp;" repetições cada lado | ",AU35="U","Realizar "&amp;AN34&amp;" repetições de um lado e trocar para o outro na sequência | ",AT35="P",OFFSET(Biblioteca!$H$2,MATCH(AU34,Biblioteca!$A$3:$A$200,0),0),TRUE,"")&amp;IF(AV35="R","Ajuste a carga para que tenha "&amp;$K$2&amp;" repetições de reserva",""))</f>
        <v/>
      </c>
      <c r="AM35" s="118" t="str">
        <f>IF(AI34="","",IFS(AT35="H","Carga Sugerida: "&amp;ROUNDUP(AW34/2,0)&amp;" kg de cada lado (Total: "&amp;ROUNDUP(AW34/2,0)*2&amp;" kg)",AT35="C","Este exercício usa o Peso Corporal como carga",AT35="E","Este exercício usa a resistência da banda elástica como carga",AT35="O","Carga Sugerida: "&amp;INT(AW34)&amp;" kg",TRUE,""))</f>
        <v/>
      </c>
      <c r="AR35" s="66"/>
      <c r="AS35" s="126">
        <f>AS34</f>
        <v>1</v>
      </c>
      <c r="AT35" s="120" t="str">
        <f>LEFT(AW35)</f>
        <v/>
      </c>
      <c r="AU35" s="121" t="str">
        <f>MID(AW35,2,1)</f>
        <v/>
      </c>
      <c r="AV35" s="122" t="str">
        <f>RIGHT(AW35)</f>
        <v/>
      </c>
      <c r="AW35" s="123" t="str">
        <f>IF(AU34="","",OFFSET(Biblioteca!$I$2,MATCH(AU34,Biblioteca!$A$3:$A$200,0),0))</f>
        <v/>
      </c>
      <c r="AX35" s="124"/>
      <c r="AY35" s="125"/>
      <c r="AZ35" s="117" t="str">
        <f>IF(AZ34="","",IFS(BK35="A",Montagem!$F$80,BM35="T","Realizar a maior quantidade de repetições por "&amp;BE34&amp;" segundos | ",BM35="I",IF(BL35="U","Manter a posição por "&amp;BE34&amp;" segundos de um lado e trocar para o outro na sequência | ","Manter a posição por "&amp;BE34&amp;" segundos | "),BL35="A","Realizar alternadamente "&amp;BE34&amp;" repetições cada lado | ",BL35="U","Realizar "&amp;BE34&amp;" repetições de um lado e trocar para o outro na sequência | ",BK35="P",OFFSET(Biblioteca!$H$2,MATCH(BL34,Biblioteca!$A$3:$A$200,0),0),TRUE,"")&amp;IF(BM35="R","Ajuste a carga para que tenha "&amp;$K$2&amp;" repetições de reserva",""))</f>
        <v>Ajuste a carga para que tenha 0 a 2 repetições de reserva</v>
      </c>
      <c r="BD35" s="118" t="str">
        <f>IF(AZ34="","",IFS(BK35="H","Carga Sugerida: "&amp;ROUNDUP(BN34/2,0)&amp;" kg de cada lado (Total: "&amp;ROUNDUP(BN34/2,0)*2&amp;" kg)",BK35="C","Este exercício usa o Peso Corporal como carga",BK35="E","Este exercício usa a resistência da banda elástica como carga",BK35="O","Carga Sugerida: "&amp;INT(BN34)&amp;" kg",TRUE,""))</f>
        <v>Carga Sugerida: 7 kg</v>
      </c>
      <c r="BI35" s="66"/>
      <c r="BJ35" s="126">
        <f>BJ34</f>
        <v>3</v>
      </c>
      <c r="BK35" s="120" t="str">
        <f>LEFT(BN35)</f>
        <v>O</v>
      </c>
      <c r="BL35" s="121" t="str">
        <f>MID(BN35,2,1)</f>
        <v>O</v>
      </c>
      <c r="BM35" s="122" t="str">
        <f>RIGHT(BN35)</f>
        <v>R</v>
      </c>
      <c r="BN35" s="123" t="str">
        <f>IF(BL34="","",OFFSET(Biblioteca!$I$2,MATCH(BL34,Biblioteca!$A$3:$A$200,0),0))</f>
        <v>OOR</v>
      </c>
      <c r="BO35" s="124"/>
      <c r="BP35" s="125"/>
      <c r="BQ35" s="117" t="str">
        <f>IF(BQ34="","",IFS(CB35="A",Montagem!$G$80,CD35="T","Realizar a maior quantidade de repetições por "&amp;BV34&amp;" segundos | ",CD35="I",IF(CC35="U","Manter a posição por "&amp;BV34&amp;" segundos de um lado e trocar para o outro na sequência | ","Manter a posição por "&amp;BV34&amp;" segundos | "),CC35="A","Realizar alternadamente "&amp;BV34&amp;" repetições cada lado | ",CC35="U","Realizar "&amp;BV34&amp;" repetições de um lado e trocar para o outro na sequência | ",CB35="P",OFFSET(Biblioteca!$H$2,MATCH(CC34,Biblioteca!$A$3:$A$200,0),0),TRUE,"")&amp;IF(CD35="R","Ajuste a carga para que tenha "&amp;$K$2&amp;" repetições de reserva",""))</f>
        <v>Ajuste a carga para que tenha 0 a 2 repetições de reserva</v>
      </c>
      <c r="BU35" s="118" t="str">
        <f>IF(BQ34="","",IFS(CB35="H","Carga Sugerida: "&amp;ROUNDUP(CE34/2,0)&amp;" kg de cada lado (Total: "&amp;ROUNDUP(CE34/2,0)*2&amp;" kg)",CB35="C","Este exercício usa o Peso Corporal como carga",CB35="E","Este exercício usa a resistência da banda elástica como carga",CB35="O","Carga Sugerida: "&amp;INT(CE34)&amp;" kg",TRUE,""))</f>
        <v>Carga Sugerida: 14 kg</v>
      </c>
      <c r="BZ35" s="66"/>
      <c r="CA35" s="126">
        <f>CA34</f>
        <v>3</v>
      </c>
      <c r="CB35" s="120" t="str">
        <f>LEFT(CE35)</f>
        <v>O</v>
      </c>
      <c r="CC35" s="121" t="str">
        <f>MID(CE35,2,1)</f>
        <v>O</v>
      </c>
      <c r="CD35" s="122" t="str">
        <f>RIGHT(CE35)</f>
        <v>R</v>
      </c>
      <c r="CE35" s="123" t="str">
        <f>IF(CC34="","",OFFSET(Biblioteca!$I$2,MATCH(CC34,Biblioteca!$A$3:$A$200,0),0))</f>
        <v>OOR</v>
      </c>
      <c r="CF35" s="124"/>
      <c r="CG35" s="125"/>
      <c r="CH35" s="117" t="str">
        <f>IF(CH34="","",IFS(CS35="A",Montagem!$H$80,CU35="T","Realizar a maior quantidade de repetições por "&amp;CM34&amp;" segundos | ",CU35="I",IF(CT35="U","Manter a posição por "&amp;CM34&amp;" segundos de um lado e trocar para o outro na sequência | ","Manter a posição por "&amp;CM34&amp;" segundos | "),CT35="A","Realizar alternadamente "&amp;CM34&amp;" repetições cada lado | ",CT35="U","Realizar "&amp;CM34&amp;" repetições de um lado e trocar para o outro na sequência | ",CS35="P",OFFSET(Biblioteca!$H$2,MATCH(CT34,Biblioteca!$A$3:$A$200,0),0),TRUE,"")&amp;IF(CU35="R","Ajuste a carga para que tenha "&amp;$K$2&amp;" repetições de reserva",""))</f>
        <v/>
      </c>
      <c r="CL35" s="118" t="str">
        <f>IF(CH34="","",IFS(CS35="H","Carga Sugerida: "&amp;ROUNDUP(CV34/2,0)&amp;" kg de cada lado (Total: "&amp;ROUNDUP(CV34/2,0)*2&amp;" kg)",CS35="C","Este exercício usa o Peso Corporal como carga",CS35="E","Este exercício usa a resistência da banda elástica como carga",CS35="O","Carga Sugerida: "&amp;INT(CV34)&amp;" kg",TRUE,""))</f>
        <v/>
      </c>
      <c r="CQ35" s="66"/>
      <c r="CR35" s="126">
        <f>CR34</f>
        <v>1</v>
      </c>
      <c r="CS35" s="120" t="str">
        <f>LEFT(CV35)</f>
        <v/>
      </c>
      <c r="CT35" s="121" t="str">
        <f>MID(CV35,2,1)</f>
        <v/>
      </c>
      <c r="CU35" s="122" t="str">
        <f>RIGHT(CV35)</f>
        <v/>
      </c>
      <c r="CV35" s="123" t="str">
        <f>IF(CT34="","",OFFSET(Biblioteca!$I$2,MATCH(CT34,Biblioteca!$A$3:$A$200,0),0))</f>
        <v/>
      </c>
      <c r="CW35" s="124"/>
      <c r="CX35" s="125"/>
      <c r="CY35" s="117" t="str">
        <f>IF(CY34="","",IFS(DJ35="A",Montagem!$I$80,DL35="T","Realizar a maior quantidade de repetições por "&amp;DD34&amp;" segundos | ",DL35="I",IF(DK35="U","Manter a posição por "&amp;DD34&amp;" segundos de um lado e trocar para o outro na sequência | ","Manter a posição por "&amp;DD34&amp;" segundos | "),DK35="A","Realizar alternadamente "&amp;DD34&amp;" repetições cada lado | ",DK35="U","Realizar "&amp;DD34&amp;" repetições de um lado e trocar para o outro na sequência | ",DJ35="P",OFFSET(Biblioteca!$H$2,MATCH(DK34,Biblioteca!$A$3:$A$200,0),0),TRUE,"")&amp;IF(DL35="R","Ajuste a carga para que tenha "&amp;$K$2&amp;" repetições de reserva",""))</f>
        <v/>
      </c>
      <c r="DC35" s="118" t="str">
        <f>IF(CY34="","",IFS(DJ35="H","Carga Sugerida: "&amp;ROUNDUP(DM34/2,0)&amp;" kg de cada lado (Total: "&amp;ROUNDUP(DM34/2,0)*2&amp;" kg)",DJ35="C","Este exercício usa o Peso Corporal como carga",DJ35="E","Este exercício usa a resistência da banda elástica como carga",DJ35="O","Carga Sugerida: "&amp;INT(DM34)&amp;" kg",TRUE,""))</f>
        <v/>
      </c>
      <c r="DH35" s="66"/>
      <c r="DI35" s="126">
        <f>DI34</f>
        <v>1</v>
      </c>
      <c r="DJ35" s="120" t="str">
        <f>LEFT(DM35)</f>
        <v/>
      </c>
      <c r="DK35" s="121" t="str">
        <f>MID(DM35,2,1)</f>
        <v/>
      </c>
      <c r="DL35" s="122" t="str">
        <f>RIGHT(DM35)</f>
        <v/>
      </c>
      <c r="DM35" s="123" t="str">
        <f>IF(DK34="","",OFFSET(Biblioteca!$I$2,MATCH(DK34,Biblioteca!$A$3:$A$200,0),0))</f>
        <v/>
      </c>
      <c r="DN35" s="124"/>
      <c r="DO35" s="125"/>
      <c r="DP35" s="57"/>
      <c r="DQ35" s="56"/>
      <c r="DR35" s="56"/>
      <c r="DS35" s="56"/>
      <c r="DT35" s="56"/>
      <c r="DU35" s="56"/>
      <c r="DV35" s="56"/>
      <c r="DW35" s="56"/>
      <c r="DX35" s="56"/>
      <c r="DY35" s="56"/>
    </row>
    <row r="36">
      <c r="A36" s="102" t="str">
        <f>IF(M36="","",HYPERLINK(OFFSET(Biblioteca!$B$2,MATCH(M36,Biblioteca!$A$3:$A$200,0),0),M36))</f>
        <v>Pulley frente</v>
      </c>
      <c r="D36" s="103" t="str">
        <f>Montagem!Q76</f>
        <v>Bi-SET</v>
      </c>
      <c r="E36" s="104">
        <f>Montagem!R76</f>
        <v>3</v>
      </c>
      <c r="F36" s="104">
        <f>Montagem!S76</f>
        <v>12</v>
      </c>
      <c r="G36" s="104">
        <f>Montagem!T76</f>
        <v>60</v>
      </c>
      <c r="H36" s="104">
        <f>Montagem!U76</f>
        <v>1</v>
      </c>
      <c r="I36" s="132">
        <f>Montagem!V76</f>
        <v>2</v>
      </c>
      <c r="J36" s="105">
        <v>8.0</v>
      </c>
      <c r="K36" s="106">
        <f>Montagem!K76</f>
        <v>4</v>
      </c>
      <c r="L36" s="111">
        <f>Montagem!W76</f>
        <v>8.55</v>
      </c>
      <c r="M36" s="111" t="str">
        <f>Montagem!L76</f>
        <v>Pulley frente</v>
      </c>
      <c r="N36" s="111" t="str">
        <f>Montagem!X76</f>
        <v/>
      </c>
      <c r="O36" s="106">
        <f>IF(N36="",L36,N36)</f>
        <v>8.55</v>
      </c>
      <c r="P36" s="106">
        <f>IF(L37="C",'Dados de Base'!$D$5*0.1,IF(L37="E",5,IF(J36="",O36,J36)))</f>
        <v>8</v>
      </c>
      <c r="Q36" s="108"/>
      <c r="R36" s="102" t="str">
        <f>IF(AD36="","",HYPERLINK(OFFSET(Biblioteca!$B$2,MATCH(AD36,Biblioteca!$A$3:$A$200,0),0),AD36))</f>
        <v>Cadeira Abdutora</v>
      </c>
      <c r="U36" s="109" t="str">
        <f>Montagem!AF76</f>
        <v>Bi-SET</v>
      </c>
      <c r="V36" s="110">
        <f>Montagem!AG76</f>
        <v>3</v>
      </c>
      <c r="W36" s="110">
        <f>Montagem!AH76</f>
        <v>12</v>
      </c>
      <c r="X36" s="110">
        <f>Montagem!AI76</f>
        <v>60</v>
      </c>
      <c r="Y36" s="110">
        <f>Montagem!AJ76</f>
        <v>1</v>
      </c>
      <c r="Z36" s="110">
        <f>Montagem!AK76</f>
        <v>2</v>
      </c>
      <c r="AA36" s="113">
        <v>4.0</v>
      </c>
      <c r="AB36" s="111">
        <f>Montagem!Z76</f>
        <v>4</v>
      </c>
      <c r="AC36" s="111">
        <f>Montagem!AL76</f>
        <v>4.535147392</v>
      </c>
      <c r="AD36" s="129" t="str">
        <f>Montagem!AA76</f>
        <v>Cadeira Abdutora</v>
      </c>
      <c r="AE36" s="111" t="str">
        <f>Montagem!AM76</f>
        <v/>
      </c>
      <c r="AF36" s="106">
        <f>IF(AE36="",AC36,AE36)</f>
        <v>4.535147392</v>
      </c>
      <c r="AG36" s="106">
        <f>IF(AC37="C",'Dados de Base'!$D$5*0.1,IF(AC37="E",5,IF(AA36="",AF36,AA36)))</f>
        <v>4</v>
      </c>
      <c r="AH36" s="108"/>
      <c r="AI36" s="115" t="str">
        <f>IF(AU36="","",HYPERLINK(OFFSET(Biblioteca!$B$2,MATCH(AU36,Biblioteca!$A$3:$A$200,0),0),AU36))</f>
        <v/>
      </c>
      <c r="AL36" s="109" t="str">
        <f>Montagem!AU76</f>
        <v/>
      </c>
      <c r="AM36" s="110" t="str">
        <f>Montagem!AV76</f>
        <v/>
      </c>
      <c r="AN36" s="110" t="str">
        <f>Montagem!AW76</f>
        <v/>
      </c>
      <c r="AO36" s="110" t="str">
        <f>Montagem!AX76</f>
        <v/>
      </c>
      <c r="AP36" s="110" t="str">
        <f>Montagem!AY76</f>
        <v/>
      </c>
      <c r="AQ36" s="110" t="str">
        <f>Montagem!AZ76</f>
        <v/>
      </c>
      <c r="AR36" s="114"/>
      <c r="AS36" s="111">
        <f>Montagem!AO76</f>
        <v>1</v>
      </c>
      <c r="AT36" s="111" t="str">
        <f>Montagem!BA76</f>
        <v/>
      </c>
      <c r="AU36" s="111" t="str">
        <f>Montagem!AP76</f>
        <v/>
      </c>
      <c r="AV36" s="111" t="str">
        <f>Montagem!BB76</f>
        <v/>
      </c>
      <c r="AW36" s="106" t="str">
        <f>IF(AV36="",AT36,AV36)</f>
        <v/>
      </c>
      <c r="AX36" s="106" t="str">
        <f>IF(AT37="C",'Dados de Base'!$D$5*0.1,IF(AT37="E",5,IF(AR36="",AW36,AR36)))</f>
        <v/>
      </c>
      <c r="AY36" s="108"/>
      <c r="AZ36" s="102" t="str">
        <f>IF(BL36="","",HYPERLINK(OFFSET(Biblioteca!$B$2,MATCH(BL36,Biblioteca!$A$3:$A$200,0),0),BL36))</f>
        <v>Desenvolvimento Deltoide</v>
      </c>
      <c r="BC36" s="109" t="str">
        <f>Montagem!BJ76</f>
        <v>Bi-SET</v>
      </c>
      <c r="BD36" s="110">
        <f>Montagem!BK76</f>
        <v>3</v>
      </c>
      <c r="BE36" s="110">
        <f>Montagem!BL76</f>
        <v>12</v>
      </c>
      <c r="BF36" s="110">
        <f>Montagem!BM76</f>
        <v>60</v>
      </c>
      <c r="BG36" s="110">
        <f>Montagem!BN76</f>
        <v>1</v>
      </c>
      <c r="BH36" s="110">
        <f>Montagem!BO76</f>
        <v>2</v>
      </c>
      <c r="BI36" s="113">
        <v>18.0</v>
      </c>
      <c r="BJ36" s="111">
        <f>Montagem!BD76</f>
        <v>3</v>
      </c>
      <c r="BK36" s="111">
        <f>Montagem!BP76</f>
        <v>18.14058957</v>
      </c>
      <c r="BL36" s="111" t="str">
        <f>Montagem!BE76</f>
        <v>Desenvolvimento Deltoide</v>
      </c>
      <c r="BM36" s="111" t="str">
        <f>Montagem!BQ76</f>
        <v/>
      </c>
      <c r="BN36" s="106">
        <f>IF(BM36="",BK36,BM36)</f>
        <v>18.14058957</v>
      </c>
      <c r="BO36" s="106">
        <f>IF(BK37="C",'Dados de Base'!$D$5*0.1,IF(BK37="E",5,IF(BI36="",BN36,BI36)))</f>
        <v>18</v>
      </c>
      <c r="BP36" s="108"/>
      <c r="BQ36" s="102" t="str">
        <f>IF(CC36="","",HYPERLINK(OFFSET(Biblioteca!$B$2,MATCH(CC36,Biblioteca!$A$3:$A$200,0),0),CC36))</f>
        <v>Flexão Nórdica Reversa</v>
      </c>
      <c r="BT36" s="109" t="str">
        <f>Montagem!BY76</f>
        <v>Bi-SET</v>
      </c>
      <c r="BU36" s="110">
        <f>Montagem!BZ76</f>
        <v>3</v>
      </c>
      <c r="BV36" s="110">
        <f>Montagem!CA76</f>
        <v>8</v>
      </c>
      <c r="BW36" s="110" t="str">
        <f>Montagem!CB76</f>
        <v/>
      </c>
      <c r="BX36" s="110">
        <f>Montagem!CC76</f>
        <v>1</v>
      </c>
      <c r="BY36" s="110">
        <f>Montagem!CD76</f>
        <v>2</v>
      </c>
      <c r="BZ36" s="113">
        <v>10.0</v>
      </c>
      <c r="CA36" s="111">
        <f>Montagem!BS76</f>
        <v>4</v>
      </c>
      <c r="CB36" s="111">
        <f>Montagem!CE76</f>
        <v>0</v>
      </c>
      <c r="CC36" s="111" t="str">
        <f>Montagem!BT76</f>
        <v>Flexão Nórdica Reversa</v>
      </c>
      <c r="CD36" s="111" t="str">
        <f>Montagem!CF76</f>
        <v/>
      </c>
      <c r="CE36" s="106">
        <f>IF(CD36="",CB36,CD36)</f>
        <v>0</v>
      </c>
      <c r="CF36" s="106">
        <f>IF(CB37="C",'Dados de Base'!$D$5*0.1,IF(CB37="E",5,IF(BZ36="",CE36,BZ36)))</f>
        <v>6.3</v>
      </c>
      <c r="CG36" s="108"/>
      <c r="CH36" s="115" t="str">
        <f>IF(CT36="","",HYPERLINK(OFFSET(Biblioteca!$B$2,MATCH(CT36,Biblioteca!$A$3:$A$200,0),0),CT36))</f>
        <v/>
      </c>
      <c r="CK36" s="109" t="str">
        <f>Montagem!CN76</f>
        <v/>
      </c>
      <c r="CL36" s="110" t="str">
        <f>Montagem!CO76</f>
        <v/>
      </c>
      <c r="CM36" s="110" t="str">
        <f>Montagem!CP76</f>
        <v/>
      </c>
      <c r="CN36" s="110" t="str">
        <f>Montagem!CQ76</f>
        <v/>
      </c>
      <c r="CO36" s="110" t="str">
        <f>Montagem!CR76</f>
        <v/>
      </c>
      <c r="CP36" s="110" t="str">
        <f>Montagem!CS76</f>
        <v/>
      </c>
      <c r="CQ36" s="114"/>
      <c r="CR36" s="111">
        <f>Montagem!CH76</f>
        <v>1</v>
      </c>
      <c r="CS36" s="111" t="str">
        <f>Montagem!CT76</f>
        <v/>
      </c>
      <c r="CT36" s="111" t="str">
        <f>Montagem!CI76</f>
        <v/>
      </c>
      <c r="CU36" s="111" t="str">
        <f>Montagem!CU76</f>
        <v/>
      </c>
      <c r="CV36" s="106" t="str">
        <f>IF(CU36="",CS36,CU36)</f>
        <v/>
      </c>
      <c r="CW36" s="106" t="str">
        <f>IF(CS37="C",'Dados de Base'!$D$5*0.1,IF(CS37="E",5,IF(CQ36="",CV36,CQ36)))</f>
        <v/>
      </c>
      <c r="CX36" s="108"/>
      <c r="CY36" s="115" t="str">
        <f>IF(DK36="","",HYPERLINK(OFFSET(Biblioteca!$B$2,MATCH(DK36,Biblioteca!$A$3:$A$200,0),0),DK36))</f>
        <v/>
      </c>
      <c r="DB36" s="130" t="str">
        <f>Montagem!DC76</f>
        <v/>
      </c>
      <c r="DC36" s="131" t="str">
        <f>Montagem!DD76</f>
        <v/>
      </c>
      <c r="DD36" s="131" t="str">
        <f>Montagem!DE76</f>
        <v/>
      </c>
      <c r="DE36" s="131" t="str">
        <f>Montagem!DF76</f>
        <v/>
      </c>
      <c r="DF36" s="131" t="str">
        <f>Montagem!DG76</f>
        <v/>
      </c>
      <c r="DG36" s="131" t="str">
        <f>Montagem!DH76</f>
        <v/>
      </c>
      <c r="DH36" s="114"/>
      <c r="DI36" s="111">
        <f>Montagem!CW76</f>
        <v>1</v>
      </c>
      <c r="DJ36" s="111" t="str">
        <f>Montagem!DI76</f>
        <v/>
      </c>
      <c r="DK36" s="111" t="str">
        <f>Montagem!CX76</f>
        <v/>
      </c>
      <c r="DL36" s="111" t="str">
        <f>Montagem!DJ76</f>
        <v/>
      </c>
      <c r="DM36" s="106" t="str">
        <f>IF(DL36="",DJ36,DL36)</f>
        <v/>
      </c>
      <c r="DN36" s="106" t="str">
        <f>IF(DJ37="C",'Dados de Base'!$D$5*0.1,IF(DJ37="E",5,IF(DH36="",DM36,DH36)))</f>
        <v/>
      </c>
      <c r="DO36" s="108"/>
      <c r="DP36" s="106"/>
      <c r="DQ36" s="106"/>
      <c r="DR36" s="106"/>
      <c r="DS36" s="106"/>
      <c r="DT36" s="106"/>
      <c r="DU36" s="106"/>
      <c r="DV36" s="106"/>
      <c r="DW36" s="106"/>
      <c r="DX36" s="106"/>
      <c r="DY36" s="106"/>
    </row>
    <row r="37">
      <c r="A37" s="117" t="str">
        <f>IF(A36="","",IFS(L37="A",Montagem!$C$80,N37="T","Realizar a maior quantidade de repetições por "&amp;F36&amp;" segundos | ",N37="I",IF(M37="U","Manter a posição por "&amp;F36&amp;" segundos de um lado e trocar para o outro na sequência | ","Manter a posição por "&amp;F36&amp;" segundos | "),M37="A","Realizar alternadamente "&amp;F36&amp;" repetições cada lado | ",M37="U","Realizar "&amp;F36&amp;" repetições de um lado e trocar para o outro na sequência | ",L37="P",OFFSET(Biblioteca!$H$2,MATCH(M36,Biblioteca!$A$3:$A$200,0),0),TRUE,"")&amp;IF(N37="R","Ajuste a carga para que tenha "&amp;$K$2&amp;" repetições de reserva",""))</f>
        <v>Ajuste a carga para que tenha 0 a 2 repetições de reserva</v>
      </c>
      <c r="E37" s="118" t="str">
        <f>IF(A36="","",IFS(L37="H","Carga Sugerida: "&amp;ROUNDUP(O36/2,0)&amp;" kg de cada lado (Total: "&amp;ROUNDUP(O36/2,0)*2&amp;" kg)",L37="C","Este exercício usa o Peso Corporal como carga",L37="E","Este exercício usa a resistência da banda elástica como carga",L37="O","Carga Sugerida: "&amp;INT(O36)&amp;" kg",TRUE,""))</f>
        <v>Carga Sugerida: 8 kg</v>
      </c>
      <c r="J37" s="66"/>
      <c r="K37" s="106">
        <f>K36</f>
        <v>4</v>
      </c>
      <c r="L37" s="120" t="str">
        <f>LEFT(O37)</f>
        <v>O</v>
      </c>
      <c r="M37" s="121" t="str">
        <f>MID(O37,2,1)</f>
        <v>O</v>
      </c>
      <c r="N37" s="122" t="str">
        <f>RIGHT(O37)</f>
        <v>R</v>
      </c>
      <c r="O37" s="123" t="str">
        <f>IF(M36="","",OFFSET(Biblioteca!$I$2,MATCH(M36,Biblioteca!$A$3:$A$200,0),0))</f>
        <v>OOR</v>
      </c>
      <c r="P37" s="124"/>
      <c r="Q37" s="125"/>
      <c r="R37" s="117" t="str">
        <f>IF(R36="","",IFS(AC37="A",Montagem!$D$80,AE37="T","Realizar a maior quantidade de repetições por "&amp;W36&amp;" segundos | ",AE37="I",IF(AD37="U","Manter a posição por "&amp;W36&amp;" segundos de um lado e trocar para o outro na sequência | ","Manter a posição por "&amp;W36&amp;" segundos | "),AD37="A","Realizar alternadamente "&amp;W36&amp;" repetições cada lado | ",AD37="U","Realizar "&amp;W36&amp;" repetições de um lado e trocar para o outro na sequência | ",AC37="P",OFFSET(Biblioteca!$H$2,MATCH(AD36,Biblioteca!$A$3:$A$200,0),0),TRUE,"")&amp;IF(AE37="R","Ajuste a carga para que tenha "&amp;$K$2&amp;" repetições de reserva",""))</f>
        <v>Ajuste a carga para que tenha 0 a 2 repetições de reserva</v>
      </c>
      <c r="V37" s="118" t="str">
        <f>IF(R36="","",IFS(AC37="H","Carga Sugerida: "&amp;ROUNDUP(AF36/2,0)&amp;" kg de cada lado (Total: "&amp;ROUNDUP(AF36/2,0)*2&amp;" kg)",AC37="C","Este exercício usa o Peso Corporal como carga",AC37="E","Este exercício usa a resistência da banda elástica como carga",AC37="O","Carga Sugerida: "&amp;INT(AF36)&amp;" kg",TRUE,""))</f>
        <v>Carga Sugerida: 4 kg</v>
      </c>
      <c r="AA37" s="66"/>
      <c r="AB37" s="126">
        <f>AB36</f>
        <v>4</v>
      </c>
      <c r="AC37" s="120" t="str">
        <f>LEFT(AF37)</f>
        <v>O</v>
      </c>
      <c r="AD37" s="121" t="str">
        <f>MID(AF37,2,1)</f>
        <v>O</v>
      </c>
      <c r="AE37" s="122" t="str">
        <f>RIGHT(AF37)</f>
        <v>R</v>
      </c>
      <c r="AF37" s="123" t="str">
        <f>IF(AD36="","",OFFSET(Biblioteca!$I$2,MATCH(AD36,Biblioteca!$A$3:$A$200,0),0))</f>
        <v>OOR</v>
      </c>
      <c r="AG37" s="124"/>
      <c r="AH37" s="125"/>
      <c r="AI37" s="117" t="str">
        <f>IF(AI36="","",IFS(AT37="A",Montagem!$E$80,AV37="T","Realizar a maior quantidade de repetições por "&amp;AN36&amp;" segundos | ",AV37="I",IF(AU37="U","Manter a posição por "&amp;AN36&amp;" segundos de um lado e trocar para o outro na sequência | ","Manter a posição por "&amp;AN36&amp;" segundos | "),AU37="A","Realizar alternadamente "&amp;AN36&amp;" repetições cada lado | ",AU37="U","Realizar "&amp;AN36&amp;" repetições de um lado e trocar para o outro na sequência | ",AT37="P",OFFSET(Biblioteca!$H$2,MATCH(AU36,Biblioteca!$A$3:$A$200,0),0),TRUE,"")&amp;IF(AV37="R","Ajuste a carga para que tenha "&amp;$K$2&amp;" repetições de reserva",""))</f>
        <v/>
      </c>
      <c r="AM37" s="118" t="str">
        <f>IF(AI36="","",IFS(AT37="H","Carga Sugerida: "&amp;ROUNDUP(AW36/2,0)&amp;" kg de cada lado (Total: "&amp;ROUNDUP(AW36/2,0)*2&amp;" kg)",AT37="C","Este exercício usa o Peso Corporal como carga",AT37="E","Este exercício usa a resistência da banda elástica como carga",AT37="O","Carga Sugerida: "&amp;INT(AW36)&amp;" kg",TRUE,""))</f>
        <v/>
      </c>
      <c r="AR37" s="66"/>
      <c r="AS37" s="126">
        <f>AS36</f>
        <v>1</v>
      </c>
      <c r="AT37" s="120" t="str">
        <f>LEFT(AW37)</f>
        <v/>
      </c>
      <c r="AU37" s="121" t="str">
        <f>MID(AW37,2,1)</f>
        <v/>
      </c>
      <c r="AV37" s="122" t="str">
        <f>RIGHT(AW37)</f>
        <v/>
      </c>
      <c r="AW37" s="123" t="str">
        <f>IF(AU36="","",OFFSET(Biblioteca!$I$2,MATCH(AU36,Biblioteca!$A$3:$A$200,0),0))</f>
        <v/>
      </c>
      <c r="AX37" s="124"/>
      <c r="AY37" s="125"/>
      <c r="AZ37" s="117" t="str">
        <f>IF(AZ36="","",IFS(BK37="A",Montagem!$F$80,BM37="T","Realizar a maior quantidade de repetições por "&amp;BE36&amp;" segundos | ",BM37="I",IF(BL37="U","Manter a posição por "&amp;BE36&amp;" segundos de um lado e trocar para o outro na sequência | ","Manter a posição por "&amp;BE36&amp;" segundos | "),BL37="A","Realizar alternadamente "&amp;BE36&amp;" repetições cada lado | ",BL37="U","Realizar "&amp;BE36&amp;" repetições de um lado e trocar para o outro na sequência | ",BK37="P",OFFSET(Biblioteca!$H$2,MATCH(BL36,Biblioteca!$A$3:$A$200,0),0),TRUE,"")&amp;IF(BM37="R","Ajuste a carga para que tenha "&amp;$K$2&amp;" repetições de reserva",""))</f>
        <v>Ajuste a carga para que tenha 0 a 2 repetições de reserva</v>
      </c>
      <c r="BD37" s="118" t="str">
        <f>IF(AZ36="","",IFS(BK37="H","Carga Sugerida: "&amp;ROUNDUP(BN36/2,0)&amp;" kg de cada lado (Total: "&amp;ROUNDUP(BN36/2,0)*2&amp;" kg)",BK37="C","Este exercício usa o Peso Corporal como carga",BK37="E","Este exercício usa a resistência da banda elástica como carga",BK37="O","Carga Sugerida: "&amp;INT(BN36)&amp;" kg",TRUE,""))</f>
        <v>Carga Sugerida: 18 kg</v>
      </c>
      <c r="BI37" s="66"/>
      <c r="BJ37" s="126">
        <f>BJ36</f>
        <v>3</v>
      </c>
      <c r="BK37" s="120" t="str">
        <f>LEFT(BN37)</f>
        <v>O</v>
      </c>
      <c r="BL37" s="121" t="str">
        <f>MID(BN37,2,1)</f>
        <v>O</v>
      </c>
      <c r="BM37" s="122" t="str">
        <f>RIGHT(BN37)</f>
        <v>R</v>
      </c>
      <c r="BN37" s="123" t="str">
        <f>IF(BL36="","",OFFSET(Biblioteca!$I$2,MATCH(BL36,Biblioteca!$A$3:$A$200,0),0))</f>
        <v>OOR</v>
      </c>
      <c r="BO37" s="124"/>
      <c r="BP37" s="125"/>
      <c r="BQ37" s="117" t="str">
        <f>IF(BQ36="","",IFS(CB37="A",Montagem!$G$80,CD37="T","Realizar a maior quantidade de repetições por "&amp;BV36&amp;" segundos | ",CD37="I",IF(CC37="U","Manter a posição por "&amp;BV36&amp;" segundos de um lado e trocar para o outro na sequência | ","Manter a posição por "&amp;BV36&amp;" segundos | "),CC37="A","Realizar alternadamente "&amp;BV36&amp;" repetições cada lado | ",CC37="U","Realizar "&amp;BV36&amp;" repetições de um lado e trocar para o outro na sequência | ",CB37="P",OFFSET(Biblioteca!$H$2,MATCH(CC36,Biblioteca!$A$3:$A$200,0),0),TRUE,"")&amp;IF(CD37="R","Ajuste a carga para que tenha "&amp;$K$2&amp;" repetições de reserva",""))</f>
        <v>Ajuste a carga para que tenha 0 a 2 repetições de reserva</v>
      </c>
      <c r="BU37" s="118" t="str">
        <f>IF(BQ36="","",IFS(CB37="H","Carga Sugerida: "&amp;ROUNDUP(CE36/2,0)&amp;" kg de cada lado (Total: "&amp;ROUNDUP(CE36/2,0)*2&amp;" kg)",CB37="C","Este exercício usa o Peso Corporal como carga",CB37="E","Este exercício usa a resistência da banda elástica como carga",CB37="O","Carga Sugerida: "&amp;INT(CE36)&amp;" kg",TRUE,""))</f>
        <v>Este exercício usa o Peso Corporal como carga</v>
      </c>
      <c r="BZ37" s="66"/>
      <c r="CA37" s="126">
        <f>CA36</f>
        <v>4</v>
      </c>
      <c r="CB37" s="120" t="str">
        <f>LEFT(CE37)</f>
        <v>C</v>
      </c>
      <c r="CC37" s="121" t="str">
        <f>MID(CE37,2,1)</f>
        <v>O</v>
      </c>
      <c r="CD37" s="122" t="str">
        <f>RIGHT(CE37)</f>
        <v>R</v>
      </c>
      <c r="CE37" s="123" t="str">
        <f>IF(CC36="","",OFFSET(Biblioteca!$I$2,MATCH(CC36,Biblioteca!$A$3:$A$200,0),0))</f>
        <v>COR</v>
      </c>
      <c r="CF37" s="124"/>
      <c r="CG37" s="125"/>
      <c r="CH37" s="117" t="str">
        <f>IF(CH36="","",IFS(CS37="A",Montagem!$H$80,CU37="T","Realizar a maior quantidade de repetições por "&amp;CM36&amp;" segundos | ",CU37="I",IF(CT37="U","Manter a posição por "&amp;CM36&amp;" segundos de um lado e trocar para o outro na sequência | ","Manter a posição por "&amp;CM36&amp;" segundos | "),CT37="A","Realizar alternadamente "&amp;CM36&amp;" repetições cada lado | ",CT37="U","Realizar "&amp;CM36&amp;" repetições de um lado e trocar para o outro na sequência | ",CS37="P",OFFSET(Biblioteca!$H$2,MATCH(CT36,Biblioteca!$A$3:$A$200,0),0),TRUE,"")&amp;IF(CU37="R","Ajuste a carga para que tenha "&amp;$K$2&amp;" repetições de reserva",""))</f>
        <v/>
      </c>
      <c r="CL37" s="118" t="str">
        <f>IF(CH36="","",IFS(CS37="H","Carga Sugerida: "&amp;ROUNDUP(CV36/2,0)&amp;" kg de cada lado (Total: "&amp;ROUNDUP(CV36/2,0)*2&amp;" kg)",CS37="C","Este exercício usa o Peso Corporal como carga",CS37="E","Este exercício usa a resistência da banda elástica como carga",CS37="O","Carga Sugerida: "&amp;INT(CV36)&amp;" kg",TRUE,""))</f>
        <v/>
      </c>
      <c r="CQ37" s="66"/>
      <c r="CR37" s="126">
        <f>CR36</f>
        <v>1</v>
      </c>
      <c r="CS37" s="120" t="str">
        <f>LEFT(CV37)</f>
        <v/>
      </c>
      <c r="CT37" s="121" t="str">
        <f>MID(CV37,2,1)</f>
        <v/>
      </c>
      <c r="CU37" s="122" t="str">
        <f>RIGHT(CV37)</f>
        <v/>
      </c>
      <c r="CV37" s="123" t="str">
        <f>IF(CT36="","",OFFSET(Biblioteca!$I$2,MATCH(CT36,Biblioteca!$A$3:$A$200,0),0))</f>
        <v/>
      </c>
      <c r="CW37" s="124"/>
      <c r="CX37" s="125"/>
      <c r="CY37" s="117" t="str">
        <f>IF(CY36="","",IFS(DJ37="A",Montagem!$I$80,DL37="T","Realizar a maior quantidade de repetições por "&amp;DD36&amp;" segundos | ",DL37="I",IF(DK37="U","Manter a posição por "&amp;DD36&amp;" segundos de um lado e trocar para o outro na sequência | ","Manter a posição por "&amp;DD36&amp;" segundos | "),DK37="A","Realizar alternadamente "&amp;DD36&amp;" repetições cada lado | ",DK37="U","Realizar "&amp;DD36&amp;" repetições de um lado e trocar para o outro na sequência | ",DJ37="P",OFFSET(Biblioteca!$H$2,MATCH(DK36,Biblioteca!$A$3:$A$200,0),0),TRUE,"")&amp;IF(DL37="R","Ajuste a carga para que tenha "&amp;$K$2&amp;" repetições de reserva",""))</f>
        <v/>
      </c>
      <c r="DC37" s="118" t="str">
        <f>IF(CY36="","",IFS(DJ37="H","Carga Sugerida: "&amp;ROUNDUP(DM36/2,0)&amp;" kg de cada lado (Total: "&amp;ROUNDUP(DM36/2,0)*2&amp;" kg)",DJ37="C","Este exercício usa o Peso Corporal como carga",DJ37="E","Este exercício usa a resistência da banda elástica como carga",DJ37="O","Carga Sugerida: "&amp;INT(DM36)&amp;" kg",TRUE,""))</f>
        <v/>
      </c>
      <c r="DH37" s="66"/>
      <c r="DI37" s="126">
        <f>DI36</f>
        <v>1</v>
      </c>
      <c r="DJ37" s="120" t="str">
        <f>LEFT(DM37)</f>
        <v/>
      </c>
      <c r="DK37" s="121" t="str">
        <f>MID(DM37,2,1)</f>
        <v/>
      </c>
      <c r="DL37" s="122" t="str">
        <f>RIGHT(DM37)</f>
        <v/>
      </c>
      <c r="DM37" s="123" t="str">
        <f>IF(DK36="","",OFFSET(Biblioteca!$I$2,MATCH(DK36,Biblioteca!$A$3:$A$200,0),0))</f>
        <v/>
      </c>
      <c r="DN37" s="124"/>
      <c r="DO37" s="125"/>
      <c r="DP37" s="57"/>
      <c r="DQ37" s="56"/>
      <c r="DR37" s="56"/>
      <c r="DS37" s="56"/>
      <c r="DT37" s="56"/>
      <c r="DU37" s="56"/>
      <c r="DV37" s="56"/>
      <c r="DW37" s="56"/>
      <c r="DX37" s="56"/>
      <c r="DY37" s="56"/>
    </row>
    <row r="38">
      <c r="A38" s="115" t="str">
        <f>IF(M38="","",HYPERLINK(OFFSET(Biblioteca!$B$2,MATCH(M38,Biblioteca!$A$3:$A$200,0),0),M38))</f>
        <v>Esteira</v>
      </c>
      <c r="D38" s="103" t="str">
        <f>Montagem!Q77</f>
        <v/>
      </c>
      <c r="E38" s="104" t="str">
        <f>Montagem!R77</f>
        <v/>
      </c>
      <c r="F38" s="104" t="str">
        <f>Montagem!S77</f>
        <v/>
      </c>
      <c r="G38" s="104">
        <f>Montagem!T77</f>
        <v>60</v>
      </c>
      <c r="H38" s="104" t="str">
        <f>Montagem!U77</f>
        <v/>
      </c>
      <c r="I38" s="132" t="str">
        <f>Montagem!V77</f>
        <v/>
      </c>
      <c r="J38" s="105">
        <v>10.0</v>
      </c>
      <c r="K38" s="106">
        <f>Montagem!K77</f>
        <v>5</v>
      </c>
      <c r="L38" s="111">
        <f>Montagem!W77</f>
        <v>0</v>
      </c>
      <c r="M38" s="111" t="str">
        <f>Montagem!L77</f>
        <v>Esteira</v>
      </c>
      <c r="N38" s="111" t="str">
        <f>Montagem!X77</f>
        <v/>
      </c>
      <c r="O38" s="106">
        <f>IF(N38="",L38,N38)</f>
        <v>0</v>
      </c>
      <c r="P38" s="106">
        <f>IF(L39="C",'Dados de Base'!$D$5*0.1,IF(L39="E",5,IF(J38="",O38,J38)))</f>
        <v>10</v>
      </c>
      <c r="Q38" s="108"/>
      <c r="R38" s="115" t="str">
        <f>IF(AD38="","",HYPERLINK(OFFSET(Biblioteca!$B$2,MATCH(AD38,Biblioteca!$A$3:$A$200,0),0),AD38))</f>
        <v>Bicicleta</v>
      </c>
      <c r="U38" s="109" t="str">
        <f>Montagem!AF77</f>
        <v/>
      </c>
      <c r="V38" s="110" t="str">
        <f>Montagem!AG77</f>
        <v/>
      </c>
      <c r="W38" s="110" t="str">
        <f>Montagem!AH77</f>
        <v/>
      </c>
      <c r="X38" s="110">
        <f>Montagem!AI77</f>
        <v>60</v>
      </c>
      <c r="Y38" s="110" t="str">
        <f>Montagem!AJ77</f>
        <v/>
      </c>
      <c r="Z38" s="110" t="str">
        <f>Montagem!AK77</f>
        <v/>
      </c>
      <c r="AA38" s="113">
        <v>10.0</v>
      </c>
      <c r="AB38" s="111">
        <f>Montagem!Z77</f>
        <v>5</v>
      </c>
      <c r="AC38" s="111">
        <f>Montagem!AL77</f>
        <v>0</v>
      </c>
      <c r="AD38" s="129" t="str">
        <f>Montagem!AA77</f>
        <v>Bicicleta</v>
      </c>
      <c r="AE38" s="111" t="str">
        <f>Montagem!AM77</f>
        <v/>
      </c>
      <c r="AF38" s="106">
        <f>IF(AE38="",AC38,AE38)</f>
        <v>0</v>
      </c>
      <c r="AG38" s="106">
        <f>IF(AC39="C",'Dados de Base'!$D$5*0.1,IF(AC39="E",5,IF(AA38="",AF38,AA38)))</f>
        <v>10</v>
      </c>
      <c r="AH38" s="108"/>
      <c r="AI38" s="115" t="str">
        <f>IF(AU38="","",HYPERLINK(OFFSET(Biblioteca!$B$2,MATCH(AU38,Biblioteca!$A$3:$A$200,0),0),AU38))</f>
        <v/>
      </c>
      <c r="AL38" s="109" t="str">
        <f>Montagem!AU77</f>
        <v/>
      </c>
      <c r="AM38" s="110" t="str">
        <f>Montagem!AV77</f>
        <v/>
      </c>
      <c r="AN38" s="110" t="str">
        <f>Montagem!AW77</f>
        <v/>
      </c>
      <c r="AO38" s="110" t="str">
        <f>Montagem!AX77</f>
        <v/>
      </c>
      <c r="AP38" s="110" t="str">
        <f>Montagem!AY77</f>
        <v/>
      </c>
      <c r="AQ38" s="110" t="str">
        <f>Montagem!AZ77</f>
        <v/>
      </c>
      <c r="AR38" s="114"/>
      <c r="AS38" s="111">
        <f>Montagem!AO77</f>
        <v>1</v>
      </c>
      <c r="AT38" s="111" t="str">
        <f>Montagem!BA77</f>
        <v/>
      </c>
      <c r="AU38" s="111" t="str">
        <f>Montagem!AP77</f>
        <v/>
      </c>
      <c r="AV38" s="111" t="str">
        <f>Montagem!BB77</f>
        <v/>
      </c>
      <c r="AW38" s="106" t="str">
        <f>IF(AV38="",AT38,AV38)</f>
        <v/>
      </c>
      <c r="AX38" s="106" t="str">
        <f>IF(AT39="C",'Dados de Base'!$D$5*0.1,IF(AT39="E",5,IF(AR38="",AW38,AR38)))</f>
        <v/>
      </c>
      <c r="AY38" s="108"/>
      <c r="AZ38" s="102" t="str">
        <f>IF(BL38="","",HYPERLINK(OFFSET(Biblioteca!$B$2,MATCH(BL38,Biblioteca!$A$3:$A$200,0),0),BL38))</f>
        <v>Triceps Coice na Polia</v>
      </c>
      <c r="BC38" s="109" t="str">
        <f>Montagem!BJ77</f>
        <v>Bi-SET</v>
      </c>
      <c r="BD38" s="110">
        <f>Montagem!BK77</f>
        <v>3</v>
      </c>
      <c r="BE38" s="110">
        <f>Montagem!BL77</f>
        <v>12</v>
      </c>
      <c r="BF38" s="110" t="str">
        <f>Montagem!BM77</f>
        <v/>
      </c>
      <c r="BG38" s="110">
        <f>Montagem!BN77</f>
        <v>1</v>
      </c>
      <c r="BH38" s="110">
        <f>Montagem!BO77</f>
        <v>2</v>
      </c>
      <c r="BI38" s="113">
        <v>2.0</v>
      </c>
      <c r="BJ38" s="111">
        <f>Montagem!BD77</f>
        <v>4</v>
      </c>
      <c r="BK38" s="111">
        <f>Montagem!BP77</f>
        <v>2</v>
      </c>
      <c r="BL38" s="111" t="str">
        <f>Montagem!BE77</f>
        <v>Triceps Coice na Polia</v>
      </c>
      <c r="BM38" s="111" t="str">
        <f>Montagem!BQ77</f>
        <v/>
      </c>
      <c r="BN38" s="106">
        <f>IF(BM38="",BK38,BM38)</f>
        <v>2</v>
      </c>
      <c r="BO38" s="106">
        <f>IF(BK39="C",'Dados de Base'!$D$5*0.1,IF(BK39="E",5,IF(BI38="",BN38,BI38)))</f>
        <v>2</v>
      </c>
      <c r="BP38" s="108"/>
      <c r="BQ38" s="102" t="str">
        <f>IF(CC38="","",HYPERLINK(OFFSET(Biblioteca!$B$2,MATCH(CC38,Biblioteca!$A$3:$A$200,0),0),CC38))</f>
        <v>Cadeira Flexora</v>
      </c>
      <c r="BT38" s="109" t="str">
        <f>Montagem!BY77</f>
        <v>Bi-SET</v>
      </c>
      <c r="BU38" s="110">
        <f>Montagem!BZ77</f>
        <v>3</v>
      </c>
      <c r="BV38" s="110">
        <f>Montagem!CA77</f>
        <v>12</v>
      </c>
      <c r="BW38" s="110">
        <f>Montagem!CB77</f>
        <v>60</v>
      </c>
      <c r="BX38" s="110">
        <f>Montagem!CC77</f>
        <v>1</v>
      </c>
      <c r="BY38" s="110">
        <f>Montagem!CD77</f>
        <v>2</v>
      </c>
      <c r="BZ38" s="113">
        <v>14.0</v>
      </c>
      <c r="CA38" s="111">
        <f>Montagem!BS77</f>
        <v>4</v>
      </c>
      <c r="CB38" s="111">
        <f>Montagem!CE77</f>
        <v>14</v>
      </c>
      <c r="CC38" s="111" t="str">
        <f>Montagem!BT77</f>
        <v>Cadeira Flexora</v>
      </c>
      <c r="CD38" s="111" t="str">
        <f>Montagem!CF77</f>
        <v/>
      </c>
      <c r="CE38" s="106">
        <f>IF(CD38="",CB38,CD38)</f>
        <v>14</v>
      </c>
      <c r="CF38" s="106">
        <f>IF(CB39="C",'Dados de Base'!$D$5*0.1,IF(CB39="E",5,IF(BZ38="",CE38,BZ38)))</f>
        <v>14</v>
      </c>
      <c r="CG38" s="108"/>
      <c r="CH38" s="115" t="str">
        <f>IF(CT38="","",HYPERLINK(OFFSET(Biblioteca!$B$2,MATCH(CT38,Biblioteca!$A$3:$A$200,0),0),CT38))</f>
        <v/>
      </c>
      <c r="CK38" s="109" t="str">
        <f>Montagem!CN77</f>
        <v/>
      </c>
      <c r="CL38" s="110" t="str">
        <f>Montagem!CO77</f>
        <v/>
      </c>
      <c r="CM38" s="110" t="str">
        <f>Montagem!CP77</f>
        <v/>
      </c>
      <c r="CN38" s="110" t="str">
        <f>Montagem!CQ77</f>
        <v/>
      </c>
      <c r="CO38" s="110" t="str">
        <f>Montagem!CR77</f>
        <v/>
      </c>
      <c r="CP38" s="110" t="str">
        <f>Montagem!CS77</f>
        <v/>
      </c>
      <c r="CQ38" s="114"/>
      <c r="CR38" s="111">
        <f>Montagem!CH77</f>
        <v>1</v>
      </c>
      <c r="CS38" s="111" t="str">
        <f>Montagem!CT77</f>
        <v/>
      </c>
      <c r="CT38" s="111" t="str">
        <f>Montagem!CI77</f>
        <v/>
      </c>
      <c r="CU38" s="111" t="str">
        <f>Montagem!CU77</f>
        <v/>
      </c>
      <c r="CV38" s="106" t="str">
        <f>IF(CU38="",CS38,CU38)</f>
        <v/>
      </c>
      <c r="CW38" s="106" t="str">
        <f>IF(CS39="C",'Dados de Base'!$D$5*0.1,IF(CS39="E",5,IF(CQ38="",CV38,CQ38)))</f>
        <v/>
      </c>
      <c r="CX38" s="108"/>
      <c r="CY38" s="115" t="str">
        <f>IF(DK38="","",HYPERLINK(OFFSET(Biblioteca!$B$2,MATCH(DK38,Biblioteca!$A$3:$A$200,0),0),DK38))</f>
        <v/>
      </c>
      <c r="DB38" s="130" t="str">
        <f>Montagem!DC77</f>
        <v/>
      </c>
      <c r="DC38" s="131" t="str">
        <f>Montagem!DD77</f>
        <v/>
      </c>
      <c r="DD38" s="131" t="str">
        <f>Montagem!DE77</f>
        <v/>
      </c>
      <c r="DE38" s="131" t="str">
        <f>Montagem!DF77</f>
        <v/>
      </c>
      <c r="DF38" s="131" t="str">
        <f>Montagem!DG77</f>
        <v/>
      </c>
      <c r="DG38" s="131" t="str">
        <f>Montagem!DH77</f>
        <v/>
      </c>
      <c r="DH38" s="114"/>
      <c r="DI38" s="111">
        <f>Montagem!CW77</f>
        <v>1</v>
      </c>
      <c r="DJ38" s="111" t="str">
        <f>Montagem!DI77</f>
        <v/>
      </c>
      <c r="DK38" s="111" t="str">
        <f>Montagem!CX77</f>
        <v/>
      </c>
      <c r="DL38" s="111" t="str">
        <f>Montagem!DJ77</f>
        <v/>
      </c>
      <c r="DM38" s="106" t="str">
        <f>IF(DL38="",DJ38,DL38)</f>
        <v/>
      </c>
      <c r="DN38" s="106" t="str">
        <f>IF(DJ39="C",'Dados de Base'!$D$5*0.1,IF(DJ39="E",5,IF(DH38="",DM38,DH38)))</f>
        <v/>
      </c>
      <c r="DO38" s="108"/>
      <c r="DP38" s="106"/>
      <c r="DQ38" s="106"/>
      <c r="DR38" s="106"/>
      <c r="DS38" s="106"/>
      <c r="DT38" s="106"/>
      <c r="DU38" s="106"/>
      <c r="DV38" s="106"/>
      <c r="DW38" s="106"/>
      <c r="DX38" s="106"/>
      <c r="DY38" s="106"/>
    </row>
    <row r="39">
      <c r="A39" s="117" t="str">
        <f>IF(A38="","",IFS(L39="A",Montagem!$C$80,N39="T","Realizar a maior quantidade de repetições por "&amp;F38&amp;" segundos | ",N39="I",IF(M39="U","Manter a posição por "&amp;F38&amp;" segundos de um lado e trocar para o outro na sequência | ","Manter a posição por "&amp;F38&amp;" segundos | "),M39="A","Realizar alternadamente "&amp;F38&amp;" repetições cada lado | ",M39="U","Realizar "&amp;F38&amp;" repetições de um lado e trocar para o outro na sequência | ",L39="P",OFFSET(Biblioteca!$H$2,MATCH(M38,Biblioteca!$A$3:$A$200,0),0),TRUE,"")&amp;IF(N39="R","Ajuste a carga para que tenha "&amp;$K$2&amp;" repetições de reserva",""))</f>
        <v>1x (3m a 142,95 - 148,3 bpm-&gt; 15,4 - 16,4km/h)</v>
      </c>
      <c r="E39" s="118" t="str">
        <f>IF(A38="","",IFS(L39="H","Carga Sugerida: "&amp;ROUNDUP(O38/2,0)&amp;" kg de cada lado (Total: "&amp;ROUNDUP(O38/2,0)*2&amp;" kg)",L39="C","Este exercício usa o Peso Corporal como carga",L39="E","Este exercício usa a resistência da banda elástica como carga",L39="O","Carga Sugerida: "&amp;INT(O38)&amp;" kg",TRUE,""))</f>
        <v/>
      </c>
      <c r="J39" s="66"/>
      <c r="K39" s="106">
        <f>K38</f>
        <v>5</v>
      </c>
      <c r="L39" s="120" t="str">
        <f>LEFT(O39)</f>
        <v>A</v>
      </c>
      <c r="M39" s="121" t="str">
        <f>MID(O39,2,1)</f>
        <v>-</v>
      </c>
      <c r="N39" s="122" t="str">
        <f>RIGHT(O39)</f>
        <v>-</v>
      </c>
      <c r="O39" s="123" t="str">
        <f>IF(M38="","",OFFSET(Biblioteca!$I$2,MATCH(M38,Biblioteca!$A$3:$A$200,0),0))</f>
        <v>A--</v>
      </c>
      <c r="P39" s="124"/>
      <c r="Q39" s="125"/>
      <c r="R39" s="117" t="str">
        <f>IF(R38="","",IFS(AC39="A",Montagem!$D$80,AE39="T","Realizar a maior quantidade de repetições por "&amp;W38&amp;" segundos | ",AE39="I",IF(AD39="U","Manter a posição por "&amp;W38&amp;" segundos de um lado e trocar para o outro na sequência | ","Manter a posição por "&amp;W38&amp;" segundos | "),AD39="A","Realizar alternadamente "&amp;W38&amp;" repetições cada lado | ",AD39="U","Realizar "&amp;W38&amp;" repetições de um lado e trocar para o outro na sequência | ",AC39="P",OFFSET(Biblioteca!$H$2,MATCH(AD38,Biblioteca!$A$3:$A$200,0),0),TRUE,"")&amp;IF(AE39="R","Ajuste a carga para que tenha "&amp;$K$2&amp;" repetições de reserva",""))</f>
        <v>1x (3m all out)</v>
      </c>
      <c r="V39" s="118" t="str">
        <f>IF(R38="","",IFS(AC39="H","Carga Sugerida: "&amp;ROUNDUP(AF38/2,0)&amp;" kg de cada lado (Total: "&amp;ROUNDUP(AF38/2,0)*2&amp;" kg)",AC39="C","Este exercício usa o Peso Corporal como carga",AC39="E","Este exercício usa a resistência da banda elástica como carga",AC39="O","Carga Sugerida: "&amp;INT(AF38)&amp;" kg",TRUE,""))</f>
        <v/>
      </c>
      <c r="AA39" s="66"/>
      <c r="AB39" s="126">
        <f>AB38</f>
        <v>5</v>
      </c>
      <c r="AC39" s="120" t="str">
        <f>LEFT(AF39)</f>
        <v>A</v>
      </c>
      <c r="AD39" s="121" t="str">
        <f>MID(AF39,2,1)</f>
        <v>-</v>
      </c>
      <c r="AE39" s="122" t="str">
        <f>RIGHT(AF39)</f>
        <v>-</v>
      </c>
      <c r="AF39" s="123" t="str">
        <f>IF(AD38="","",OFFSET(Biblioteca!$I$2,MATCH(AD38,Biblioteca!$A$3:$A$200,0),0))</f>
        <v>A--</v>
      </c>
      <c r="AG39" s="124"/>
      <c r="AH39" s="125"/>
      <c r="AI39" s="117" t="str">
        <f>IF(AI38="","",IFS(AT39="A",Montagem!$E$80,AV39="T","Realizar a maior quantidade de repetições por "&amp;AN38&amp;" segundos | ",AV39="I",IF(AU39="U","Manter a posição por "&amp;AN38&amp;" segundos de um lado e trocar para o outro na sequência | ","Manter a posição por "&amp;AN38&amp;" segundos | "),AU39="A","Realizar alternadamente "&amp;AN38&amp;" repetições cada lado | ",AU39="U","Realizar "&amp;AN38&amp;" repetições de um lado e trocar para o outro na sequência | ",AT39="P",OFFSET(Biblioteca!$H$2,MATCH(AU38,Biblioteca!$A$3:$A$200,0),0),TRUE,"")&amp;IF(AV39="R","Ajuste a carga para que tenha "&amp;$K$2&amp;" repetições de reserva",""))</f>
        <v/>
      </c>
      <c r="AM39" s="118" t="str">
        <f>IF(AI38="","",IFS(AT39="H","Carga Sugerida: "&amp;ROUNDUP(AW38/2,0)&amp;" kg de cada lado (Total: "&amp;ROUNDUP(AW38/2,0)*2&amp;" kg)",AT39="C","Este exercício usa o Peso Corporal como carga",AT39="E","Este exercício usa a resistência da banda elástica como carga",AT39="O","Carga Sugerida: "&amp;INT(AW38)&amp;" kg",TRUE,""))</f>
        <v/>
      </c>
      <c r="AR39" s="66"/>
      <c r="AS39" s="126">
        <f>AS38</f>
        <v>1</v>
      </c>
      <c r="AT39" s="120" t="str">
        <f>LEFT(AW39)</f>
        <v/>
      </c>
      <c r="AU39" s="121" t="str">
        <f>MID(AW39,2,1)</f>
        <v/>
      </c>
      <c r="AV39" s="122" t="str">
        <f>RIGHT(AW39)</f>
        <v/>
      </c>
      <c r="AW39" s="123" t="str">
        <f>IF(AU38="","",OFFSET(Biblioteca!$I$2,MATCH(AU38,Biblioteca!$A$3:$A$200,0),0))</f>
        <v/>
      </c>
      <c r="AX39" s="124"/>
      <c r="AY39" s="125"/>
      <c r="AZ39" s="117" t="str">
        <f>IF(AZ38="","",IFS(BK39="A",Montagem!$F$80,BM39="T","Realizar a maior quantidade de repetições por "&amp;BE38&amp;" segundos | ",BM39="I",IF(BL39="U","Manter a posição por "&amp;BE38&amp;" segundos de um lado e trocar para o outro na sequência | ","Manter a posição por "&amp;BE38&amp;" segundos | "),BL39="A","Realizar alternadamente "&amp;BE38&amp;" repetições cada lado | ",BL39="U","Realizar "&amp;BE38&amp;" repetições de um lado e trocar para o outro na sequência | ",BK39="P",OFFSET(Biblioteca!$H$2,MATCH(BL38,Biblioteca!$A$3:$A$200,0),0),TRUE,"")&amp;IF(BM39="R","Ajuste a carga para que tenha "&amp;$K$2&amp;" repetições de reserva",""))</f>
        <v>Realizar 12 repetições de um lado e trocar para o outro na sequência | Ajuste a carga para que tenha 0 a 2 repetições de reserva</v>
      </c>
      <c r="BD39" s="118" t="str">
        <f>IF(AZ38="","",IFS(BK39="H","Carga Sugerida: "&amp;ROUNDUP(BN38/2,0)&amp;" kg de cada lado (Total: "&amp;ROUNDUP(BN38/2,0)*2&amp;" kg)",BK39="C","Este exercício usa o Peso Corporal como carga",BK39="E","Este exercício usa a resistência da banda elástica como carga",BK39="O","Carga Sugerida: "&amp;INT(BN38)&amp;" kg",TRUE,""))</f>
        <v>Carga Sugerida: 2 kg</v>
      </c>
      <c r="BI39" s="66"/>
      <c r="BJ39" s="126">
        <f>BJ38</f>
        <v>4</v>
      </c>
      <c r="BK39" s="120" t="str">
        <f>LEFT(BN39)</f>
        <v>O</v>
      </c>
      <c r="BL39" s="121" t="str">
        <f>MID(BN39,2,1)</f>
        <v>U</v>
      </c>
      <c r="BM39" s="122" t="str">
        <f>RIGHT(BN39)</f>
        <v>R</v>
      </c>
      <c r="BN39" s="123" t="str">
        <f>IF(BL38="","",OFFSET(Biblioteca!$I$2,MATCH(BL38,Biblioteca!$A$3:$A$200,0),0))</f>
        <v>OUR</v>
      </c>
      <c r="BO39" s="124"/>
      <c r="BP39" s="125"/>
      <c r="BQ39" s="117" t="str">
        <f>IF(BQ38="","",IFS(CB39="A",Montagem!$G$80,CD39="T","Realizar a maior quantidade de repetições por "&amp;BV38&amp;" segundos | ",CD39="I",IF(CC39="U","Manter a posição por "&amp;BV38&amp;" segundos de um lado e trocar para o outro na sequência | ","Manter a posição por "&amp;BV38&amp;" segundos | "),CC39="A","Realizar alternadamente "&amp;BV38&amp;" repetições cada lado | ",CC39="U","Realizar "&amp;BV38&amp;" repetições de um lado e trocar para o outro na sequência | ",CB39="P",OFFSET(Biblioteca!$H$2,MATCH(CC38,Biblioteca!$A$3:$A$200,0),0),TRUE,"")&amp;IF(CD39="R","Ajuste a carga para que tenha "&amp;$K$2&amp;" repetições de reserva",""))</f>
        <v>Ajuste a carga para que tenha 0 a 2 repetições de reserva</v>
      </c>
      <c r="BU39" s="118" t="str">
        <f>IF(BQ38="","",IFS(CB39="H","Carga Sugerida: "&amp;ROUNDUP(CE38/2,0)&amp;" kg de cada lado (Total: "&amp;ROUNDUP(CE38/2,0)*2&amp;" kg)",CB39="C","Este exercício usa o Peso Corporal como carga",CB39="E","Este exercício usa a resistência da banda elástica como carga",CB39="O","Carga Sugerida: "&amp;INT(CE38)&amp;" kg",TRUE,""))</f>
        <v>Carga Sugerida: 14 kg</v>
      </c>
      <c r="BZ39" s="66"/>
      <c r="CA39" s="126">
        <f>CA38</f>
        <v>4</v>
      </c>
      <c r="CB39" s="120" t="str">
        <f>LEFT(CE39)</f>
        <v>O</v>
      </c>
      <c r="CC39" s="121" t="str">
        <f>MID(CE39,2,1)</f>
        <v>O</v>
      </c>
      <c r="CD39" s="122" t="str">
        <f>RIGHT(CE39)</f>
        <v>R</v>
      </c>
      <c r="CE39" s="123" t="str">
        <f>IF(CC38="","",OFFSET(Biblioteca!$I$2,MATCH(CC38,Biblioteca!$A$3:$A$200,0),0))</f>
        <v>OOR</v>
      </c>
      <c r="CF39" s="124"/>
      <c r="CG39" s="125"/>
      <c r="CH39" s="117" t="str">
        <f>IF(CH38="","",IFS(CS39="A",Montagem!$H$80,CU39="T","Realizar a maior quantidade de repetições por "&amp;CM38&amp;" segundos | ",CU39="I",IF(CT39="U","Manter a posição por "&amp;CM38&amp;" segundos de um lado e trocar para o outro na sequência | ","Manter a posição por "&amp;CM38&amp;" segundos | "),CT39="A","Realizar alternadamente "&amp;CM38&amp;" repetições cada lado | ",CT39="U","Realizar "&amp;CM38&amp;" repetições de um lado e trocar para o outro na sequência | ",CS39="P",OFFSET(Biblioteca!$H$2,MATCH(CT38,Biblioteca!$A$3:$A$200,0),0),TRUE,"")&amp;IF(CU39="R","Ajuste a carga para que tenha "&amp;$K$2&amp;" repetições de reserva",""))</f>
        <v/>
      </c>
      <c r="CL39" s="118" t="str">
        <f>IF(CH38="","",IFS(CS39="H","Carga Sugerida: "&amp;ROUNDUP(CV38/2,0)&amp;" kg de cada lado (Total: "&amp;ROUNDUP(CV38/2,0)*2&amp;" kg)",CS39="C","Este exercício usa o Peso Corporal como carga",CS39="E","Este exercício usa a resistência da banda elástica como carga",CS39="O","Carga Sugerida: "&amp;INT(CV38)&amp;" kg",TRUE,""))</f>
        <v/>
      </c>
      <c r="CQ39" s="66"/>
      <c r="CR39" s="126">
        <f>CR38</f>
        <v>1</v>
      </c>
      <c r="CS39" s="120" t="str">
        <f>LEFT(CV39)</f>
        <v/>
      </c>
      <c r="CT39" s="121" t="str">
        <f>MID(CV39,2,1)</f>
        <v/>
      </c>
      <c r="CU39" s="122" t="str">
        <f>RIGHT(CV39)</f>
        <v/>
      </c>
      <c r="CV39" s="123" t="str">
        <f>IF(CT38="","",OFFSET(Biblioteca!$I$2,MATCH(CT38,Biblioteca!$A$3:$A$200,0),0))</f>
        <v/>
      </c>
      <c r="CW39" s="124"/>
      <c r="CX39" s="125"/>
      <c r="CY39" s="117" t="str">
        <f>IF(CY38="","",IFS(DJ39="A",Montagem!$I$80,DL39="T","Realizar a maior quantidade de repetições por "&amp;DD38&amp;" segundos | ",DL39="I",IF(DK39="U","Manter a posição por "&amp;DD38&amp;" segundos de um lado e trocar para o outro na sequência | ","Manter a posição por "&amp;DD38&amp;" segundos | "),DK39="A","Realizar alternadamente "&amp;DD38&amp;" repetições cada lado | ",DK39="U","Realizar "&amp;DD38&amp;" repetições de um lado e trocar para o outro na sequência | ",DJ39="P",OFFSET(Biblioteca!$H$2,MATCH(DK38,Biblioteca!$A$3:$A$200,0),0),TRUE,"")&amp;IF(DL39="R","Ajuste a carga para que tenha "&amp;$K$2&amp;" repetições de reserva",""))</f>
        <v/>
      </c>
      <c r="DC39" s="118" t="str">
        <f>IF(CY38="","",IFS(DJ39="H","Carga Sugerida: "&amp;ROUNDUP(DM38/2,0)&amp;" kg de cada lado (Total: "&amp;ROUNDUP(DM38/2,0)*2&amp;" kg)",DJ39="C","Este exercício usa o Peso Corporal como carga",DJ39="E","Este exercício usa a resistência da banda elástica como carga",DJ39="O","Carga Sugerida: "&amp;INT(DM38)&amp;" kg",TRUE,""))</f>
        <v/>
      </c>
      <c r="DH39" s="66"/>
      <c r="DI39" s="126">
        <f>DI38</f>
        <v>1</v>
      </c>
      <c r="DJ39" s="120" t="str">
        <f>LEFT(DM39)</f>
        <v/>
      </c>
      <c r="DK39" s="121" t="str">
        <f>MID(DM39,2,1)</f>
        <v/>
      </c>
      <c r="DL39" s="122" t="str">
        <f>RIGHT(DM39)</f>
        <v/>
      </c>
      <c r="DM39" s="123" t="str">
        <f>IF(DK38="","",OFFSET(Biblioteca!$I$2,MATCH(DK38,Biblioteca!$A$3:$A$200,0),0))</f>
        <v/>
      </c>
      <c r="DN39" s="124"/>
      <c r="DO39" s="125"/>
      <c r="DP39" s="57"/>
      <c r="DQ39" s="56"/>
      <c r="DR39" s="56"/>
      <c r="DS39" s="56"/>
      <c r="DT39" s="56"/>
      <c r="DU39" s="56"/>
      <c r="DV39" s="56"/>
      <c r="DW39" s="56"/>
      <c r="DX39" s="56"/>
      <c r="DY39" s="56"/>
    </row>
    <row r="40">
      <c r="A40" s="102" t="str">
        <f>IF(M40="","",HYPERLINK(OFFSET(Biblioteca!$B$2,MATCH(M40,Biblioteca!$A$3:$A$200,0),0),M40))</f>
        <v>Fly Inverso</v>
      </c>
      <c r="D40" s="103" t="str">
        <f>Montagem!Q78</f>
        <v>Bi-SET</v>
      </c>
      <c r="E40" s="104">
        <f>Montagem!R78</f>
        <v>3</v>
      </c>
      <c r="F40" s="104">
        <f>Montagem!S78</f>
        <v>12</v>
      </c>
      <c r="G40" s="104" t="str">
        <f>Montagem!T78</f>
        <v/>
      </c>
      <c r="H40" s="104">
        <f>Montagem!U78</f>
        <v>1</v>
      </c>
      <c r="I40" s="132">
        <f>Montagem!V78</f>
        <v>2</v>
      </c>
      <c r="J40" s="105">
        <v>7.0</v>
      </c>
      <c r="K40" s="106">
        <f>Montagem!K78</f>
        <v>6</v>
      </c>
      <c r="L40" s="111">
        <f>Montagem!W78</f>
        <v>7.256235828</v>
      </c>
      <c r="M40" s="111" t="str">
        <f>Montagem!L78</f>
        <v>Fly Inverso</v>
      </c>
      <c r="N40" s="111" t="str">
        <f>Montagem!X78</f>
        <v/>
      </c>
      <c r="O40" s="106">
        <f>IF(N40="",L40,N40)</f>
        <v>7.256235828</v>
      </c>
      <c r="P40" s="106">
        <f>IF(L41="C",'Dados de Base'!$D$5*0.1,IF(L41="E",5,IF(J40="",O40,J40)))</f>
        <v>7</v>
      </c>
      <c r="Q40" s="108"/>
      <c r="R40" s="102" t="str">
        <f>IF(AD40="","",HYPERLINK(OFFSET(Biblioteca!$B$2,MATCH(AD40,Biblioteca!$A$3:$A$200,0),0),AD40))</f>
        <v>Leg Press</v>
      </c>
      <c r="U40" s="109" t="str">
        <f>Montagem!AF78</f>
        <v>Bi-SET</v>
      </c>
      <c r="V40" s="110">
        <f>Montagem!AG78</f>
        <v>3</v>
      </c>
      <c r="W40" s="110">
        <f>Montagem!AH78</f>
        <v>12</v>
      </c>
      <c r="X40" s="110" t="str">
        <f>Montagem!AI78</f>
        <v/>
      </c>
      <c r="Y40" s="110">
        <f>Montagem!AJ78</f>
        <v>1</v>
      </c>
      <c r="Z40" s="110">
        <f>Montagem!AK78</f>
        <v>2</v>
      </c>
      <c r="AA40" s="113">
        <v>150.0</v>
      </c>
      <c r="AB40" s="111">
        <f>Montagem!Z78</f>
        <v>6</v>
      </c>
      <c r="AC40" s="111">
        <f>Montagem!AL78</f>
        <v>154.1950113</v>
      </c>
      <c r="AD40" s="129" t="str">
        <f>Montagem!AA78</f>
        <v>Leg Press</v>
      </c>
      <c r="AE40" s="111" t="str">
        <f>Montagem!AM78</f>
        <v/>
      </c>
      <c r="AF40" s="106">
        <f>IF(AE40="",AC40,AE40)</f>
        <v>154.1950113</v>
      </c>
      <c r="AG40" s="106">
        <f>IF(AC41="C",'Dados de Base'!$D$5*0.1,IF(AC41="E",5,IF(AA40="",AF40,AA40)))</f>
        <v>150</v>
      </c>
      <c r="AH40" s="108"/>
      <c r="AI40" s="115" t="str">
        <f>IF(AU40="","",HYPERLINK(OFFSET(Biblioteca!$B$2,MATCH(AU40,Biblioteca!$A$3:$A$200,0),0),AU40))</f>
        <v/>
      </c>
      <c r="AL40" s="109" t="str">
        <f>Montagem!AU78</f>
        <v/>
      </c>
      <c r="AM40" s="110" t="str">
        <f>Montagem!AV78</f>
        <v/>
      </c>
      <c r="AN40" s="110" t="str">
        <f>Montagem!AW78</f>
        <v/>
      </c>
      <c r="AO40" s="110" t="str">
        <f>Montagem!AX78</f>
        <v/>
      </c>
      <c r="AP40" s="110" t="str">
        <f>Montagem!AY78</f>
        <v/>
      </c>
      <c r="AQ40" s="110" t="str">
        <f>Montagem!AZ78</f>
        <v/>
      </c>
      <c r="AR40" s="114"/>
      <c r="AS40" s="111">
        <f>Montagem!AO78</f>
        <v>1</v>
      </c>
      <c r="AT40" s="111" t="str">
        <f>Montagem!BA78</f>
        <v/>
      </c>
      <c r="AU40" s="111" t="str">
        <f>Montagem!AP78</f>
        <v/>
      </c>
      <c r="AV40" s="111" t="str">
        <f>Montagem!BB78</f>
        <v/>
      </c>
      <c r="AW40" s="106" t="str">
        <f>IF(AV40="",AT40,AV40)</f>
        <v/>
      </c>
      <c r="AX40" s="106" t="str">
        <f>IF(AT41="C",'Dados de Base'!$D$5*0.1,IF(AT41="E",5,IF(AR40="",AW40,AR40)))</f>
        <v/>
      </c>
      <c r="AY40" s="108"/>
      <c r="AZ40" s="102" t="str">
        <f>IF(BL40="","",HYPERLINK(OFFSET(Biblioteca!$B$2,MATCH(BL40,Biblioteca!$A$3:$A$200,0),0),BL40))</f>
        <v>Rosca Scott</v>
      </c>
      <c r="BC40" s="109" t="str">
        <f>Montagem!BJ78</f>
        <v>Bi-SET</v>
      </c>
      <c r="BD40" s="110">
        <f>Montagem!BK78</f>
        <v>3</v>
      </c>
      <c r="BE40" s="110">
        <f>Montagem!BL78</f>
        <v>12</v>
      </c>
      <c r="BF40" s="110">
        <f>Montagem!BM78</f>
        <v>60</v>
      </c>
      <c r="BG40" s="110">
        <f>Montagem!BN78</f>
        <v>1</v>
      </c>
      <c r="BH40" s="110">
        <f>Montagem!BO78</f>
        <v>2</v>
      </c>
      <c r="BI40" s="113">
        <v>8.0</v>
      </c>
      <c r="BJ40" s="111">
        <f>Montagem!BD78</f>
        <v>4</v>
      </c>
      <c r="BK40" s="111">
        <f>Montagem!BP78</f>
        <v>9.070294785</v>
      </c>
      <c r="BL40" s="111" t="str">
        <f>Montagem!BE78</f>
        <v>Rosca Scott</v>
      </c>
      <c r="BM40" s="111" t="str">
        <f>Montagem!BQ78</f>
        <v/>
      </c>
      <c r="BN40" s="106">
        <f>IF(BM40="",BK40,BM40)</f>
        <v>9.070294785</v>
      </c>
      <c r="BO40" s="106">
        <f>IF(BK41="C",'Dados de Base'!$D$5*0.1,IF(BK41="E",5,IF(BI40="",BN40,BI40)))</f>
        <v>8</v>
      </c>
      <c r="BP40" s="108"/>
      <c r="BQ40" s="115" t="str">
        <f>IF(CC40="","",HYPERLINK(OFFSET(Biblioteca!$B$2,MATCH(CC40,Biblioteca!$A$3:$A$200,0),0),CC40))</f>
        <v>Deslocamento Lateral com Miniband</v>
      </c>
      <c r="BT40" s="109" t="str">
        <f>Montagem!BY78</f>
        <v>Bi-SET</v>
      </c>
      <c r="BU40" s="110">
        <f>Montagem!BZ78</f>
        <v>3</v>
      </c>
      <c r="BV40" s="110">
        <f>Montagem!CA78</f>
        <v>10</v>
      </c>
      <c r="BW40" s="110" t="str">
        <f>Montagem!CB78</f>
        <v/>
      </c>
      <c r="BX40" s="110">
        <f>Montagem!CC78</f>
        <v>1</v>
      </c>
      <c r="BY40" s="110">
        <f>Montagem!CD78</f>
        <v>2</v>
      </c>
      <c r="BZ40" s="113">
        <v>10.0</v>
      </c>
      <c r="CA40" s="111">
        <f>Montagem!BS78</f>
        <v>5</v>
      </c>
      <c r="CB40" s="111">
        <f>Montagem!CE78</f>
        <v>0</v>
      </c>
      <c r="CC40" s="111" t="str">
        <f>Montagem!BT78</f>
        <v>Deslocamento Lateral com Miniband</v>
      </c>
      <c r="CD40" s="111" t="str">
        <f>Montagem!CF78</f>
        <v/>
      </c>
      <c r="CE40" s="106">
        <f>IF(CD40="",CB40,CD40)</f>
        <v>0</v>
      </c>
      <c r="CF40" s="106">
        <f>IF(CB41="C",'Dados de Base'!$D$5*0.1,IF(CB41="E",5,IF(BZ40="",CE40,BZ40)))</f>
        <v>5</v>
      </c>
      <c r="CG40" s="108"/>
      <c r="CH40" s="115" t="str">
        <f>IF(CT40="","",HYPERLINK(OFFSET(Biblioteca!$B$2,MATCH(CT40,Biblioteca!$A$3:$A$200,0),0),CT40))</f>
        <v/>
      </c>
      <c r="CK40" s="109" t="str">
        <f>Montagem!CN78</f>
        <v/>
      </c>
      <c r="CL40" s="110" t="str">
        <f>Montagem!CO78</f>
        <v/>
      </c>
      <c r="CM40" s="110" t="str">
        <f>Montagem!CP78</f>
        <v/>
      </c>
      <c r="CN40" s="110" t="str">
        <f>Montagem!CQ78</f>
        <v/>
      </c>
      <c r="CO40" s="110" t="str">
        <f>Montagem!CR78</f>
        <v/>
      </c>
      <c r="CP40" s="110" t="str">
        <f>Montagem!CS78</f>
        <v/>
      </c>
      <c r="CQ40" s="114"/>
      <c r="CR40" s="111">
        <f>Montagem!CH78</f>
        <v>1</v>
      </c>
      <c r="CS40" s="111" t="str">
        <f>Montagem!CT78</f>
        <v/>
      </c>
      <c r="CT40" s="111" t="str">
        <f>Montagem!CI78</f>
        <v/>
      </c>
      <c r="CU40" s="111" t="str">
        <f>Montagem!CU78</f>
        <v/>
      </c>
      <c r="CV40" s="106" t="str">
        <f>IF(CU40="",CS40,CU40)</f>
        <v/>
      </c>
      <c r="CW40" s="106" t="str">
        <f>IF(CS41="C",'Dados de Base'!$D$5*0.1,IF(CS41="E",5,IF(CQ40="",CV40,CQ40)))</f>
        <v/>
      </c>
      <c r="CX40" s="108"/>
      <c r="CY40" s="115" t="str">
        <f>IF(DK40="","",HYPERLINK(OFFSET(Biblioteca!$B$2,MATCH(DK40,Biblioteca!$A$3:$A$200,0),0),DK40))</f>
        <v/>
      </c>
      <c r="DB40" s="130" t="str">
        <f>Montagem!DC78</f>
        <v/>
      </c>
      <c r="DC40" s="131" t="str">
        <f>Montagem!DD78</f>
        <v/>
      </c>
      <c r="DD40" s="131" t="str">
        <f>Montagem!DE78</f>
        <v/>
      </c>
      <c r="DE40" s="131" t="str">
        <f>Montagem!DF78</f>
        <v/>
      </c>
      <c r="DF40" s="131" t="str">
        <f>Montagem!DG78</f>
        <v/>
      </c>
      <c r="DG40" s="131" t="str">
        <f>Montagem!DH78</f>
        <v/>
      </c>
      <c r="DH40" s="114"/>
      <c r="DI40" s="111">
        <f>Montagem!CW78</f>
        <v>1</v>
      </c>
      <c r="DJ40" s="111" t="str">
        <f>Montagem!DI78</f>
        <v/>
      </c>
      <c r="DK40" s="111" t="str">
        <f>Montagem!CX78</f>
        <v/>
      </c>
      <c r="DL40" s="111" t="str">
        <f>Montagem!DJ78</f>
        <v/>
      </c>
      <c r="DM40" s="106" t="str">
        <f>IF(DL40="",DJ40,DL40)</f>
        <v/>
      </c>
      <c r="DN40" s="106" t="str">
        <f>IF(DJ41="C",'Dados de Base'!$D$5*0.1,IF(DJ41="E",5,IF(DH40="",DM40,DH40)))</f>
        <v/>
      </c>
      <c r="DO40" s="108"/>
      <c r="DP40" s="106"/>
      <c r="DQ40" s="106"/>
      <c r="DR40" s="106"/>
      <c r="DS40" s="106"/>
      <c r="DT40" s="106"/>
      <c r="DU40" s="106"/>
      <c r="DV40" s="106"/>
      <c r="DW40" s="106"/>
      <c r="DX40" s="106"/>
      <c r="DY40" s="106"/>
    </row>
    <row r="41">
      <c r="A41" s="117" t="str">
        <f>IF(A40="","",IFS(L41="A",Montagem!$C$80,N41="T","Realizar a maior quantidade de repetições por "&amp;F40&amp;" segundos | ",N41="I",IF(M41="U","Manter a posição por "&amp;F40&amp;" segundos de um lado e trocar para o outro na sequência | ","Manter a posição por "&amp;F40&amp;" segundos | "),M41="A","Realizar alternadamente "&amp;F40&amp;" repetições cada lado | ",M41="U","Realizar "&amp;F40&amp;" repetições de um lado e trocar para o outro na sequência | ",L41="P",OFFSET(Biblioteca!$H$2,MATCH(M40,Biblioteca!$A$3:$A$200,0),0),TRUE,"")&amp;IF(N41="R","Ajuste a carga para que tenha "&amp;$K$2&amp;" repetições de reserva",""))</f>
        <v>Ajuste a carga para que tenha 0 a 2 repetições de reserva</v>
      </c>
      <c r="E41" s="118" t="str">
        <f>IF(A40="","",IFS(L41="H","Carga Sugerida: "&amp;ROUNDUP(O40/2,0)&amp;" kg de cada lado (Total: "&amp;ROUNDUP(O40/2,0)*2&amp;" kg)",L41="C","Este exercício usa o Peso Corporal como carga",L41="E","Este exercício usa a resistência da banda elástica como carga",L41="O","Carga Sugerida: "&amp;INT(O40)&amp;" kg",TRUE,""))</f>
        <v>Carga Sugerida: 7 kg</v>
      </c>
      <c r="J41" s="66"/>
      <c r="K41" s="106">
        <f>K40</f>
        <v>6</v>
      </c>
      <c r="L41" s="120" t="str">
        <f>LEFT(O41)</f>
        <v>O</v>
      </c>
      <c r="M41" s="121" t="str">
        <f>MID(O41,2,1)</f>
        <v>O</v>
      </c>
      <c r="N41" s="122" t="str">
        <f>RIGHT(O41)</f>
        <v>R</v>
      </c>
      <c r="O41" s="123" t="str">
        <f>IF(M40="","",OFFSET(Biblioteca!$I$2,MATCH(M40,Biblioteca!$A$3:$A$200,0),0))</f>
        <v>OOR</v>
      </c>
      <c r="P41" s="124"/>
      <c r="Q41" s="125"/>
      <c r="R41" s="117" t="str">
        <f>IF(R40="","",IFS(AC41="A",Montagem!$D$80,AE41="T","Realizar a maior quantidade de repetições por "&amp;W40&amp;" segundos | ",AE41="I",IF(AD41="U","Manter a posição por "&amp;W40&amp;" segundos de um lado e trocar para o outro na sequência | ","Manter a posição por "&amp;W40&amp;" segundos | "),AD41="A","Realizar alternadamente "&amp;W40&amp;" repetições cada lado | ",AD41="U","Realizar "&amp;W40&amp;" repetições de um lado e trocar para o outro na sequência | ",AC41="P",OFFSET(Biblioteca!$H$2,MATCH(AD40,Biblioteca!$A$3:$A$200,0),0),TRUE,"")&amp;IF(AE41="R","Ajuste a carga para que tenha "&amp;$K$2&amp;" repetições de reserva",""))</f>
        <v>Ajuste a carga para que tenha 0 a 2 repetições de reserva</v>
      </c>
      <c r="V41" s="118" t="str">
        <f>IF(R40="","",IFS(AC41="H","Carga Sugerida: "&amp;ROUNDUP(AF40/2,0)&amp;" kg de cada lado (Total: "&amp;ROUNDUP(AF40/2,0)*2&amp;" kg)",AC41="C","Este exercício usa o Peso Corporal como carga",AC41="E","Este exercício usa a resistência da banda elástica como carga",AC41="O","Carga Sugerida: "&amp;INT(AF40)&amp;" kg",TRUE,""))</f>
        <v>Carga Sugerida: 154 kg</v>
      </c>
      <c r="AA41" s="66"/>
      <c r="AB41" s="126">
        <f>AB40</f>
        <v>6</v>
      </c>
      <c r="AC41" s="120" t="str">
        <f>LEFT(AF41)</f>
        <v>O</v>
      </c>
      <c r="AD41" s="121" t="str">
        <f>MID(AF41,2,1)</f>
        <v>O</v>
      </c>
      <c r="AE41" s="122" t="str">
        <f>RIGHT(AF41)</f>
        <v>R</v>
      </c>
      <c r="AF41" s="123" t="str">
        <f>IF(AD40="","",OFFSET(Biblioteca!$I$2,MATCH(AD40,Biblioteca!$A$3:$A$200,0),0))</f>
        <v>OOR</v>
      </c>
      <c r="AG41" s="124"/>
      <c r="AH41" s="125"/>
      <c r="AI41" s="117" t="str">
        <f>IF(AI40="","",IFS(AT41="A",Montagem!$E$80,AV41="T","Realizar a maior quantidade de repetições por "&amp;AN40&amp;" segundos | ",AV41="I",IF(AU41="U","Manter a posição por "&amp;AN40&amp;" segundos de um lado e trocar para o outro na sequência | ","Manter a posição por "&amp;AN40&amp;" segundos | "),AU41="A","Realizar alternadamente "&amp;AN40&amp;" repetições cada lado | ",AU41="U","Realizar "&amp;AN40&amp;" repetições de um lado e trocar para o outro na sequência | ",AT41="P",OFFSET(Biblioteca!$H$2,MATCH(AU40,Biblioteca!$A$3:$A$200,0),0),TRUE,"")&amp;IF(AV41="R","Ajuste a carga para que tenha "&amp;$K$2&amp;" repetições de reserva",""))</f>
        <v/>
      </c>
      <c r="AM41" s="118" t="str">
        <f>IF(AI40="","",IFS(AT41="H","Carga Sugerida: "&amp;ROUNDUP(AW40/2,0)&amp;" kg de cada lado (Total: "&amp;ROUNDUP(AW40/2,0)*2&amp;" kg)",AT41="C","Este exercício usa o Peso Corporal como carga",AT41="E","Este exercício usa a resistência da banda elástica como carga",AT41="O","Carga Sugerida: "&amp;INT(AW40)&amp;" kg",TRUE,""))</f>
        <v/>
      </c>
      <c r="AR41" s="66"/>
      <c r="AS41" s="126">
        <f>AS40</f>
        <v>1</v>
      </c>
      <c r="AT41" s="120" t="str">
        <f>LEFT(AW41)</f>
        <v/>
      </c>
      <c r="AU41" s="121" t="str">
        <f>MID(AW41,2,1)</f>
        <v/>
      </c>
      <c r="AV41" s="122" t="str">
        <f>RIGHT(AW41)</f>
        <v/>
      </c>
      <c r="AW41" s="123" t="str">
        <f>IF(AU40="","",OFFSET(Biblioteca!$I$2,MATCH(AU40,Biblioteca!$A$3:$A$200,0),0))</f>
        <v/>
      </c>
      <c r="AX41" s="124"/>
      <c r="AY41" s="125"/>
      <c r="AZ41" s="117" t="str">
        <f>IF(AZ40="","",IFS(BK41="A",Montagem!$F$80,BM41="T","Realizar a maior quantidade de repetições por "&amp;BE40&amp;" segundos | ",BM41="I",IF(BL41="U","Manter a posição por "&amp;BE40&amp;" segundos de um lado e trocar para o outro na sequência | ","Manter a posição por "&amp;BE40&amp;" segundos | "),BL41="A","Realizar alternadamente "&amp;BE40&amp;" repetições cada lado | ",BL41="U","Realizar "&amp;BE40&amp;" repetições de um lado e trocar para o outro na sequência | ",BK41="P",OFFSET(Biblioteca!$H$2,MATCH(BL40,Biblioteca!$A$3:$A$200,0),0),TRUE,"")&amp;IF(BM41="R","Ajuste a carga para que tenha "&amp;$K$2&amp;" repetições de reserva",""))</f>
        <v>Ajuste a carga para que tenha 0 a 2 repetições de reserva</v>
      </c>
      <c r="BD41" s="118" t="str">
        <f>IF(AZ40="","",IFS(BK41="H","Carga Sugerida: "&amp;ROUNDUP(BN40/2,0)&amp;" kg de cada lado (Total: "&amp;ROUNDUP(BN40/2,0)*2&amp;" kg)",BK41="C","Este exercício usa o Peso Corporal como carga",BK41="E","Este exercício usa a resistência da banda elástica como carga",BK41="O","Carga Sugerida: "&amp;INT(BN40)&amp;" kg",TRUE,""))</f>
        <v>Carga Sugerida: 9 kg</v>
      </c>
      <c r="BI41" s="66"/>
      <c r="BJ41" s="126">
        <f>BJ40</f>
        <v>4</v>
      </c>
      <c r="BK41" s="120" t="str">
        <f>LEFT(BN41)</f>
        <v>O</v>
      </c>
      <c r="BL41" s="121" t="str">
        <f>MID(BN41,2,1)</f>
        <v>O</v>
      </c>
      <c r="BM41" s="122" t="str">
        <f>RIGHT(BN41)</f>
        <v>R</v>
      </c>
      <c r="BN41" s="123" t="str">
        <f>IF(BL40="","",OFFSET(Biblioteca!$I$2,MATCH(BL40,Biblioteca!$A$3:$A$200,0),0))</f>
        <v>OOR</v>
      </c>
      <c r="BO41" s="124"/>
      <c r="BP41" s="125"/>
      <c r="BQ41" s="117" t="str">
        <f>IF(BQ40="","",IFS(CB41="A",Montagem!$G$80,CD41="T","Realizar a maior quantidade de repetições por "&amp;BV40&amp;" segundos | ",CD41="I",IF(CC41="U","Manter a posição por "&amp;BV40&amp;" segundos de um lado e trocar para o outro na sequência | ","Manter a posição por "&amp;BV40&amp;" segundos | "),CC41="A","Realizar alternadamente "&amp;BV40&amp;" repetições cada lado | ",CC41="U","Realizar "&amp;BV40&amp;" repetições de um lado e trocar para o outro na sequência | ",CB41="P",OFFSET(Biblioteca!$H$2,MATCH(CC40,Biblioteca!$A$3:$A$200,0),0),TRUE,"")&amp;IF(CD41="R","Ajuste a carga para que tenha "&amp;$K$2&amp;" repetições de reserva",""))</f>
        <v>Realizar 10 repetições de um lado e trocar para o outro na sequência | Ajuste a carga para que tenha 0 a 2 repetições de reserva</v>
      </c>
      <c r="BU41" s="118" t="str">
        <f>IF(BQ40="","",IFS(CB41="H","Carga Sugerida: "&amp;ROUNDUP(CE40/2,0)&amp;" kg de cada lado (Total: "&amp;ROUNDUP(CE40/2,0)*2&amp;" kg)",CB41="C","Este exercício usa o Peso Corporal como carga",CB41="E","Este exercício usa a resistência da banda elástica como carga",CB41="O","Carga Sugerida: "&amp;INT(CE40)&amp;" kg",TRUE,""))</f>
        <v>Este exercício usa a resistência da banda elástica como carga</v>
      </c>
      <c r="BZ41" s="66"/>
      <c r="CA41" s="126">
        <f>CA40</f>
        <v>5</v>
      </c>
      <c r="CB41" s="120" t="str">
        <f>LEFT(CE41)</f>
        <v>E</v>
      </c>
      <c r="CC41" s="121" t="str">
        <f>MID(CE41,2,1)</f>
        <v>U</v>
      </c>
      <c r="CD41" s="122" t="str">
        <f>RIGHT(CE41)</f>
        <v>R</v>
      </c>
      <c r="CE41" s="123" t="str">
        <f>IF(CC40="","",OFFSET(Biblioteca!$I$2,MATCH(CC40,Biblioteca!$A$3:$A$200,0),0))</f>
        <v>EUR</v>
      </c>
      <c r="CF41" s="124"/>
      <c r="CG41" s="125"/>
      <c r="CH41" s="117" t="str">
        <f>IF(CH40="","",IFS(CS41="A",Montagem!$H$80,CU41="T","Realizar a maior quantidade de repetições por "&amp;CM40&amp;" segundos | ",CU41="I",IF(CT41="U","Manter a posição por "&amp;CM40&amp;" segundos de um lado e trocar para o outro na sequência | ","Manter a posição por "&amp;CM40&amp;" segundos | "),CT41="A","Realizar alternadamente "&amp;CM40&amp;" repetições cada lado | ",CT41="U","Realizar "&amp;CM40&amp;" repetições de um lado e trocar para o outro na sequência | ",CS41="P",OFFSET(Biblioteca!$H$2,MATCH(CT40,Biblioteca!$A$3:$A$200,0),0),TRUE,"")&amp;IF(CU41="R","Ajuste a carga para que tenha "&amp;$K$2&amp;" repetições de reserva",""))</f>
        <v/>
      </c>
      <c r="CL41" s="118" t="str">
        <f>IF(CH40="","",IFS(CS41="H","Carga Sugerida: "&amp;ROUNDUP(CV40/2,0)&amp;" kg de cada lado (Total: "&amp;ROUNDUP(CV40/2,0)*2&amp;" kg)",CS41="C","Este exercício usa o Peso Corporal como carga",CS41="E","Este exercício usa a resistência da banda elástica como carga",CS41="O","Carga Sugerida: "&amp;INT(CV40)&amp;" kg",TRUE,""))</f>
        <v/>
      </c>
      <c r="CQ41" s="66"/>
      <c r="CR41" s="126">
        <f>CR40</f>
        <v>1</v>
      </c>
      <c r="CS41" s="120" t="str">
        <f>LEFT(CV41)</f>
        <v/>
      </c>
      <c r="CT41" s="121" t="str">
        <f>MID(CV41,2,1)</f>
        <v/>
      </c>
      <c r="CU41" s="122" t="str">
        <f>RIGHT(CV41)</f>
        <v/>
      </c>
      <c r="CV41" s="123" t="str">
        <f>IF(CT40="","",OFFSET(Biblioteca!$I$2,MATCH(CT40,Biblioteca!$A$3:$A$200,0),0))</f>
        <v/>
      </c>
      <c r="CW41" s="124"/>
      <c r="CX41" s="125"/>
      <c r="CY41" s="117" t="str">
        <f>IF(CY40="","",IFS(DJ41="A",Montagem!$I$80,DL41="T","Realizar a maior quantidade de repetições por "&amp;DD40&amp;" segundos | ",DL41="I",IF(DK41="U","Manter a posição por "&amp;DD40&amp;" segundos de um lado e trocar para o outro na sequência | ","Manter a posição por "&amp;DD40&amp;" segundos | "),DK41="A","Realizar alternadamente "&amp;DD40&amp;" repetições cada lado | ",DK41="U","Realizar "&amp;DD40&amp;" repetições de um lado e trocar para o outro na sequência | ",DJ41="P",OFFSET(Biblioteca!$H$2,MATCH(DK40,Biblioteca!$A$3:$A$200,0),0),TRUE,"")&amp;IF(DL41="R","Ajuste a carga para que tenha "&amp;$K$2&amp;" repetições de reserva",""))</f>
        <v/>
      </c>
      <c r="DC41" s="118" t="str">
        <f>IF(CY40="","",IFS(DJ41="H","Carga Sugerida: "&amp;ROUNDUP(DM40/2,0)&amp;" kg de cada lado (Total: "&amp;ROUNDUP(DM40/2,0)*2&amp;" kg)",DJ41="C","Este exercício usa o Peso Corporal como carga",DJ41="E","Este exercício usa a resistência da banda elástica como carga",DJ41="O","Carga Sugerida: "&amp;INT(DM40)&amp;" kg",TRUE,""))</f>
        <v/>
      </c>
      <c r="DH41" s="66"/>
      <c r="DI41" s="126">
        <f>DI40</f>
        <v>1</v>
      </c>
      <c r="DJ41" s="120" t="str">
        <f>LEFT(DM41)</f>
        <v/>
      </c>
      <c r="DK41" s="121" t="str">
        <f>MID(DM41,2,1)</f>
        <v/>
      </c>
      <c r="DL41" s="122" t="str">
        <f>RIGHT(DM41)</f>
        <v/>
      </c>
      <c r="DM41" s="123" t="str">
        <f>IF(DK40="","",OFFSET(Biblioteca!$I$2,MATCH(DK40,Biblioteca!$A$3:$A$200,0),0))</f>
        <v/>
      </c>
      <c r="DN41" s="124"/>
      <c r="DO41" s="125"/>
      <c r="DP41" s="57"/>
      <c r="DQ41" s="56"/>
      <c r="DR41" s="56"/>
      <c r="DS41" s="56"/>
      <c r="DT41" s="56"/>
      <c r="DU41" s="56"/>
      <c r="DV41" s="56"/>
      <c r="DW41" s="56"/>
      <c r="DX41" s="56"/>
      <c r="DY41" s="56"/>
    </row>
    <row r="42">
      <c r="A42" s="102" t="str">
        <f>IF(M42="","",HYPERLINK(OFFSET(Biblioteca!$B$2,MATCH(M42,Biblioteca!$A$3:$A$200,0),0),M42))</f>
        <v>Rosca Direta</v>
      </c>
      <c r="D42" s="103" t="str">
        <f>Montagem!Q79</f>
        <v>Bi-SET</v>
      </c>
      <c r="E42" s="104">
        <f>Montagem!R79</f>
        <v>3</v>
      </c>
      <c r="F42" s="104">
        <f>Montagem!S79</f>
        <v>12</v>
      </c>
      <c r="G42" s="104">
        <f>Montagem!T79</f>
        <v>60</v>
      </c>
      <c r="H42" s="104">
        <f>Montagem!U79</f>
        <v>1</v>
      </c>
      <c r="I42" s="132">
        <f>Montagem!V79</f>
        <v>2</v>
      </c>
      <c r="J42" s="105">
        <v>18.0</v>
      </c>
      <c r="K42" s="106">
        <f>Montagem!K79</f>
        <v>6</v>
      </c>
      <c r="L42" s="111">
        <f>Montagem!W79</f>
        <v>18.14058957</v>
      </c>
      <c r="M42" s="111" t="str">
        <f>Montagem!L79</f>
        <v>Rosca Direta</v>
      </c>
      <c r="N42" s="111" t="str">
        <f>Montagem!X79</f>
        <v/>
      </c>
      <c r="O42" s="106">
        <f>IF(N42="",L42,N42)</f>
        <v>18.14058957</v>
      </c>
      <c r="P42" s="106">
        <f>IF(L43="C",'Dados de Base'!$D$5*0.1,IF(L43="E",5,IF(J42="",O42,J42)))</f>
        <v>18</v>
      </c>
      <c r="Q42" s="108"/>
      <c r="R42" s="102" t="str">
        <f>IF(AD42="","",HYPERLINK(OFFSET(Biblioteca!$B$2,MATCH(AD42,Biblioteca!$A$3:$A$200,0),0),AD42))</f>
        <v>Panturrilha Leg Press</v>
      </c>
      <c r="U42" s="109" t="str">
        <f>Montagem!AF79</f>
        <v>Bi-SET</v>
      </c>
      <c r="V42" s="110">
        <f>Montagem!AG79</f>
        <v>3</v>
      </c>
      <c r="W42" s="110">
        <f>Montagem!AH79</f>
        <v>12</v>
      </c>
      <c r="X42" s="110">
        <f>Montagem!AI79</f>
        <v>60</v>
      </c>
      <c r="Y42" s="110">
        <f>Montagem!AJ79</f>
        <v>1</v>
      </c>
      <c r="Z42" s="110">
        <f>Montagem!AK79</f>
        <v>2</v>
      </c>
      <c r="AA42" s="105">
        <v>200.0</v>
      </c>
      <c r="AB42" s="111">
        <f>Montagem!Z79</f>
        <v>6</v>
      </c>
      <c r="AC42" s="111">
        <f>Montagem!AL79</f>
        <v>200</v>
      </c>
      <c r="AD42" s="129" t="str">
        <f>Montagem!AA79</f>
        <v>Panturrilha Leg Press</v>
      </c>
      <c r="AE42" s="111" t="str">
        <f>Montagem!AM79</f>
        <v/>
      </c>
      <c r="AF42" s="106">
        <f>IF(AE42="",AC42,AE42)</f>
        <v>200</v>
      </c>
      <c r="AG42" s="106">
        <f>IF(AC43="C",'Dados de Base'!$D$5*0.1,IF(AC43="E",5,IF(AA42="",AF42,AA42)))</f>
        <v>200</v>
      </c>
      <c r="AH42" s="108"/>
      <c r="AI42" s="115" t="str">
        <f>IF(AU42="","",HYPERLINK(OFFSET(Biblioteca!$B$2,MATCH(AU42,Biblioteca!$A$3:$A$200,0),0),AU42))</f>
        <v/>
      </c>
      <c r="AL42" s="109" t="str">
        <f>Montagem!AU79</f>
        <v/>
      </c>
      <c r="AM42" s="110" t="str">
        <f>Montagem!AV79</f>
        <v/>
      </c>
      <c r="AN42" s="110" t="str">
        <f>Montagem!AW79</f>
        <v/>
      </c>
      <c r="AO42" s="110" t="str">
        <f>Montagem!AX79</f>
        <v/>
      </c>
      <c r="AP42" s="110" t="str">
        <f>Montagem!AY79</f>
        <v/>
      </c>
      <c r="AQ42" s="110" t="str">
        <f>Montagem!AZ79</f>
        <v/>
      </c>
      <c r="AR42" s="114"/>
      <c r="AS42" s="111">
        <f>Montagem!AO79</f>
        <v>1</v>
      </c>
      <c r="AT42" s="111" t="str">
        <f>Montagem!BA79</f>
        <v/>
      </c>
      <c r="AU42" s="111" t="str">
        <f>Montagem!AP79</f>
        <v/>
      </c>
      <c r="AV42" s="111" t="str">
        <f>Montagem!BB79</f>
        <v/>
      </c>
      <c r="AW42" s="106" t="str">
        <f>IF(AV42="",AT42,AV42)</f>
        <v/>
      </c>
      <c r="AX42" s="106" t="str">
        <f>IF(AT43="C",'Dados de Base'!$D$5*0.1,IF(AT43="E",5,IF(AR42="",AW42,AR42)))</f>
        <v/>
      </c>
      <c r="AY42" s="108"/>
      <c r="AZ42" s="102" t="str">
        <f>IF(BL42="","",HYPERLINK(OFFSET(Biblioteca!$B$2,MATCH(BL42,Biblioteca!$A$3:$A$200,0),0),BL42))</f>
        <v>Abdominal Reto</v>
      </c>
      <c r="BC42" s="109" t="str">
        <f>Montagem!BJ79</f>
        <v>Tri-SET</v>
      </c>
      <c r="BD42" s="110">
        <f>Montagem!BK79</f>
        <v>3</v>
      </c>
      <c r="BE42" s="110">
        <f>Montagem!BL79</f>
        <v>20</v>
      </c>
      <c r="BF42" s="110" t="str">
        <f>Montagem!BM79</f>
        <v/>
      </c>
      <c r="BG42" s="110">
        <f>Montagem!BN79</f>
        <v>1</v>
      </c>
      <c r="BH42" s="110">
        <f>Montagem!BO79</f>
        <v>1</v>
      </c>
      <c r="BI42" s="113">
        <v>10.0</v>
      </c>
      <c r="BJ42" s="111">
        <f>Montagem!BD79</f>
        <v>5</v>
      </c>
      <c r="BK42" s="111">
        <f>Montagem!BP79</f>
        <v>0</v>
      </c>
      <c r="BL42" s="111" t="str">
        <f>Montagem!BE79</f>
        <v>Abdominal Reto</v>
      </c>
      <c r="BM42" s="111" t="str">
        <f>Montagem!BQ79</f>
        <v/>
      </c>
      <c r="BN42" s="106">
        <f>IF(BM42="",BK42,BM42)</f>
        <v>0</v>
      </c>
      <c r="BO42" s="106">
        <f>IF(BK43="C",'Dados de Base'!$D$5*0.1,IF(BK43="E",5,IF(BI42="",BN42,BI42)))</f>
        <v>6.3</v>
      </c>
      <c r="BP42" s="108"/>
      <c r="BQ42" s="102" t="str">
        <f>IF(CC42="","",HYPERLINK(OFFSET(Biblioteca!$B$2,MATCH(CC42,Biblioteca!$A$3:$A$200,0),0),CC42))</f>
        <v>Extensão de Quadril com elástico</v>
      </c>
      <c r="BT42" s="109" t="str">
        <f>Montagem!BY79</f>
        <v>Bi-SET</v>
      </c>
      <c r="BU42" s="110">
        <f>Montagem!BZ79</f>
        <v>3</v>
      </c>
      <c r="BV42" s="110">
        <f>Montagem!CA79</f>
        <v>10</v>
      </c>
      <c r="BW42" s="110">
        <f>Montagem!CB79</f>
        <v>60</v>
      </c>
      <c r="BX42" s="110">
        <f>Montagem!CC79</f>
        <v>1</v>
      </c>
      <c r="BY42" s="110">
        <f>Montagem!CD79</f>
        <v>2</v>
      </c>
      <c r="BZ42" s="113">
        <v>10.0</v>
      </c>
      <c r="CA42" s="111">
        <f>Montagem!BS79</f>
        <v>5</v>
      </c>
      <c r="CB42" s="111">
        <f>Montagem!CE79</f>
        <v>0</v>
      </c>
      <c r="CC42" s="111" t="str">
        <f>Montagem!BT79</f>
        <v>Extensão de Quadril com elástico</v>
      </c>
      <c r="CD42" s="111" t="str">
        <f>Montagem!CF79</f>
        <v/>
      </c>
      <c r="CE42" s="106">
        <f>IF(CD42="",CB42,CD42)</f>
        <v>0</v>
      </c>
      <c r="CF42" s="106">
        <f>IF(CB43="C",'Dados de Base'!$D$5*0.1,IF(CB43="E",5,IF(BZ42="",CE42,BZ42)))</f>
        <v>5</v>
      </c>
      <c r="CG42" s="108"/>
      <c r="CH42" s="115" t="str">
        <f>IF(CT42="","",HYPERLINK(OFFSET(Biblioteca!$B$2,MATCH(CT42,Biblioteca!$A$3:$A$200,0),0),CT42))</f>
        <v/>
      </c>
      <c r="CK42" s="109" t="str">
        <f>Montagem!CN79</f>
        <v/>
      </c>
      <c r="CL42" s="110" t="str">
        <f>Montagem!CO79</f>
        <v/>
      </c>
      <c r="CM42" s="110" t="str">
        <f>Montagem!CP79</f>
        <v/>
      </c>
      <c r="CN42" s="110" t="str">
        <f>Montagem!CQ79</f>
        <v/>
      </c>
      <c r="CO42" s="110" t="str">
        <f>Montagem!CR79</f>
        <v/>
      </c>
      <c r="CP42" s="110" t="str">
        <f>Montagem!CS79</f>
        <v/>
      </c>
      <c r="CQ42" s="114"/>
      <c r="CR42" s="111">
        <f>Montagem!CH79</f>
        <v>1</v>
      </c>
      <c r="CS42" s="111" t="str">
        <f>Montagem!CT79</f>
        <v/>
      </c>
      <c r="CT42" s="111" t="str">
        <f>Montagem!CI79</f>
        <v/>
      </c>
      <c r="CU42" s="111" t="str">
        <f>Montagem!CU79</f>
        <v/>
      </c>
      <c r="CV42" s="106" t="str">
        <f>IF(CU42="",CS42,CU42)</f>
        <v/>
      </c>
      <c r="CW42" s="106" t="str">
        <f>IF(CS43="C",'Dados de Base'!$D$5*0.1,IF(CS43="E",5,IF(CQ42="",CV42,CQ42)))</f>
        <v/>
      </c>
      <c r="CX42" s="108"/>
      <c r="CY42" s="115" t="str">
        <f>IF(DK42="","",HYPERLINK(OFFSET(Biblioteca!$B$2,MATCH(DK42,Biblioteca!$A$3:$A$200,0),0),DK42))</f>
        <v/>
      </c>
      <c r="DB42" s="130" t="str">
        <f>Montagem!DC79</f>
        <v/>
      </c>
      <c r="DC42" s="131" t="str">
        <f>Montagem!DD79</f>
        <v/>
      </c>
      <c r="DD42" s="131" t="str">
        <f>Montagem!DE79</f>
        <v/>
      </c>
      <c r="DE42" s="131" t="str">
        <f>Montagem!DF79</f>
        <v/>
      </c>
      <c r="DF42" s="131" t="str">
        <f>Montagem!DG79</f>
        <v/>
      </c>
      <c r="DG42" s="131" t="str">
        <f>Montagem!DH79</f>
        <v/>
      </c>
      <c r="DH42" s="114"/>
      <c r="DI42" s="111">
        <f>Montagem!CW79</f>
        <v>1</v>
      </c>
      <c r="DJ42" s="111" t="str">
        <f>Montagem!DI79</f>
        <v/>
      </c>
      <c r="DK42" s="111" t="str">
        <f>Montagem!CX79</f>
        <v/>
      </c>
      <c r="DL42" s="111" t="str">
        <f>Montagem!DJ79</f>
        <v/>
      </c>
      <c r="DM42" s="106" t="str">
        <f>IF(DL42="",DJ42,DL42)</f>
        <v/>
      </c>
      <c r="DN42" s="106" t="str">
        <f>IF(DJ43="C",'Dados de Base'!$D$5*0.1,IF(DJ43="E",5,IF(DH42="",DM42,DH42)))</f>
        <v/>
      </c>
      <c r="DO42" s="108"/>
      <c r="DP42" s="106"/>
      <c r="DQ42" s="106"/>
      <c r="DR42" s="106"/>
      <c r="DS42" s="106"/>
      <c r="DT42" s="106"/>
      <c r="DU42" s="106"/>
      <c r="DV42" s="106"/>
      <c r="DW42" s="106"/>
      <c r="DX42" s="106"/>
      <c r="DY42" s="106"/>
    </row>
    <row r="43">
      <c r="A43" s="117" t="str">
        <f>IF(A42="","",IFS(L43="A",Montagem!$C$80,N43="T","Realizar a maior quantidade de repetições por "&amp;F42&amp;" segundos | ",N43="I",IF(M43="U","Manter a posição por "&amp;F42&amp;" segundos de um lado e trocar para o outro na sequência | ","Manter a posição por "&amp;F42&amp;" segundos | "),M43="A","Realizar alternadamente "&amp;F42&amp;" repetições cada lado | ",M43="U","Realizar "&amp;F42&amp;" repetições de um lado e trocar para o outro na sequência | ",L43="P",OFFSET(Biblioteca!$H$2,MATCH(M42,Biblioteca!$A$3:$A$200,0),0),TRUE,"")&amp;IF(N43="R","Ajuste a carga para que tenha "&amp;$K$2&amp;" repetições de reserva",""))</f>
        <v>Ajuste a carga para que tenha 0 a 2 repetições de reserva</v>
      </c>
      <c r="E43" s="118" t="str">
        <f>IF(A42="","",IFS(L43="H","Carga Sugerida: "&amp;ROUNDUP(O42/2,0)&amp;" kg de cada lado (Total: "&amp;ROUNDUP(O42/2,0)*2&amp;" kg)",L43="C","Este exercício usa o Peso Corporal como carga",L43="E","Este exercício usa a resistência da banda elástica como carga",L43="O","Carga Sugerida: "&amp;INT(O42)&amp;" kg",TRUE,""))</f>
        <v>Carga Sugerida: 18 kg</v>
      </c>
      <c r="J43" s="66"/>
      <c r="K43" s="106">
        <f>K42</f>
        <v>6</v>
      </c>
      <c r="L43" s="120" t="str">
        <f>LEFT(O43)</f>
        <v>O</v>
      </c>
      <c r="M43" s="121" t="str">
        <f>MID(O43,2,1)</f>
        <v>O</v>
      </c>
      <c r="N43" s="122" t="str">
        <f>RIGHT(O43)</f>
        <v>R</v>
      </c>
      <c r="O43" s="123" t="str">
        <f>IF(M42="","",OFFSET(Biblioteca!$I$2,MATCH(M42,Biblioteca!$A$3:$A$200,0),0))</f>
        <v>OOR</v>
      </c>
      <c r="P43" s="124"/>
      <c r="Q43" s="125"/>
      <c r="R43" s="117" t="str">
        <f>IF(R42="","",IFS(AC43="A",Montagem!$D$80,AE43="T","Realizar a maior quantidade de repetições por "&amp;W42&amp;" segundos | ",AE43="I",IF(AD43="U","Manter a posição por "&amp;W42&amp;" segundos de um lado e trocar para o outro na sequência | ","Manter a posição por "&amp;W42&amp;" segundos | "),AD43="A","Realizar alternadamente "&amp;W42&amp;" repetições cada lado | ",AD43="U","Realizar "&amp;W42&amp;" repetições de um lado e trocar para o outro na sequência | ",AC43="P",OFFSET(Biblioteca!$H$2,MATCH(AD42,Biblioteca!$A$3:$A$200,0),0),TRUE,"")&amp;IF(AE43="R","Ajuste a carga para que tenha "&amp;$K$2&amp;" repetições de reserva",""))</f>
        <v>Ajuste a carga para que tenha 0 a 2 repetições de reserva</v>
      </c>
      <c r="V43" s="118" t="str">
        <f>IF(R42="","",IFS(AC43="H","Carga Sugerida: "&amp;ROUNDUP(AF42/2,0)&amp;" kg de cada lado (Total: "&amp;ROUNDUP(AF42/2,0)*2&amp;" kg)",AC43="C","Este exercício usa o Peso Corporal como carga",AC43="E","Este exercício usa a resistência da banda elástica como carga",AC43="O","Carga Sugerida: "&amp;INT(AF42)&amp;" kg",TRUE,""))</f>
        <v>Carga Sugerida: 200 kg</v>
      </c>
      <c r="AA43" s="66"/>
      <c r="AB43" s="126">
        <f>AB42</f>
        <v>6</v>
      </c>
      <c r="AC43" s="120" t="str">
        <f>LEFT(AF43)</f>
        <v>O</v>
      </c>
      <c r="AD43" s="121" t="str">
        <f>MID(AF43,2,1)</f>
        <v>O</v>
      </c>
      <c r="AE43" s="122" t="str">
        <f>RIGHT(AF43)</f>
        <v>R</v>
      </c>
      <c r="AF43" s="123" t="str">
        <f>IF(AD42="","",OFFSET(Biblioteca!$I$2,MATCH(AD42,Biblioteca!$A$3:$A$200,0),0))</f>
        <v>OOR</v>
      </c>
      <c r="AG43" s="124"/>
      <c r="AH43" s="125"/>
      <c r="AI43" s="117" t="str">
        <f>IF(AI42="","",IFS(AT43="A",Montagem!$E$80,AV43="T","Realizar a maior quantidade de repetições por "&amp;AN42&amp;" segundos | ",AV43="I",IF(AU43="U","Manter a posição por "&amp;AN42&amp;" segundos de um lado e trocar para o outro na sequência | ","Manter a posição por "&amp;AN42&amp;" segundos | "),AU43="A","Realizar alternadamente "&amp;AN42&amp;" repetições cada lado | ",AU43="U","Realizar "&amp;AN42&amp;" repetições de um lado e trocar para o outro na sequência | ",AT43="P",OFFSET(Biblioteca!$H$2,MATCH(AU42,Biblioteca!$A$3:$A$200,0),0),TRUE,"")&amp;IF(AV43="R","Ajuste a carga para que tenha "&amp;$K$2&amp;" repetições de reserva",""))</f>
        <v/>
      </c>
      <c r="AM43" s="118" t="str">
        <f>IF(AI42="","",IFS(AT43="H","Carga Sugerida: "&amp;ROUNDUP(AW42/2,0)&amp;" kg de cada lado (Total: "&amp;ROUNDUP(AW42/2,0)*2&amp;" kg)",AT43="C","Este exercício usa o Peso Corporal como carga",AT43="E","Este exercício usa a resistência da banda elástica como carga",AT43="O","Carga Sugerida: "&amp;INT(AW42)&amp;" kg",TRUE,""))</f>
        <v/>
      </c>
      <c r="AR43" s="66"/>
      <c r="AS43" s="126">
        <f>AS42</f>
        <v>1</v>
      </c>
      <c r="AT43" s="120" t="str">
        <f>LEFT(AW43)</f>
        <v/>
      </c>
      <c r="AU43" s="121" t="str">
        <f>MID(AW43,2,1)</f>
        <v/>
      </c>
      <c r="AV43" s="122" t="str">
        <f>RIGHT(AW43)</f>
        <v/>
      </c>
      <c r="AW43" s="123" t="str">
        <f>IF(AU42="","",OFFSET(Biblioteca!$I$2,MATCH(AU42,Biblioteca!$A$3:$A$200,0),0))</f>
        <v/>
      </c>
      <c r="AX43" s="124"/>
      <c r="AY43" s="125"/>
      <c r="AZ43" s="117" t="str">
        <f>IF(AZ42="","",IFS(BK43="A",Montagem!$F$80,BM43="T","Realizar a maior quantidade de repetições por "&amp;BE42&amp;" segundos | ",BM43="I",IF(BL43="U","Manter a posição por "&amp;BE42&amp;" segundos de um lado e trocar para o outro na sequência | ","Manter a posição por "&amp;BE42&amp;" segundos | "),BL43="A","Realizar alternadamente "&amp;BE42&amp;" repetições cada lado | ",BL43="U","Realizar "&amp;BE42&amp;" repetições de um lado e trocar para o outro na sequência | ",BK43="P",OFFSET(Biblioteca!$H$2,MATCH(BL42,Biblioteca!$A$3:$A$200,0),0),TRUE,"")&amp;IF(BM43="R","Ajuste a carga para que tenha "&amp;$K$2&amp;" repetições de reserva",""))</f>
        <v>Ajuste a carga para que tenha 0 a 2 repetições de reserva</v>
      </c>
      <c r="BD43" s="118" t="str">
        <f>IF(AZ42="","",IFS(BK43="H","Carga Sugerida: "&amp;ROUNDUP(BN42/2,0)&amp;" kg de cada lado (Total: "&amp;ROUNDUP(BN42/2,0)*2&amp;" kg)",BK43="C","Este exercício usa o Peso Corporal como carga",BK43="E","Este exercício usa a resistência da banda elástica como carga",BK43="O","Carga Sugerida: "&amp;INT(BN42)&amp;" kg",TRUE,""))</f>
        <v>Este exercício usa o Peso Corporal como carga</v>
      </c>
      <c r="BI43" s="66"/>
      <c r="BJ43" s="126">
        <f>BJ42</f>
        <v>5</v>
      </c>
      <c r="BK43" s="120" t="str">
        <f>LEFT(BN43)</f>
        <v>C</v>
      </c>
      <c r="BL43" s="121" t="str">
        <f>MID(BN43,2,1)</f>
        <v>O</v>
      </c>
      <c r="BM43" s="122" t="str">
        <f>RIGHT(BN43)</f>
        <v>R</v>
      </c>
      <c r="BN43" s="123" t="str">
        <f>IF(BL42="","",OFFSET(Biblioteca!$I$2,MATCH(BL42,Biblioteca!$A$3:$A$200,0),0))</f>
        <v>COR</v>
      </c>
      <c r="BO43" s="124"/>
      <c r="BP43" s="125"/>
      <c r="BQ43" s="117" t="str">
        <f>IF(BQ42="","",IFS(CB43="A",Montagem!$G$80,CD43="T","Realizar a maior quantidade de repetições por "&amp;BV42&amp;" segundos | ",CD43="I",IF(CC43="U","Manter a posição por "&amp;BV42&amp;" segundos de um lado e trocar para o outro na sequência | ","Manter a posição por "&amp;BV42&amp;" segundos | "),CC43="A","Realizar alternadamente "&amp;BV42&amp;" repetições cada lado | ",CC43="U","Realizar "&amp;BV42&amp;" repetições de um lado e trocar para o outro na sequência | ",CB43="P",OFFSET(Biblioteca!$H$2,MATCH(CC42,Biblioteca!$A$3:$A$200,0),0),TRUE,"")&amp;IF(CD43="R","Ajuste a carga para que tenha "&amp;$K$2&amp;" repetições de reserva",""))</f>
        <v>Realizar 10 repetições de um lado e trocar para o outro na sequência | Ajuste a carga para que tenha 0 a 2 repetições de reserva</v>
      </c>
      <c r="BU43" s="118" t="str">
        <f>IF(BQ42="","",IFS(CB43="H","Carga Sugerida: "&amp;ROUNDUP(CE42/2,0)&amp;" kg de cada lado (Total: "&amp;ROUNDUP(CE42/2,0)*2&amp;" kg)",CB43="C","Este exercício usa o Peso Corporal como carga",CB43="E","Este exercício usa a resistência da banda elástica como carga",CB43="O","Carga Sugerida: "&amp;INT(CE42)&amp;" kg",TRUE,""))</f>
        <v>Este exercício usa a resistência da banda elástica como carga</v>
      </c>
      <c r="BZ43" s="66"/>
      <c r="CA43" s="126">
        <f>CA42</f>
        <v>5</v>
      </c>
      <c r="CB43" s="120" t="str">
        <f>LEFT(CE43)</f>
        <v>E</v>
      </c>
      <c r="CC43" s="121" t="str">
        <f>MID(CE43,2,1)</f>
        <v>U</v>
      </c>
      <c r="CD43" s="122" t="str">
        <f>RIGHT(CE43)</f>
        <v>R</v>
      </c>
      <c r="CE43" s="123" t="str">
        <f>IF(CC42="","",OFFSET(Biblioteca!$I$2,MATCH(CC42,Biblioteca!$A$3:$A$200,0),0))</f>
        <v>EUR</v>
      </c>
      <c r="CF43" s="124"/>
      <c r="CG43" s="125"/>
      <c r="CH43" s="117" t="str">
        <f>IF(CH42="","",IFS(CS43="A",Montagem!$H$80,CU43="T","Realizar a maior quantidade de repetições por "&amp;CM42&amp;" segundos | ",CU43="I",IF(CT43="U","Manter a posição por "&amp;CM42&amp;" segundos de um lado e trocar para o outro na sequência | ","Manter a posição por "&amp;CM42&amp;" segundos | "),CT43="A","Realizar alternadamente "&amp;CM42&amp;" repetições cada lado | ",CT43="U","Realizar "&amp;CM42&amp;" repetições de um lado e trocar para o outro na sequência | ",CS43="P",OFFSET(Biblioteca!$H$2,MATCH(CT42,Biblioteca!$A$3:$A$200,0),0),TRUE,"")&amp;IF(CU43="R","Ajuste a carga para que tenha "&amp;$K$2&amp;" repetições de reserva",""))</f>
        <v/>
      </c>
      <c r="CL43" s="118" t="str">
        <f>IF(CH42="","",IFS(CS43="H","Carga Sugerida: "&amp;ROUNDUP(CV42/2,0)&amp;" kg de cada lado (Total: "&amp;ROUNDUP(CV42/2,0)*2&amp;" kg)",CS43="C","Este exercício usa o Peso Corporal como carga",CS43="E","Este exercício usa a resistência da banda elástica como carga",CS43="O","Carga Sugerida: "&amp;INT(CV42)&amp;" kg",TRUE,""))</f>
        <v/>
      </c>
      <c r="CQ43" s="66"/>
      <c r="CR43" s="126">
        <f>CR42</f>
        <v>1</v>
      </c>
      <c r="CS43" s="120" t="str">
        <f>LEFT(CV43)</f>
        <v/>
      </c>
      <c r="CT43" s="121" t="str">
        <f>MID(CV43,2,1)</f>
        <v/>
      </c>
      <c r="CU43" s="122" t="str">
        <f>RIGHT(CV43)</f>
        <v/>
      </c>
      <c r="CV43" s="123" t="str">
        <f>IF(CT42="","",OFFSET(Biblioteca!$I$2,MATCH(CT42,Biblioteca!$A$3:$A$200,0),0))</f>
        <v/>
      </c>
      <c r="CW43" s="124"/>
      <c r="CX43" s="125"/>
      <c r="CY43" s="117" t="str">
        <f>IF(CY42="","",IFS(DJ43="A",Montagem!$I$80,DL43="T","Realizar a maior quantidade de repetições por "&amp;DD42&amp;" segundos | ",DL43="I",IF(DK43="U","Manter a posição por "&amp;DD42&amp;" segundos de um lado e trocar para o outro na sequência | ","Manter a posição por "&amp;DD42&amp;" segundos | "),DK43="A","Realizar alternadamente "&amp;DD42&amp;" repetições cada lado | ",DK43="U","Realizar "&amp;DD42&amp;" repetições de um lado e trocar para o outro na sequência | ",DJ43="P",OFFSET(Biblioteca!$H$2,MATCH(DK42,Biblioteca!$A$3:$A$200,0),0),TRUE,"")&amp;IF(DL43="R","Ajuste a carga para que tenha "&amp;$K$2&amp;" repetições de reserva",""))</f>
        <v/>
      </c>
      <c r="DC43" s="118" t="str">
        <f>IF(CY42="","",IFS(DJ43="H","Carga Sugerida: "&amp;ROUNDUP(DM42/2,0)&amp;" kg de cada lado (Total: "&amp;ROUNDUP(DM42/2,0)*2&amp;" kg)",DJ43="C","Este exercício usa o Peso Corporal como carga",DJ43="E","Este exercício usa a resistência da banda elástica como carga",DJ43="O","Carga Sugerida: "&amp;INT(DM42)&amp;" kg",TRUE,""))</f>
        <v/>
      </c>
      <c r="DH43" s="66"/>
      <c r="DI43" s="126">
        <f>DI42</f>
        <v>1</v>
      </c>
      <c r="DJ43" s="120" t="str">
        <f>LEFT(DM43)</f>
        <v/>
      </c>
      <c r="DK43" s="121" t="str">
        <f>MID(DM43,2,1)</f>
        <v/>
      </c>
      <c r="DL43" s="122" t="str">
        <f>RIGHT(DM43)</f>
        <v/>
      </c>
      <c r="DM43" s="123" t="str">
        <f>IF(DK42="","",OFFSET(Biblioteca!$I$2,MATCH(DK42,Biblioteca!$A$3:$A$200,0),0))</f>
        <v/>
      </c>
      <c r="DN43" s="124"/>
      <c r="DO43" s="125"/>
      <c r="DP43" s="57"/>
      <c r="DQ43" s="56"/>
      <c r="DR43" s="56"/>
      <c r="DS43" s="56"/>
      <c r="DT43" s="56"/>
      <c r="DU43" s="56"/>
      <c r="DV43" s="56"/>
      <c r="DW43" s="56"/>
      <c r="DX43" s="56"/>
      <c r="DY43" s="56"/>
    </row>
    <row r="44">
      <c r="A44" s="115" t="str">
        <f>IF(M44="","",HYPERLINK(OFFSET(Biblioteca!$B$2,MATCH(M44,Biblioteca!$A$3:$A$200,0),0),M44))</f>
        <v>Esteira</v>
      </c>
      <c r="D44" s="103" t="str">
        <f>Montagem!Q80</f>
        <v/>
      </c>
      <c r="E44" s="104" t="str">
        <f>Montagem!R80</f>
        <v/>
      </c>
      <c r="F44" s="104" t="str">
        <f>Montagem!S80</f>
        <v/>
      </c>
      <c r="G44" s="104">
        <f>Montagem!T80</f>
        <v>60</v>
      </c>
      <c r="H44" s="104" t="str">
        <f>Montagem!U80</f>
        <v/>
      </c>
      <c r="I44" s="132" t="str">
        <f>Montagem!V80</f>
        <v/>
      </c>
      <c r="J44" s="105">
        <v>10.0</v>
      </c>
      <c r="K44" s="106">
        <f>Montagem!K80</f>
        <v>7</v>
      </c>
      <c r="L44" s="111">
        <f>Montagem!W80</f>
        <v>0</v>
      </c>
      <c r="M44" s="111" t="str">
        <f>Montagem!L80</f>
        <v>Esteira</v>
      </c>
      <c r="N44" s="111" t="str">
        <f>Montagem!X80</f>
        <v/>
      </c>
      <c r="O44" s="106">
        <f>IF(N44="",L44,N44)</f>
        <v>0</v>
      </c>
      <c r="P44" s="106">
        <f>IF(L45="C",'Dados de Base'!$D$5*0.1,IF(L45="E",5,IF(J44="",O44,J44)))</f>
        <v>10</v>
      </c>
      <c r="Q44" s="108"/>
      <c r="R44" s="115" t="str">
        <f>IF(AD44="","",HYPERLINK(OFFSET(Biblioteca!$B$2,MATCH(AD44,Biblioteca!$A$3:$A$200,0),0),AD44))</f>
        <v>Bicicleta</v>
      </c>
      <c r="U44" s="109" t="str">
        <f>Montagem!AF80</f>
        <v/>
      </c>
      <c r="V44" s="110" t="str">
        <f>Montagem!AG80</f>
        <v/>
      </c>
      <c r="W44" s="110" t="str">
        <f>Montagem!AH80</f>
        <v/>
      </c>
      <c r="X44" s="110">
        <f>Montagem!AI80</f>
        <v>60</v>
      </c>
      <c r="Y44" s="110" t="str">
        <f>Montagem!AJ80</f>
        <v/>
      </c>
      <c r="Z44" s="110" t="str">
        <f>Montagem!AK80</f>
        <v/>
      </c>
      <c r="AA44" s="113">
        <v>10.0</v>
      </c>
      <c r="AB44" s="111">
        <f>Montagem!Z80</f>
        <v>7</v>
      </c>
      <c r="AC44" s="111">
        <f>Montagem!AL80</f>
        <v>0</v>
      </c>
      <c r="AD44" s="129" t="str">
        <f>Montagem!AA80</f>
        <v>Bicicleta</v>
      </c>
      <c r="AE44" s="111" t="str">
        <f>Montagem!AM80</f>
        <v/>
      </c>
      <c r="AF44" s="106">
        <f>IF(AE44="",AC44,AE44)</f>
        <v>0</v>
      </c>
      <c r="AG44" s="106">
        <f>IF(AC45="C",'Dados de Base'!$D$5*0.1,IF(AC45="E",5,IF(AA44="",AF44,AA44)))</f>
        <v>10</v>
      </c>
      <c r="AH44" s="108"/>
      <c r="AI44" s="115" t="str">
        <f>IF(AU44="","",HYPERLINK(OFFSET(Biblioteca!$B$2,MATCH(AU44,Biblioteca!$A$3:$A$200,0),0),AU44))</f>
        <v/>
      </c>
      <c r="AL44" s="109" t="str">
        <f>Montagem!AU80</f>
        <v/>
      </c>
      <c r="AM44" s="110" t="str">
        <f>Montagem!AV80</f>
        <v/>
      </c>
      <c r="AN44" s="110" t="str">
        <f>Montagem!AW80</f>
        <v/>
      </c>
      <c r="AO44" s="110" t="str">
        <f>Montagem!AX80</f>
        <v/>
      </c>
      <c r="AP44" s="110" t="str">
        <f>Montagem!AY80</f>
        <v/>
      </c>
      <c r="AQ44" s="110" t="str">
        <f>Montagem!AZ80</f>
        <v/>
      </c>
      <c r="AR44" s="114"/>
      <c r="AS44" s="111">
        <f>Montagem!AO80</f>
        <v>1</v>
      </c>
      <c r="AT44" s="111" t="str">
        <f>Montagem!BA80</f>
        <v/>
      </c>
      <c r="AU44" s="111" t="str">
        <f>Montagem!AP80</f>
        <v/>
      </c>
      <c r="AV44" s="111" t="str">
        <f>Montagem!BB80</f>
        <v/>
      </c>
      <c r="AW44" s="106" t="str">
        <f>IF(AV44="",AT44,AV44)</f>
        <v/>
      </c>
      <c r="AX44" s="106" t="str">
        <f>IF(AT45="C",'Dados de Base'!$D$5*0.1,IF(AT45="E",5,IF(AR44="",AW44,AR44)))</f>
        <v/>
      </c>
      <c r="AY44" s="108"/>
      <c r="AZ44" s="102" t="str">
        <f>IF(BL44="","",HYPERLINK(OFFSET(Biblioteca!$B$2,MATCH(BL44,Biblioteca!$A$3:$A$200,0),0),BL44))</f>
        <v>Abdominal canoa lateral</v>
      </c>
      <c r="BC44" s="109" t="str">
        <f>Montagem!BJ80</f>
        <v>Tri-SET</v>
      </c>
      <c r="BD44" s="110">
        <f>Montagem!BK80</f>
        <v>3</v>
      </c>
      <c r="BE44" s="110">
        <f>Montagem!BL80</f>
        <v>15</v>
      </c>
      <c r="BF44" s="110" t="str">
        <f>Montagem!BM80</f>
        <v/>
      </c>
      <c r="BG44" s="110">
        <f>Montagem!BN80</f>
        <v>1</v>
      </c>
      <c r="BH44" s="110">
        <f>Montagem!BO80</f>
        <v>1</v>
      </c>
      <c r="BI44" s="113">
        <v>10.0</v>
      </c>
      <c r="BJ44" s="111">
        <f>Montagem!BD80</f>
        <v>5</v>
      </c>
      <c r="BK44" s="111">
        <f>Montagem!BP80</f>
        <v>0</v>
      </c>
      <c r="BL44" s="111" t="str">
        <f>Montagem!BE80</f>
        <v>Abdominal canoa lateral</v>
      </c>
      <c r="BM44" s="111" t="str">
        <f>Montagem!BQ80</f>
        <v/>
      </c>
      <c r="BN44" s="106">
        <f>IF(BM44="",BK44,BM44)</f>
        <v>0</v>
      </c>
      <c r="BO44" s="106">
        <f>IF(BK45="C",'Dados de Base'!$D$5*0.1,IF(BK45="E",5,IF(BI44="",BN44,BI44)))</f>
        <v>6.3</v>
      </c>
      <c r="BP44" s="108"/>
      <c r="BQ44" s="102" t="str">
        <f>IF(CC44="","",HYPERLINK(OFFSET(Biblioteca!$B$2,MATCH(CC44,Biblioteca!$A$3:$A$200,0),0),CC44))</f>
        <v>Abdominal infra no solo</v>
      </c>
      <c r="BT44" s="109" t="str">
        <f>Montagem!BY80</f>
        <v>Bi-SET</v>
      </c>
      <c r="BU44" s="110">
        <f>Montagem!BZ80</f>
        <v>3</v>
      </c>
      <c r="BV44" s="110">
        <f>Montagem!CA80</f>
        <v>15</v>
      </c>
      <c r="BW44" s="110" t="str">
        <f>Montagem!CB80</f>
        <v/>
      </c>
      <c r="BX44" s="110">
        <f>Montagem!CC80</f>
        <v>1</v>
      </c>
      <c r="BY44" s="110">
        <f>Montagem!CD80</f>
        <v>1</v>
      </c>
      <c r="BZ44" s="113">
        <v>10.0</v>
      </c>
      <c r="CA44" s="111">
        <f>Montagem!BS80</f>
        <v>6</v>
      </c>
      <c r="CB44" s="111">
        <f>Montagem!CE80</f>
        <v>0</v>
      </c>
      <c r="CC44" s="111" t="str">
        <f>Montagem!BT80</f>
        <v>Abdominal infra no solo</v>
      </c>
      <c r="CD44" s="111" t="str">
        <f>Montagem!CF80</f>
        <v/>
      </c>
      <c r="CE44" s="106">
        <f>IF(CD44="",CB44,CD44)</f>
        <v>0</v>
      </c>
      <c r="CF44" s="106">
        <f>IF(CB45="C",'Dados de Base'!$D$5*0.1,IF(CB45="E",5,IF(BZ44="",CE44,BZ44)))</f>
        <v>6.3</v>
      </c>
      <c r="CG44" s="108"/>
      <c r="CH44" s="115" t="str">
        <f>IF(CT44="","",HYPERLINK(OFFSET(Biblioteca!$B$2,MATCH(CT44,Biblioteca!$A$3:$A$200,0),0),CT44))</f>
        <v/>
      </c>
      <c r="CK44" s="109" t="str">
        <f>Montagem!CN80</f>
        <v/>
      </c>
      <c r="CL44" s="110" t="str">
        <f>Montagem!CO80</f>
        <v/>
      </c>
      <c r="CM44" s="110" t="str">
        <f>Montagem!CP80</f>
        <v/>
      </c>
      <c r="CN44" s="110" t="str">
        <f>Montagem!CQ80</f>
        <v/>
      </c>
      <c r="CO44" s="110" t="str">
        <f>Montagem!CR80</f>
        <v/>
      </c>
      <c r="CP44" s="110" t="str">
        <f>Montagem!CS80</f>
        <v/>
      </c>
      <c r="CQ44" s="114"/>
      <c r="CR44" s="111">
        <f>Montagem!CH80</f>
        <v>1</v>
      </c>
      <c r="CS44" s="111" t="str">
        <f>Montagem!CT80</f>
        <v/>
      </c>
      <c r="CT44" s="111" t="str">
        <f>Montagem!CI80</f>
        <v/>
      </c>
      <c r="CU44" s="111" t="str">
        <f>Montagem!CU80</f>
        <v/>
      </c>
      <c r="CV44" s="106" t="str">
        <f>IF(CU44="",CS44,CU44)</f>
        <v/>
      </c>
      <c r="CW44" s="106" t="str">
        <f>IF(CS45="C",'Dados de Base'!$D$5*0.1,IF(CS45="E",5,IF(CQ44="",CV44,CQ44)))</f>
        <v/>
      </c>
      <c r="CX44" s="108"/>
      <c r="CY44" s="115" t="str">
        <f>IF(DK44="","",HYPERLINK(OFFSET(Biblioteca!$B$2,MATCH(DK44,Biblioteca!$A$3:$A$200,0),0),DK44))</f>
        <v/>
      </c>
      <c r="DB44" s="130" t="str">
        <f>Montagem!DC80</f>
        <v/>
      </c>
      <c r="DC44" s="131" t="str">
        <f>Montagem!DD80</f>
        <v/>
      </c>
      <c r="DD44" s="131" t="str">
        <f>Montagem!DE80</f>
        <v/>
      </c>
      <c r="DE44" s="131" t="str">
        <f>Montagem!DF80</f>
        <v/>
      </c>
      <c r="DF44" s="131" t="str">
        <f>Montagem!DG80</f>
        <v/>
      </c>
      <c r="DG44" s="131" t="str">
        <f>Montagem!DH80</f>
        <v/>
      </c>
      <c r="DH44" s="114"/>
      <c r="DI44" s="111">
        <f>Montagem!CW80</f>
        <v>1</v>
      </c>
      <c r="DJ44" s="111" t="str">
        <f>Montagem!DI80</f>
        <v/>
      </c>
      <c r="DK44" s="111" t="str">
        <f>Montagem!CX80</f>
        <v/>
      </c>
      <c r="DL44" s="111" t="str">
        <f>Montagem!DJ80</f>
        <v/>
      </c>
      <c r="DM44" s="106" t="str">
        <f>IF(DL44="",DJ44,DL44)</f>
        <v/>
      </c>
      <c r="DN44" s="106" t="str">
        <f>IF(DJ45="C",'Dados de Base'!$D$5*0.1,IF(DJ45="E",5,IF(DH44="",DM44,DH44)))</f>
        <v/>
      </c>
      <c r="DO44" s="108"/>
      <c r="DP44" s="106"/>
      <c r="DQ44" s="106"/>
      <c r="DR44" s="106"/>
      <c r="DS44" s="106"/>
      <c r="DT44" s="106"/>
      <c r="DU44" s="106"/>
      <c r="DV44" s="106"/>
      <c r="DW44" s="106"/>
      <c r="DX44" s="106"/>
      <c r="DY44" s="106"/>
    </row>
    <row r="45">
      <c r="A45" s="117" t="str">
        <f>IF(A44="","",IFS(L45="A",Montagem!$C$80,N45="T","Realizar a maior quantidade de repetições por "&amp;F44&amp;" segundos | ",N45="I",IF(M45="U","Manter a posição por "&amp;F44&amp;" segundos de um lado e trocar para o outro na sequência | ","Manter a posição por "&amp;F44&amp;" segundos | "),M45="A","Realizar alternadamente "&amp;F44&amp;" repetições cada lado | ",M45="U","Realizar "&amp;F44&amp;" repetições de um lado e trocar para o outro na sequência | ",L45="P",OFFSET(Biblioteca!$H$2,MATCH(M44,Biblioteca!$A$3:$A$200,0),0),TRUE,"")&amp;IF(N45="R","Ajuste a carga para que tenha "&amp;$K$2&amp;" repetições de reserva",""))</f>
        <v>1x (3m a 142,95 - 148,3 bpm-&gt; 15,4 - 16,4km/h)</v>
      </c>
      <c r="E45" s="118" t="str">
        <f>IF(A44="","",IFS(L45="H","Carga Sugerida: "&amp;ROUNDUP(O44/2,0)&amp;" kg de cada lado (Total: "&amp;ROUNDUP(O44/2,0)*2&amp;" kg)",L45="C","Este exercício usa o Peso Corporal como carga",L45="E","Este exercício usa a resistência da banda elástica como carga",L45="O","Carga Sugerida: "&amp;INT(O44)&amp;" kg",TRUE,""))</f>
        <v/>
      </c>
      <c r="J45" s="66"/>
      <c r="K45" s="106">
        <f>K44</f>
        <v>7</v>
      </c>
      <c r="L45" s="120" t="str">
        <f>LEFT(O45)</f>
        <v>A</v>
      </c>
      <c r="M45" s="121" t="str">
        <f>MID(O45,2,1)</f>
        <v>-</v>
      </c>
      <c r="N45" s="122" t="str">
        <f>RIGHT(O45)</f>
        <v>-</v>
      </c>
      <c r="O45" s="123" t="str">
        <f>IF(M44="","",OFFSET(Biblioteca!$I$2,MATCH(M44,Biblioteca!$A$3:$A$200,0),0))</f>
        <v>A--</v>
      </c>
      <c r="P45" s="124"/>
      <c r="Q45" s="125"/>
      <c r="R45" s="117" t="str">
        <f>IF(R44="","",IFS(AC45="A",Montagem!$D$80,AE45="T","Realizar a maior quantidade de repetições por "&amp;W44&amp;" segundos | ",AE45="I",IF(AD45="U","Manter a posição por "&amp;W44&amp;" segundos de um lado e trocar para o outro na sequência | ","Manter a posição por "&amp;W44&amp;" segundos | "),AD45="A","Realizar alternadamente "&amp;W44&amp;" repetições cada lado | ",AD45="U","Realizar "&amp;W44&amp;" repetições de um lado e trocar para o outro na sequência | ",AC45="P",OFFSET(Biblioteca!$H$2,MATCH(AD44,Biblioteca!$A$3:$A$200,0),0),TRUE,"")&amp;IF(AE45="R","Ajuste a carga para que tenha "&amp;$K$2&amp;" repetições de reserva",""))</f>
        <v>1x (3m all out)</v>
      </c>
      <c r="V45" s="118" t="str">
        <f>IF(R44="","",IFS(AC45="H","Carga Sugerida: "&amp;ROUNDUP(AF44/2,0)&amp;" kg de cada lado (Total: "&amp;ROUNDUP(AF44/2,0)*2&amp;" kg)",AC45="C","Este exercício usa o Peso Corporal como carga",AC45="E","Este exercício usa a resistência da banda elástica como carga",AC45="O","Carga Sugerida: "&amp;INT(AF44)&amp;" kg",TRUE,""))</f>
        <v/>
      </c>
      <c r="AA45" s="66"/>
      <c r="AB45" s="126">
        <f>AB44</f>
        <v>7</v>
      </c>
      <c r="AC45" s="120" t="str">
        <f>LEFT(AF45)</f>
        <v>A</v>
      </c>
      <c r="AD45" s="121" t="str">
        <f>MID(AF45,2,1)</f>
        <v>-</v>
      </c>
      <c r="AE45" s="122" t="str">
        <f>RIGHT(AF45)</f>
        <v>-</v>
      </c>
      <c r="AF45" s="123" t="str">
        <f>IF(AD44="","",OFFSET(Biblioteca!$I$2,MATCH(AD44,Biblioteca!$A$3:$A$200,0),0))</f>
        <v>A--</v>
      </c>
      <c r="AG45" s="124"/>
      <c r="AH45" s="125"/>
      <c r="AI45" s="117" t="str">
        <f>IF(AI44="","",IFS(AT45="A",Montagem!$E$80,AV45="T","Realizar a maior quantidade de repetições por "&amp;AN44&amp;" segundos | ",AV45="I",IF(AU45="U","Manter a posição por "&amp;AN44&amp;" segundos de um lado e trocar para o outro na sequência | ","Manter a posição por "&amp;AN44&amp;" segundos | "),AU45="A","Realizar alternadamente "&amp;AN44&amp;" repetições cada lado | ",AU45="U","Realizar "&amp;AN44&amp;" repetições de um lado e trocar para o outro na sequência | ",AT45="P",OFFSET(Biblioteca!$H$2,MATCH(AU44,Biblioteca!$A$3:$A$200,0),0),TRUE,"")&amp;IF(AV45="R","Ajuste a carga para que tenha "&amp;$K$2&amp;" repetições de reserva",""))</f>
        <v/>
      </c>
      <c r="AM45" s="118" t="str">
        <f>IF(AI44="","",IFS(AT45="H","Carga Sugerida: "&amp;ROUNDUP(AW44/2,0)&amp;" kg de cada lado (Total: "&amp;ROUNDUP(AW44/2,0)*2&amp;" kg)",AT45="C","Este exercício usa o Peso Corporal como carga",AT45="E","Este exercício usa a resistência da banda elástica como carga",AT45="O","Carga Sugerida: "&amp;INT(AW44)&amp;" kg",TRUE,""))</f>
        <v/>
      </c>
      <c r="AR45" s="66"/>
      <c r="AS45" s="126">
        <f>AS44</f>
        <v>1</v>
      </c>
      <c r="AT45" s="120" t="str">
        <f>LEFT(AW45)</f>
        <v/>
      </c>
      <c r="AU45" s="121" t="str">
        <f>MID(AW45,2,1)</f>
        <v/>
      </c>
      <c r="AV45" s="122" t="str">
        <f>RIGHT(AW45)</f>
        <v/>
      </c>
      <c r="AW45" s="123" t="str">
        <f>IF(AU44="","",OFFSET(Biblioteca!$I$2,MATCH(AU44,Biblioteca!$A$3:$A$200,0),0))</f>
        <v/>
      </c>
      <c r="AX45" s="124"/>
      <c r="AY45" s="125"/>
      <c r="AZ45" s="117" t="str">
        <f>IF(AZ44="","",IFS(BK45="A",Montagem!$F$80,BM45="T","Realizar a maior quantidade de repetições por "&amp;BE44&amp;" segundos | ",BM45="I",IF(BL45="U","Manter a posição por "&amp;BE44&amp;" segundos de um lado e trocar para o outro na sequência | ","Manter a posição por "&amp;BE44&amp;" segundos | "),BL45="A","Realizar alternadamente "&amp;BE44&amp;" repetições cada lado | ",BL45="U","Realizar "&amp;BE44&amp;" repetições de um lado e trocar para o outro na sequência | ",BK45="P",OFFSET(Biblioteca!$H$2,MATCH(BL44,Biblioteca!$A$3:$A$200,0),0),TRUE,"")&amp;IF(BM45="R","Ajuste a carga para que tenha "&amp;$K$2&amp;" repetições de reserva",""))</f>
        <v>Realizar 15 repetições de um lado e trocar para o outro na sequência | Ajuste a carga para que tenha 0 a 2 repetições de reserva</v>
      </c>
      <c r="BD45" s="118" t="str">
        <f>IF(AZ44="","",IFS(BK45="H","Carga Sugerida: "&amp;ROUNDUP(BN44/2,0)&amp;" kg de cada lado (Total: "&amp;ROUNDUP(BN44/2,0)*2&amp;" kg)",BK45="C","Este exercício usa o Peso Corporal como carga",BK45="E","Este exercício usa a resistência da banda elástica como carga",BK45="O","Carga Sugerida: "&amp;INT(BN44)&amp;" kg",TRUE,""))</f>
        <v>Este exercício usa o Peso Corporal como carga</v>
      </c>
      <c r="BI45" s="66"/>
      <c r="BJ45" s="126">
        <f>BJ44</f>
        <v>5</v>
      </c>
      <c r="BK45" s="120" t="str">
        <f>LEFT(BN45)</f>
        <v>C</v>
      </c>
      <c r="BL45" s="121" t="str">
        <f>MID(BN45,2,1)</f>
        <v>U</v>
      </c>
      <c r="BM45" s="122" t="str">
        <f>RIGHT(BN45)</f>
        <v>R</v>
      </c>
      <c r="BN45" s="123" t="str">
        <f>IF(BL44="","",OFFSET(Biblioteca!$I$2,MATCH(BL44,Biblioteca!$A$3:$A$200,0),0))</f>
        <v>CUR</v>
      </c>
      <c r="BO45" s="124"/>
      <c r="BP45" s="125"/>
      <c r="BQ45" s="117" t="str">
        <f>IF(BQ44="","",IFS(CB45="A",Montagem!$G$80,CD45="T","Realizar a maior quantidade de repetições por "&amp;BV44&amp;" segundos | ",CD45="I",IF(CC45="U","Manter a posição por "&amp;BV44&amp;" segundos de um lado e trocar para o outro na sequência | ","Manter a posição por "&amp;BV44&amp;" segundos | "),CC45="A","Realizar alternadamente "&amp;BV44&amp;" repetições cada lado | ",CC45="U","Realizar "&amp;BV44&amp;" repetições de um lado e trocar para o outro na sequência | ",CB45="P",OFFSET(Biblioteca!$H$2,MATCH(CC44,Biblioteca!$A$3:$A$200,0),0),TRUE,"")&amp;IF(CD45="R","Ajuste a carga para que tenha "&amp;$K$2&amp;" repetições de reserva",""))</f>
        <v>Ajuste a carga para que tenha 0 a 2 repetições de reserva</v>
      </c>
      <c r="BU45" s="118" t="str">
        <f>IF(BQ44="","",IFS(CB45="H","Carga Sugerida: "&amp;ROUNDUP(CE44/2,0)&amp;" kg de cada lado (Total: "&amp;ROUNDUP(CE44/2,0)*2&amp;" kg)",CB45="C","Este exercício usa o Peso Corporal como carga",CB45="E","Este exercício usa a resistência da banda elástica como carga",CB45="O","Carga Sugerida: "&amp;INT(CE44)&amp;" kg",TRUE,""))</f>
        <v>Este exercício usa o Peso Corporal como carga</v>
      </c>
      <c r="BZ45" s="66"/>
      <c r="CA45" s="126">
        <f>CA44</f>
        <v>6</v>
      </c>
      <c r="CB45" s="120" t="str">
        <f>LEFT(CE45)</f>
        <v>C</v>
      </c>
      <c r="CC45" s="121" t="str">
        <f>MID(CE45,2,1)</f>
        <v>O</v>
      </c>
      <c r="CD45" s="122" t="str">
        <f>RIGHT(CE45)</f>
        <v>R</v>
      </c>
      <c r="CE45" s="123" t="str">
        <f>IF(CC44="","",OFFSET(Biblioteca!$I$2,MATCH(CC44,Biblioteca!$A$3:$A$200,0),0))</f>
        <v>COR</v>
      </c>
      <c r="CF45" s="124"/>
      <c r="CG45" s="125"/>
      <c r="CH45" s="117" t="str">
        <f>IF(CH44="","",IFS(CS45="A",Montagem!$H$80,CU45="T","Realizar a maior quantidade de repetições por "&amp;CM44&amp;" segundos | ",CU45="I",IF(CT45="U","Manter a posição por "&amp;CM44&amp;" segundos de um lado e trocar para o outro na sequência | ","Manter a posição por "&amp;CM44&amp;" segundos | "),CT45="A","Realizar alternadamente "&amp;CM44&amp;" repetições cada lado | ",CT45="U","Realizar "&amp;CM44&amp;" repetições de um lado e trocar para o outro na sequência | ",CS45="P",OFFSET(Biblioteca!$H$2,MATCH(CT44,Biblioteca!$A$3:$A$200,0),0),TRUE,"")&amp;IF(CU45="R","Ajuste a carga para que tenha "&amp;$K$2&amp;" repetições de reserva",""))</f>
        <v/>
      </c>
      <c r="CL45" s="118" t="str">
        <f>IF(CH44="","",IFS(CS45="H","Carga Sugerida: "&amp;ROUNDUP(CV44/2,0)&amp;" kg de cada lado (Total: "&amp;ROUNDUP(CV44/2,0)*2&amp;" kg)",CS45="C","Este exercício usa o Peso Corporal como carga",CS45="E","Este exercício usa a resistência da banda elástica como carga",CS45="O","Carga Sugerida: "&amp;INT(CV44)&amp;" kg",TRUE,""))</f>
        <v/>
      </c>
      <c r="CQ45" s="66"/>
      <c r="CR45" s="126">
        <f>CR44</f>
        <v>1</v>
      </c>
      <c r="CS45" s="120" t="str">
        <f>LEFT(CV45)</f>
        <v/>
      </c>
      <c r="CT45" s="121" t="str">
        <f>MID(CV45,2,1)</f>
        <v/>
      </c>
      <c r="CU45" s="122" t="str">
        <f>RIGHT(CV45)</f>
        <v/>
      </c>
      <c r="CV45" s="123" t="str">
        <f>IF(CT44="","",OFFSET(Biblioteca!$I$2,MATCH(CT44,Biblioteca!$A$3:$A$200,0),0))</f>
        <v/>
      </c>
      <c r="CW45" s="124"/>
      <c r="CX45" s="125"/>
      <c r="CY45" s="117" t="str">
        <f>IF(CY44="","",IFS(DJ45="A",Montagem!$I$80,DL45="T","Realizar a maior quantidade de repetições por "&amp;DD44&amp;" segundos | ",DL45="I",IF(DK45="U","Manter a posição por "&amp;DD44&amp;" segundos de um lado e trocar para o outro na sequência | ","Manter a posição por "&amp;DD44&amp;" segundos | "),DK45="A","Realizar alternadamente "&amp;DD44&amp;" repetições cada lado | ",DK45="U","Realizar "&amp;DD44&amp;" repetições de um lado e trocar para o outro na sequência | ",DJ45="P",OFFSET(Biblioteca!$H$2,MATCH(DK44,Biblioteca!$A$3:$A$200,0),0),TRUE,"")&amp;IF(DL45="R","Ajuste a carga para que tenha "&amp;$K$2&amp;" repetições de reserva",""))</f>
        <v/>
      </c>
      <c r="DC45" s="118" t="str">
        <f>IF(CY44="","",IFS(DJ45="H","Carga Sugerida: "&amp;ROUNDUP(DM44/2,0)&amp;" kg de cada lado (Total: "&amp;ROUNDUP(DM44/2,0)*2&amp;" kg)",DJ45="C","Este exercício usa o Peso Corporal como carga",DJ45="E","Este exercício usa a resistência da banda elástica como carga",DJ45="O","Carga Sugerida: "&amp;INT(DM44)&amp;" kg",TRUE,""))</f>
        <v/>
      </c>
      <c r="DH45" s="66"/>
      <c r="DI45" s="126">
        <f>DI44</f>
        <v>1</v>
      </c>
      <c r="DJ45" s="120" t="str">
        <f>LEFT(DM45)</f>
        <v/>
      </c>
      <c r="DK45" s="121" t="str">
        <f>MID(DM45,2,1)</f>
        <v/>
      </c>
      <c r="DL45" s="122" t="str">
        <f>RIGHT(DM45)</f>
        <v/>
      </c>
      <c r="DM45" s="123" t="str">
        <f>IF(DK44="","",OFFSET(Biblioteca!$I$2,MATCH(DK44,Biblioteca!$A$3:$A$200,0),0))</f>
        <v/>
      </c>
      <c r="DN45" s="124"/>
      <c r="DO45" s="125"/>
      <c r="DP45" s="57"/>
      <c r="DQ45" s="56"/>
      <c r="DR45" s="56"/>
      <c r="DS45" s="56"/>
      <c r="DT45" s="56"/>
      <c r="DU45" s="56"/>
      <c r="DV45" s="56"/>
      <c r="DW45" s="56"/>
      <c r="DX45" s="56"/>
      <c r="DY45" s="56"/>
    </row>
    <row r="46">
      <c r="A46" s="102" t="str">
        <f>IF(M46="","",HYPERLINK(OFFSET(Biblioteca!$B$2,MATCH(M46,Biblioteca!$A$3:$A$200,0),0),M46))</f>
        <v>Fly no peck deck</v>
      </c>
      <c r="D46" s="103" t="str">
        <f>Montagem!Q81</f>
        <v>Bi-SET</v>
      </c>
      <c r="E46" s="104">
        <f>Montagem!R81</f>
        <v>3</v>
      </c>
      <c r="F46" s="104">
        <f>Montagem!S81</f>
        <v>12</v>
      </c>
      <c r="G46" s="104" t="str">
        <f>Montagem!T81</f>
        <v/>
      </c>
      <c r="H46" s="104">
        <f>Montagem!U81</f>
        <v>1</v>
      </c>
      <c r="I46" s="132">
        <f>Montagem!V81</f>
        <v>2</v>
      </c>
      <c r="J46" s="105">
        <v>7.0</v>
      </c>
      <c r="K46" s="106">
        <f>Montagem!K81</f>
        <v>8</v>
      </c>
      <c r="L46" s="111">
        <f>Montagem!W81</f>
        <v>7.256235828</v>
      </c>
      <c r="M46" s="111" t="str">
        <f>Montagem!L81</f>
        <v>Fly no peck deck</v>
      </c>
      <c r="N46" s="111" t="str">
        <f>Montagem!X81</f>
        <v/>
      </c>
      <c r="O46" s="106">
        <f>IF(N46="",L46,N46)</f>
        <v>7.256235828</v>
      </c>
      <c r="P46" s="106">
        <f>IF(L47="C",'Dados de Base'!$D$5*0.1,IF(L47="E",5,IF(J46="",O46,J46)))</f>
        <v>7</v>
      </c>
      <c r="Q46" s="108"/>
      <c r="R46" s="102" t="str">
        <f>IF(AD46="","",HYPERLINK(OFFSET(Biblioteca!$B$2,MATCH(AD46,Biblioteca!$A$3:$A$200,0),0),AD46))</f>
        <v>Afundo</v>
      </c>
      <c r="U46" s="109" t="str">
        <f>Montagem!AF81</f>
        <v>Bi-SET</v>
      </c>
      <c r="V46" s="110">
        <f>Montagem!AG81</f>
        <v>3</v>
      </c>
      <c r="W46" s="110">
        <f>Montagem!AH81</f>
        <v>12</v>
      </c>
      <c r="X46" s="110" t="str">
        <f>Montagem!AI81</f>
        <v/>
      </c>
      <c r="Y46" s="110">
        <f>Montagem!AJ81</f>
        <v>1</v>
      </c>
      <c r="Z46" s="110">
        <f>Montagem!AK81</f>
        <v>2</v>
      </c>
      <c r="AA46" s="113">
        <v>32.0</v>
      </c>
      <c r="AB46" s="111">
        <f>Montagem!Z81</f>
        <v>8</v>
      </c>
      <c r="AC46" s="111">
        <f>Montagem!AL81</f>
        <v>32.65306122</v>
      </c>
      <c r="AD46" s="129" t="str">
        <f>Montagem!AA81</f>
        <v>Afundo</v>
      </c>
      <c r="AE46" s="111" t="str">
        <f>Montagem!AM81</f>
        <v/>
      </c>
      <c r="AF46" s="106">
        <f>IF(AE46="",AC46,AE46)</f>
        <v>32.65306122</v>
      </c>
      <c r="AG46" s="106">
        <f>IF(AC47="C",'Dados de Base'!$D$5*0.1,IF(AC47="E",5,IF(AA46="",AF46,AA46)))</f>
        <v>32</v>
      </c>
      <c r="AH46" s="108"/>
      <c r="AI46" s="115" t="str">
        <f>IF(AU46="","",HYPERLINK(OFFSET(Biblioteca!$B$2,MATCH(AU46,Biblioteca!$A$3:$A$200,0),0),AU46))</f>
        <v/>
      </c>
      <c r="AL46" s="109" t="str">
        <f>Montagem!AU81</f>
        <v/>
      </c>
      <c r="AM46" s="110" t="str">
        <f>Montagem!AV81</f>
        <v/>
      </c>
      <c r="AN46" s="110" t="str">
        <f>Montagem!AW81</f>
        <v/>
      </c>
      <c r="AO46" s="110" t="str">
        <f>Montagem!AX81</f>
        <v/>
      </c>
      <c r="AP46" s="110" t="str">
        <f>Montagem!AY81</f>
        <v/>
      </c>
      <c r="AQ46" s="110" t="str">
        <f>Montagem!AZ81</f>
        <v/>
      </c>
      <c r="AR46" s="114"/>
      <c r="AS46" s="111">
        <f>Montagem!AO81</f>
        <v>1</v>
      </c>
      <c r="AT46" s="111" t="str">
        <f>Montagem!BA81</f>
        <v/>
      </c>
      <c r="AU46" s="111" t="str">
        <f>Montagem!AP81</f>
        <v/>
      </c>
      <c r="AV46" s="111" t="str">
        <f>Montagem!BB81</f>
        <v/>
      </c>
      <c r="AW46" s="106" t="str">
        <f>IF(AV46="",AT46,AV46)</f>
        <v/>
      </c>
      <c r="AX46" s="106" t="str">
        <f>IF(AT47="C",'Dados de Base'!$D$5*0.1,IF(AT47="E",5,IF(AR46="",AW46,AR46)))</f>
        <v/>
      </c>
      <c r="AY46" s="108"/>
      <c r="AZ46" s="102" t="str">
        <f>IF(BL46="","",HYPERLINK(OFFSET(Biblioteca!$B$2,MATCH(BL46,Biblioteca!$A$3:$A$200,0),0),BL46))</f>
        <v>Superman</v>
      </c>
      <c r="BC46" s="109" t="str">
        <f>Montagem!BJ81</f>
        <v>Tri-SET</v>
      </c>
      <c r="BD46" s="110">
        <f>Montagem!BK81</f>
        <v>3</v>
      </c>
      <c r="BE46" s="110">
        <f>Montagem!BL81</f>
        <v>15</v>
      </c>
      <c r="BF46" s="110">
        <f>Montagem!BM81</f>
        <v>60</v>
      </c>
      <c r="BG46" s="110">
        <f>Montagem!BN81</f>
        <v>1</v>
      </c>
      <c r="BH46" s="110">
        <f>Montagem!BO81</f>
        <v>1</v>
      </c>
      <c r="BI46" s="113">
        <v>10.0</v>
      </c>
      <c r="BJ46" s="111">
        <f>Montagem!BD81</f>
        <v>5</v>
      </c>
      <c r="BK46" s="111">
        <f>Montagem!BP81</f>
        <v>0</v>
      </c>
      <c r="BL46" s="111" t="str">
        <f>Montagem!BE81</f>
        <v>Superman</v>
      </c>
      <c r="BM46" s="111" t="str">
        <f>Montagem!BQ81</f>
        <v/>
      </c>
      <c r="BN46" s="106">
        <f>IF(BM46="",BK46,BM46)</f>
        <v>0</v>
      </c>
      <c r="BO46" s="106">
        <f>IF(BK47="C",'Dados de Base'!$D$5*0.1,IF(BK47="E",5,IF(BI46="",BN46,BI46)))</f>
        <v>6.3</v>
      </c>
      <c r="BP46" s="108"/>
      <c r="BQ46" s="102" t="str">
        <f>IF(CC46="","",HYPERLINK(OFFSET(Biblioteca!$B$2,MATCH(CC46,Biblioteca!$A$3:$A$200,0),0),CC46))</f>
        <v>Abdominal Bicicleta</v>
      </c>
      <c r="BT46" s="109" t="str">
        <f>Montagem!BY81</f>
        <v>Bi-SET</v>
      </c>
      <c r="BU46" s="110">
        <f>Montagem!BZ81</f>
        <v>3</v>
      </c>
      <c r="BV46" s="110">
        <f>Montagem!CA81</f>
        <v>15</v>
      </c>
      <c r="BW46" s="110">
        <f>Montagem!CB81</f>
        <v>45</v>
      </c>
      <c r="BX46" s="110">
        <f>Montagem!CC81</f>
        <v>1</v>
      </c>
      <c r="BY46" s="110">
        <f>Montagem!CD81</f>
        <v>1</v>
      </c>
      <c r="BZ46" s="113">
        <v>10.0</v>
      </c>
      <c r="CA46" s="111">
        <f>Montagem!BS81</f>
        <v>6</v>
      </c>
      <c r="CB46" s="111">
        <f>Montagem!CE81</f>
        <v>0</v>
      </c>
      <c r="CC46" s="111" t="str">
        <f>Montagem!BT81</f>
        <v>Abdominal Bicicleta</v>
      </c>
      <c r="CD46" s="111" t="str">
        <f>Montagem!CF81</f>
        <v/>
      </c>
      <c r="CE46" s="106">
        <f>IF(CD46="",CB46,CD46)</f>
        <v>0</v>
      </c>
      <c r="CF46" s="106">
        <f>IF(CB47="C",'Dados de Base'!$D$5*0.1,IF(CB47="E",5,IF(BZ46="",CE46,BZ46)))</f>
        <v>6.3</v>
      </c>
      <c r="CG46" s="108"/>
      <c r="CH46" s="115" t="str">
        <f>IF(CT46="","",HYPERLINK(OFFSET(Biblioteca!$B$2,MATCH(CT46,Biblioteca!$A$3:$A$200,0),0),CT46))</f>
        <v/>
      </c>
      <c r="CK46" s="109" t="str">
        <f>Montagem!CN81</f>
        <v/>
      </c>
      <c r="CL46" s="110" t="str">
        <f>Montagem!CO81</f>
        <v/>
      </c>
      <c r="CM46" s="110" t="str">
        <f>Montagem!CP81</f>
        <v/>
      </c>
      <c r="CN46" s="110" t="str">
        <f>Montagem!CQ81</f>
        <v/>
      </c>
      <c r="CO46" s="110" t="str">
        <f>Montagem!CR81</f>
        <v/>
      </c>
      <c r="CP46" s="110" t="str">
        <f>Montagem!CS81</f>
        <v/>
      </c>
      <c r="CQ46" s="114"/>
      <c r="CR46" s="111">
        <f>Montagem!CH81</f>
        <v>1</v>
      </c>
      <c r="CS46" s="111" t="str">
        <f>Montagem!CT81</f>
        <v/>
      </c>
      <c r="CT46" s="111" t="str">
        <f>Montagem!CI81</f>
        <v/>
      </c>
      <c r="CU46" s="145" t="str">
        <f>Montagem!CU81</f>
        <v/>
      </c>
      <c r="CV46" s="106" t="str">
        <f>IF(CU46="",CS46,CU46)</f>
        <v/>
      </c>
      <c r="CW46" s="106" t="str">
        <f>IF(CS47="C",'Dados de Base'!$D$5*0.1,IF(CS47="E",5,IF(CQ46="",CV46,CQ46)))</f>
        <v/>
      </c>
      <c r="CX46" s="108"/>
      <c r="CY46" s="115" t="str">
        <f>IF(DK46="","",HYPERLINK(OFFSET(Biblioteca!$B$2,MATCH(DK46,Biblioteca!$A$3:$A$200,0),0),DK46))</f>
        <v/>
      </c>
      <c r="DB46" s="130" t="str">
        <f>Montagem!DC81</f>
        <v/>
      </c>
      <c r="DC46" s="131" t="str">
        <f>Montagem!DD81</f>
        <v/>
      </c>
      <c r="DD46" s="131" t="str">
        <f>Montagem!DE81</f>
        <v/>
      </c>
      <c r="DE46" s="131" t="str">
        <f>Montagem!DF81</f>
        <v/>
      </c>
      <c r="DF46" s="131" t="str">
        <f>Montagem!DG81</f>
        <v/>
      </c>
      <c r="DG46" s="131" t="str">
        <f>Montagem!DH81</f>
        <v/>
      </c>
      <c r="DH46" s="114"/>
      <c r="DI46" s="111">
        <f>Montagem!CW81</f>
        <v>1</v>
      </c>
      <c r="DJ46" s="111" t="str">
        <f>Montagem!DI81</f>
        <v/>
      </c>
      <c r="DK46" s="111" t="str">
        <f>Montagem!CX81</f>
        <v/>
      </c>
      <c r="DL46" s="145" t="str">
        <f>Montagem!DJ81</f>
        <v/>
      </c>
      <c r="DM46" s="106" t="str">
        <f>IF(DL46="",DJ46,DL46)</f>
        <v/>
      </c>
      <c r="DN46" s="106" t="str">
        <f>IF(DJ47="C",'Dados de Base'!$D$5*0.1,IF(DJ47="E",5,IF(DH46="",DM46,DH46)))</f>
        <v/>
      </c>
      <c r="DO46" s="108"/>
      <c r="DP46" s="106"/>
      <c r="DQ46" s="106"/>
      <c r="DR46" s="106"/>
      <c r="DS46" s="106"/>
      <c r="DT46" s="106"/>
      <c r="DU46" s="106"/>
      <c r="DV46" s="106"/>
      <c r="DW46" s="106"/>
      <c r="DX46" s="106"/>
      <c r="DY46" s="106"/>
    </row>
    <row r="47">
      <c r="A47" s="117" t="str">
        <f>IF(A46="","",IFS(L47="A",Montagem!$C$80,N47="T","Realizar a maior quantidade de repetições por "&amp;F46&amp;" segundos | ",N47="I",IF(M47="U","Manter a posição por "&amp;F46&amp;" segundos de um lado e trocar para o outro na sequência | ","Manter a posição por "&amp;F46&amp;" segundos | "),M47="A","Realizar alternadamente "&amp;F46&amp;" repetições cada lado | ",M47="U","Realizar "&amp;F46&amp;" repetições de um lado e trocar para o outro na sequência | ",L47="P",OFFSET(Biblioteca!$H$2,MATCH(M46,Biblioteca!$A$3:$A$200,0),0),TRUE,"")&amp;IF(N47="R","Ajuste a carga para que tenha "&amp;$K$2&amp;" repetições de reserva",""))</f>
        <v>Ajuste a carga para que tenha 0 a 2 repetições de reserva</v>
      </c>
      <c r="E47" s="118" t="str">
        <f>IF(A46="","",IFS(L47="H","Carga Sugerida: "&amp;ROUNDUP(O46/2,0)&amp;" kg de cada lado (Total: "&amp;ROUNDUP(O46/2,0)*2&amp;" kg)",L47="C","Este exercício usa o Peso Corporal como carga",L47="E","Este exercício usa a resistência da banda elástica como carga",L47="O","Carga Sugerida: "&amp;INT(O46)&amp;" kg",TRUE,""))</f>
        <v>Carga Sugerida: 7 kg</v>
      </c>
      <c r="J47" s="66"/>
      <c r="K47" s="106">
        <f>K46</f>
        <v>8</v>
      </c>
      <c r="L47" s="120" t="str">
        <f>LEFT(O47)</f>
        <v>O</v>
      </c>
      <c r="M47" s="121" t="str">
        <f>MID(O47,2,1)</f>
        <v>O</v>
      </c>
      <c r="N47" s="122" t="str">
        <f>RIGHT(O47)</f>
        <v>R</v>
      </c>
      <c r="O47" s="123" t="str">
        <f>IF(M46="","",OFFSET(Biblioteca!$I$2,MATCH(M46,Biblioteca!$A$3:$A$200,0),0))</f>
        <v>OOR</v>
      </c>
      <c r="P47" s="124"/>
      <c r="Q47" s="125"/>
      <c r="R47" s="117" t="str">
        <f>IF(R46="","",IFS(AC47="A",Montagem!$D$80,AE47="T","Realizar a maior quantidade de repetições por "&amp;W46&amp;" segundos | ",AE47="I",IF(AD47="U","Manter a posição por "&amp;W46&amp;" segundos de um lado e trocar para o outro na sequência | ","Manter a posição por "&amp;W46&amp;" segundos | "),AD47="A","Realizar alternadamente "&amp;W46&amp;" repetições cada lado | ",AD47="U","Realizar "&amp;W46&amp;" repetições de um lado e trocar para o outro na sequência | ",AC47="P",OFFSET(Biblioteca!$H$2,MATCH(AD46,Biblioteca!$A$3:$A$200,0),0),TRUE,"")&amp;IF(AE47="R","Ajuste a carga para que tenha "&amp;$K$2&amp;" repetições de reserva",""))</f>
        <v>Realizar alternadamente 12 repetições cada lado | Ajuste a carga para que tenha 0 a 2 repetições de reserva</v>
      </c>
      <c r="V47" s="118" t="str">
        <f>IF(R46="","",IFS(AC47="H","Carga Sugerida: "&amp;ROUNDUP(AF46/2,0)&amp;" kg de cada lado (Total: "&amp;ROUNDUP(AF46/2,0)*2&amp;" kg)",AC47="C","Este exercício usa o Peso Corporal como carga",AC47="E","Este exercício usa a resistência da banda elástica como carga",AC47="O","Carga Sugerida: "&amp;INT(AF46)&amp;" kg",TRUE,""))</f>
        <v>Carga Sugerida: 17 kg de cada lado (Total: 34 kg)</v>
      </c>
      <c r="AA47" s="66"/>
      <c r="AB47" s="126">
        <f>AB46</f>
        <v>8</v>
      </c>
      <c r="AC47" s="120" t="str">
        <f>LEFT(AF47)</f>
        <v>H</v>
      </c>
      <c r="AD47" s="121" t="str">
        <f>MID(AF47,2,1)</f>
        <v>A</v>
      </c>
      <c r="AE47" s="122" t="str">
        <f>RIGHT(AF47)</f>
        <v>R</v>
      </c>
      <c r="AF47" s="123" t="str">
        <f>IF(AD46="","",OFFSET(Biblioteca!$I$2,MATCH(AD46,Biblioteca!$A$3:$A$200,0),0))</f>
        <v>HAR</v>
      </c>
      <c r="AG47" s="124"/>
      <c r="AH47" s="125"/>
      <c r="AI47" s="117" t="str">
        <f>IF(AI46="","",IFS(AT47="A",Montagem!$E$80,AV47="T","Realizar a maior quantidade de repetições por "&amp;AN46&amp;" segundos | ",AV47="I",IF(AU47="U","Manter a posição por "&amp;AN46&amp;" segundos de um lado e trocar para o outro na sequência | ","Manter a posição por "&amp;AN46&amp;" segundos | "),AU47="A","Realizar alternadamente "&amp;AN46&amp;" repetições cada lado | ",AU47="U","Realizar "&amp;AN46&amp;" repetições de um lado e trocar para o outro na sequência | ",AT47="P",OFFSET(Biblioteca!$H$2,MATCH(AU46,Biblioteca!$A$3:$A$200,0),0),TRUE,"")&amp;IF(AV47="R","Ajuste a carga para que tenha "&amp;$K$2&amp;" repetições de reserva",""))</f>
        <v/>
      </c>
      <c r="AM47" s="118" t="str">
        <f>IF(AI46="","",IFS(AT47="H","Carga Sugerida: "&amp;ROUNDUP(AW46/2,0)&amp;" kg de cada lado (Total: "&amp;ROUNDUP(AW46/2,0)*2&amp;" kg)",AT47="C","Este exercício usa o Peso Corporal como carga",AT47="E","Este exercício usa a resistência da banda elástica como carga",AT47="O","Carga Sugerida: "&amp;INT(AW46)&amp;" kg",TRUE,""))</f>
        <v/>
      </c>
      <c r="AR47" s="66"/>
      <c r="AS47" s="126">
        <f>AS46</f>
        <v>1</v>
      </c>
      <c r="AT47" s="120" t="str">
        <f>LEFT(AW47)</f>
        <v/>
      </c>
      <c r="AU47" s="121" t="str">
        <f>MID(AW47,2,1)</f>
        <v/>
      </c>
      <c r="AV47" s="122" t="str">
        <f>RIGHT(AW47)</f>
        <v/>
      </c>
      <c r="AW47" s="123" t="str">
        <f>IF(AU46="","",OFFSET(Biblioteca!$I$2,MATCH(AU46,Biblioteca!$A$3:$A$200,0),0))</f>
        <v/>
      </c>
      <c r="AX47" s="124"/>
      <c r="AY47" s="125"/>
      <c r="AZ47" s="117" t="str">
        <f>IF(AZ46="","",IFS(BK47="A",Montagem!$F$80,BM47="T","Realizar a maior quantidade de repetições por "&amp;BE46&amp;" segundos | ",BM47="I",IF(BL47="U","Manter a posição por "&amp;BE46&amp;" segundos de um lado e trocar para o outro na sequência | ","Manter a posição por "&amp;BE46&amp;" segundos | "),BL47="A","Realizar alternadamente "&amp;BE46&amp;" repetições cada lado | ",BL47="U","Realizar "&amp;BE46&amp;" repetições de um lado e trocar para o outro na sequência | ",BK47="P",OFFSET(Biblioteca!$H$2,MATCH(BL46,Biblioteca!$A$3:$A$200,0),0),TRUE,"")&amp;IF(BM47="R","Ajuste a carga para que tenha "&amp;$K$2&amp;" repetições de reserva",""))</f>
        <v>Ajuste a carga para que tenha 0 a 2 repetições de reserva</v>
      </c>
      <c r="BD47" s="118" t="str">
        <f>IF(AZ46="","",IFS(BK47="H","Carga Sugerida: "&amp;ROUNDUP(BN46/2,0)&amp;" kg de cada lado (Total: "&amp;ROUNDUP(BN46/2,0)*2&amp;" kg)",BK47="C","Este exercício usa o Peso Corporal como carga",BK47="E","Este exercício usa a resistência da banda elástica como carga",BK47="O","Carga Sugerida: "&amp;INT(BN46)&amp;" kg",TRUE,""))</f>
        <v>Este exercício usa o Peso Corporal como carga</v>
      </c>
      <c r="BI47" s="66"/>
      <c r="BJ47" s="126">
        <f>BJ46</f>
        <v>5</v>
      </c>
      <c r="BK47" s="120" t="str">
        <f>LEFT(BN47)</f>
        <v>C</v>
      </c>
      <c r="BL47" s="121" t="str">
        <f>MID(BN47,2,1)</f>
        <v>O</v>
      </c>
      <c r="BM47" s="122" t="str">
        <f>RIGHT(BN47)</f>
        <v>R</v>
      </c>
      <c r="BN47" s="123" t="str">
        <f>IF(BL46="","",OFFSET(Biblioteca!$I$2,MATCH(BL46,Biblioteca!$A$3:$A$200,0),0))</f>
        <v>COR</v>
      </c>
      <c r="BO47" s="124"/>
      <c r="BP47" s="125"/>
      <c r="BQ47" s="117" t="str">
        <f>IF(BQ46="","",IFS(CB47="A",Montagem!$G$80,CD47="T","Realizar a maior quantidade de repetições por "&amp;BV46&amp;" segundos | ",CD47="I",IF(CC47="U","Manter a posição por "&amp;BV46&amp;" segundos de um lado e trocar para o outro na sequência | ","Manter a posição por "&amp;BV46&amp;" segundos | "),CC47="A","Realizar alternadamente "&amp;BV46&amp;" repetições cada lado | ",CC47="U","Realizar "&amp;BV46&amp;" repetições de um lado e trocar para o outro na sequência | ",CB47="P",OFFSET(Biblioteca!$H$2,MATCH(CC46,Biblioteca!$A$3:$A$200,0),0),TRUE,"")&amp;IF(CD47="R","Ajuste a carga para que tenha "&amp;$K$2&amp;" repetições de reserva",""))</f>
        <v>Ajuste a carga para que tenha 0 a 2 repetições de reserva</v>
      </c>
      <c r="BU47" s="118" t="str">
        <f>IF(BQ46="","",IFS(CB47="H","Carga Sugerida: "&amp;ROUNDUP(CE46/2,0)&amp;" kg de cada lado (Total: "&amp;ROUNDUP(CE46/2,0)*2&amp;" kg)",CB47="C","Este exercício usa o Peso Corporal como carga",CB47="E","Este exercício usa a resistência da banda elástica como carga",CB47="O","Carga Sugerida: "&amp;INT(CE46)&amp;" kg",TRUE,""))</f>
        <v>Este exercício usa o Peso Corporal como carga</v>
      </c>
      <c r="BZ47" s="66"/>
      <c r="CA47" s="126">
        <f>CA46</f>
        <v>6</v>
      </c>
      <c r="CB47" s="120" t="str">
        <f>LEFT(CE47)</f>
        <v>C</v>
      </c>
      <c r="CC47" s="121" t="str">
        <f>MID(CE47,2,1)</f>
        <v>O</v>
      </c>
      <c r="CD47" s="122" t="str">
        <f>RIGHT(CE47)</f>
        <v>R</v>
      </c>
      <c r="CE47" s="123" t="str">
        <f>IF(CC46="","",OFFSET(Biblioteca!$I$2,MATCH(CC46,Biblioteca!$A$3:$A$200,0),0))</f>
        <v>COR</v>
      </c>
      <c r="CF47" s="124"/>
      <c r="CG47" s="125"/>
      <c r="CH47" s="117" t="str">
        <f>IF(CH46="","",IFS(CS47="A",Montagem!$H$80,CU47="T","Realizar a maior quantidade de repetições por "&amp;CM46&amp;" segundos | ",CU47="I",IF(CT47="U","Manter a posição por "&amp;CM46&amp;" segundos de um lado e trocar para o outro na sequência | ","Manter a posição por "&amp;CM46&amp;" segundos | "),CT47="A","Realizar alternadamente "&amp;CM46&amp;" repetições cada lado | ",CT47="U","Realizar "&amp;CM46&amp;" repetições de um lado e trocar para o outro na sequência | ",CS47="P",OFFSET(Biblioteca!$H$2,MATCH(CT46,Biblioteca!$A$3:$A$200,0),0),TRUE,"")&amp;IF(CU47="R","Ajuste a carga para que tenha "&amp;$K$2&amp;" repetições de reserva",""))</f>
        <v/>
      </c>
      <c r="CL47" s="118" t="str">
        <f>IF(CH46="","",IFS(CS47="H","Carga Sugerida: "&amp;ROUNDUP(CV46/2,0)&amp;" kg de cada lado (Total: "&amp;ROUNDUP(CV46/2,0)*2&amp;" kg)",CS47="C","Este exercício usa o Peso Corporal como carga",CS47="E","Este exercício usa a resistência da banda elástica como carga",CS47="O","Carga Sugerida: "&amp;INT(CV46)&amp;" kg",TRUE,""))</f>
        <v/>
      </c>
      <c r="CQ47" s="66"/>
      <c r="CR47" s="126">
        <f>CR46</f>
        <v>1</v>
      </c>
      <c r="CS47" s="120" t="str">
        <f>LEFT(CV47)</f>
        <v/>
      </c>
      <c r="CT47" s="121" t="str">
        <f>MID(CV47,2,1)</f>
        <v/>
      </c>
      <c r="CU47" s="122" t="str">
        <f>RIGHT(CV47)</f>
        <v/>
      </c>
      <c r="CV47" s="123" t="str">
        <f>IF(CT46="","",OFFSET(Biblioteca!$I$2,MATCH(CT46,Biblioteca!$A$3:$A$200,0),0))</f>
        <v/>
      </c>
      <c r="CW47" s="124"/>
      <c r="CX47" s="125"/>
      <c r="CY47" s="117" t="str">
        <f>IF(CY46="","",IFS(DJ47="A",Montagem!$I$80,DL47="T","Realizar a maior quantidade de repetições por "&amp;DD46&amp;" segundos | ",DL47="I",IF(DK47="U","Manter a posição por "&amp;DD46&amp;" segundos de um lado e trocar para o outro na sequência | ","Manter a posição por "&amp;DD46&amp;" segundos | "),DK47="A","Realizar alternadamente "&amp;DD46&amp;" repetições cada lado | ",DK47="U","Realizar "&amp;DD46&amp;" repetições de um lado e trocar para o outro na sequência | ",DJ47="P",OFFSET(Biblioteca!$H$2,MATCH(DK46,Biblioteca!$A$3:$A$200,0),0),TRUE,"")&amp;IF(DL47="R","Ajuste a carga para que tenha "&amp;$K$2&amp;" repetições de reserva",""))</f>
        <v/>
      </c>
      <c r="DC47" s="118" t="str">
        <f>IF(CY46="","",IFS(DJ47="H","Carga Sugerida: "&amp;ROUNDUP(DM46/2,0)&amp;" kg de cada lado (Total: "&amp;ROUNDUP(DM46/2,0)*2&amp;" kg)",DJ47="C","Este exercício usa o Peso Corporal como carga",DJ47="E","Este exercício usa a resistência da banda elástica como carga",DJ47="O","Carga Sugerida: "&amp;INT(DM46)&amp;" kg",TRUE,""))</f>
        <v/>
      </c>
      <c r="DH47" s="66"/>
      <c r="DI47" s="126">
        <f>DI46</f>
        <v>1</v>
      </c>
      <c r="DJ47" s="120" t="str">
        <f>LEFT(DM47)</f>
        <v/>
      </c>
      <c r="DK47" s="121" t="str">
        <f>MID(DM47,2,1)</f>
        <v/>
      </c>
      <c r="DL47" s="122" t="str">
        <f>RIGHT(DM47)</f>
        <v/>
      </c>
      <c r="DM47" s="123" t="str">
        <f>IF(DK46="","",OFFSET(Biblioteca!$I$2,MATCH(DK46,Biblioteca!$A$3:$A$200,0),0))</f>
        <v/>
      </c>
      <c r="DN47" s="124"/>
      <c r="DO47" s="125"/>
      <c r="DP47" s="57"/>
      <c r="DQ47" s="56"/>
      <c r="DR47" s="56"/>
      <c r="DS47" s="56"/>
      <c r="DT47" s="56"/>
      <c r="DU47" s="56"/>
      <c r="DV47" s="56"/>
      <c r="DW47" s="56"/>
      <c r="DX47" s="56"/>
      <c r="DY47" s="56"/>
    </row>
    <row r="48">
      <c r="A48" s="102" t="str">
        <f>IF(M48="","",HYPERLINK(OFFSET(Biblioteca!$B$2,MATCH(M48,Biblioteca!$A$3:$A$200,0),0),M48))</f>
        <v>Tríceps Testa polia</v>
      </c>
      <c r="D48" s="103" t="str">
        <f>Montagem!Q82</f>
        <v>Bi-SET</v>
      </c>
      <c r="E48" s="104">
        <f>Montagem!R82</f>
        <v>3</v>
      </c>
      <c r="F48" s="104">
        <f>Montagem!S82</f>
        <v>12</v>
      </c>
      <c r="G48" s="104">
        <f>Montagem!T82</f>
        <v>60</v>
      </c>
      <c r="H48" s="104">
        <f>Montagem!U82</f>
        <v>1</v>
      </c>
      <c r="I48" s="132">
        <f>Montagem!V82</f>
        <v>2</v>
      </c>
      <c r="J48" s="105">
        <v>6.0</v>
      </c>
      <c r="K48" s="106">
        <f>Montagem!K82</f>
        <v>8</v>
      </c>
      <c r="L48" s="111">
        <f>Montagem!W82</f>
        <v>6.893424036</v>
      </c>
      <c r="M48" s="111" t="str">
        <f>Montagem!L82</f>
        <v>Tríceps Testa polia</v>
      </c>
      <c r="N48" s="111" t="str">
        <f>Montagem!X82</f>
        <v/>
      </c>
      <c r="O48" s="106">
        <f>IF(N48="",L48,N48)</f>
        <v>6.893424036</v>
      </c>
      <c r="P48" s="106">
        <f>IF(L49="C",'Dados de Base'!$D$5*0.1,IF(L49="E",5,IF(J48="",O48,J48)))</f>
        <v>6</v>
      </c>
      <c r="Q48" s="108"/>
      <c r="R48" s="102" t="str">
        <f>IF(AD48="","",HYPERLINK(OFFSET(Biblioteca!$B$2,MATCH(AD48,Biblioteca!$A$3:$A$200,0),0),AD48))</f>
        <v>Flexão Plantar na Máquina</v>
      </c>
      <c r="U48" s="109" t="str">
        <f>Montagem!AF82</f>
        <v>Bi-SET</v>
      </c>
      <c r="V48" s="110">
        <f>Montagem!AG82</f>
        <v>3</v>
      </c>
      <c r="W48" s="110">
        <f>Montagem!AH82</f>
        <v>12</v>
      </c>
      <c r="X48" s="110">
        <f>Montagem!AI82</f>
        <v>60</v>
      </c>
      <c r="Y48" s="110">
        <f>Montagem!AJ82</f>
        <v>1</v>
      </c>
      <c r="Z48" s="110">
        <f>Montagem!AK82</f>
        <v>2</v>
      </c>
      <c r="AA48" s="113">
        <v>136.0</v>
      </c>
      <c r="AB48" s="111">
        <f>Montagem!Z82</f>
        <v>8</v>
      </c>
      <c r="AC48" s="111">
        <f>Montagem!AL82</f>
        <v>136.0544218</v>
      </c>
      <c r="AD48" s="129" t="str">
        <f>Montagem!AA82</f>
        <v>Flexão Plantar na Máquina</v>
      </c>
      <c r="AE48" s="111" t="str">
        <f>Montagem!AM82</f>
        <v/>
      </c>
      <c r="AF48" s="106">
        <f>IF(AE48="",AC48,AE48)</f>
        <v>136.0544218</v>
      </c>
      <c r="AG48" s="106">
        <f>IF(AC49="C",'Dados de Base'!$D$5*0.1,IF(AC49="E",5,IF(AA48="",AF48,AA48)))</f>
        <v>136</v>
      </c>
      <c r="AH48" s="108"/>
      <c r="AI48" s="115" t="str">
        <f>IF(AU48="","",HYPERLINK(OFFSET(Biblioteca!$B$2,MATCH(AU48,Biblioteca!$A$3:$A$200,0),0),AU48))</f>
        <v/>
      </c>
      <c r="AL48" s="109" t="str">
        <f>Montagem!AU82</f>
        <v/>
      </c>
      <c r="AM48" s="110" t="str">
        <f>Montagem!AV82</f>
        <v/>
      </c>
      <c r="AN48" s="110" t="str">
        <f>Montagem!AW82</f>
        <v/>
      </c>
      <c r="AO48" s="110" t="str">
        <f>Montagem!AX82</f>
        <v/>
      </c>
      <c r="AP48" s="110" t="str">
        <f>Montagem!AY82</f>
        <v/>
      </c>
      <c r="AQ48" s="110" t="str">
        <f>Montagem!AZ82</f>
        <v/>
      </c>
      <c r="AR48" s="114"/>
      <c r="AS48" s="111">
        <f>Montagem!AO82</f>
        <v>1</v>
      </c>
      <c r="AT48" s="111" t="str">
        <f>Montagem!BA82</f>
        <v/>
      </c>
      <c r="AU48" s="111" t="str">
        <f>Montagem!AP82</f>
        <v/>
      </c>
      <c r="AV48" s="111" t="str">
        <f>Montagem!BB82</f>
        <v/>
      </c>
      <c r="AW48" s="106" t="str">
        <f>IF(AV48="",AT48,AV48)</f>
        <v/>
      </c>
      <c r="AX48" s="106" t="str">
        <f>IF(AT49="C",'Dados de Base'!$D$5*0.1,IF(AT49="E",5,IF(AR48="",AW48,AR48)))</f>
        <v/>
      </c>
      <c r="AY48" s="108"/>
      <c r="AZ48" s="115" t="str">
        <f>IF(BL48="","",HYPERLINK(OFFSET(Biblioteca!$B$2,MATCH(BL48,Biblioteca!$A$3:$A$200,0),0),BL48))</f>
        <v>Esteira</v>
      </c>
      <c r="BC48" s="109" t="str">
        <f>Montagem!BJ82</f>
        <v/>
      </c>
      <c r="BD48" s="110" t="str">
        <f>Montagem!BK82</f>
        <v/>
      </c>
      <c r="BE48" s="110" t="str">
        <f>Montagem!BL82</f>
        <v/>
      </c>
      <c r="BF48" s="110">
        <f>Montagem!BM82</f>
        <v>60</v>
      </c>
      <c r="BG48" s="110" t="str">
        <f>Montagem!BN82</f>
        <v/>
      </c>
      <c r="BH48" s="110" t="str">
        <f>Montagem!BO82</f>
        <v/>
      </c>
      <c r="BI48" s="113"/>
      <c r="BJ48" s="111">
        <f>Montagem!BD82</f>
        <v>6</v>
      </c>
      <c r="BK48" s="111">
        <f>Montagem!BP82</f>
        <v>0</v>
      </c>
      <c r="BL48" s="111" t="str">
        <f>Montagem!BE82</f>
        <v>Esteira</v>
      </c>
      <c r="BM48" s="111" t="str">
        <f>Montagem!BQ82</f>
        <v/>
      </c>
      <c r="BN48" s="106">
        <f>IF(BM48="",BK48,BM48)</f>
        <v>0</v>
      </c>
      <c r="BO48" s="106">
        <f>IF(BK49="C",'Dados de Base'!$D$5*0.1,IF(BK49="E",5,IF(BI48="",BN48,BI48)))</f>
        <v>0</v>
      </c>
      <c r="BP48" s="108"/>
      <c r="BQ48" s="102" t="str">
        <f>IF(CC48="","",HYPERLINK(OFFSET(Biblioteca!$B$2,MATCH(CC48,Biblioteca!$A$3:$A$200,0),0),CC48))</f>
        <v>Corda</v>
      </c>
      <c r="BT48" s="109" t="str">
        <f>Montagem!BY82</f>
        <v/>
      </c>
      <c r="BU48" s="110" t="str">
        <f>Montagem!BZ82</f>
        <v/>
      </c>
      <c r="BV48" s="110" t="str">
        <f>Montagem!CA82</f>
        <v/>
      </c>
      <c r="BW48" s="110">
        <f>Montagem!CB82</f>
        <v>60</v>
      </c>
      <c r="BX48" s="110" t="str">
        <f>Montagem!CC82</f>
        <v/>
      </c>
      <c r="BY48" s="110" t="str">
        <f>Montagem!CD82</f>
        <v/>
      </c>
      <c r="BZ48" s="113"/>
      <c r="CA48" s="111">
        <f>Montagem!BS82</f>
        <v>7</v>
      </c>
      <c r="CB48" s="111">
        <f>Montagem!CE82</f>
        <v>0</v>
      </c>
      <c r="CC48" s="111" t="str">
        <f>Montagem!BT82</f>
        <v>Corda</v>
      </c>
      <c r="CD48" s="111" t="str">
        <f>Montagem!CF82</f>
        <v/>
      </c>
      <c r="CE48" s="106">
        <f>IF(CD48="",CB48,CD48)</f>
        <v>0</v>
      </c>
      <c r="CF48" s="106">
        <f>IF(CB49="C",'Dados de Base'!$D$5*0.1,IF(CB49="E",5,IF(BZ48="",CE48,BZ48)))</f>
        <v>0</v>
      </c>
      <c r="CG48" s="108"/>
      <c r="CH48" s="115" t="str">
        <f>IF(CT48="","",HYPERLINK(OFFSET(Biblioteca!$B$2,MATCH(CT48,Biblioteca!$A$3:$A$200,0),0),CT48))</f>
        <v/>
      </c>
      <c r="CK48" s="109" t="str">
        <f>Montagem!CN82</f>
        <v/>
      </c>
      <c r="CL48" s="110" t="str">
        <f>Montagem!CO82</f>
        <v/>
      </c>
      <c r="CM48" s="110" t="str">
        <f>Montagem!CP82</f>
        <v/>
      </c>
      <c r="CN48" s="110" t="str">
        <f>Montagem!CQ82</f>
        <v/>
      </c>
      <c r="CO48" s="110" t="str">
        <f>Montagem!CR82</f>
        <v/>
      </c>
      <c r="CP48" s="110" t="str">
        <f>Montagem!CS82</f>
        <v/>
      </c>
      <c r="CQ48" s="114"/>
      <c r="CR48" s="111">
        <f>Montagem!CH82</f>
        <v>1</v>
      </c>
      <c r="CS48" s="111" t="str">
        <f>Montagem!CT82</f>
        <v/>
      </c>
      <c r="CT48" s="111" t="str">
        <f>Montagem!CI82</f>
        <v/>
      </c>
      <c r="CU48" s="145" t="str">
        <f>Montagem!CU82</f>
        <v/>
      </c>
      <c r="CV48" s="106" t="str">
        <f>IF(CU48="",CS48,CU48)</f>
        <v/>
      </c>
      <c r="CW48" s="106" t="str">
        <f>IF(CS49="C",'Dados de Base'!$D$5*0.1,IF(CS49="E",5,IF(CQ48="",CV48,CQ48)))</f>
        <v/>
      </c>
      <c r="CX48" s="108"/>
      <c r="CY48" s="115" t="str">
        <f>IF(DK48="","",HYPERLINK(OFFSET(Biblioteca!$B$2,MATCH(DK48,Biblioteca!$A$3:$A$200,0),0),DK48))</f>
        <v/>
      </c>
      <c r="DB48" s="130" t="str">
        <f>Montagem!DC82</f>
        <v/>
      </c>
      <c r="DC48" s="131" t="str">
        <f>Montagem!DD82</f>
        <v/>
      </c>
      <c r="DD48" s="131" t="str">
        <f>Montagem!DE82</f>
        <v/>
      </c>
      <c r="DE48" s="131" t="str">
        <f>Montagem!DF82</f>
        <v/>
      </c>
      <c r="DF48" s="131" t="str">
        <f>Montagem!DG82</f>
        <v/>
      </c>
      <c r="DG48" s="131" t="str">
        <f>Montagem!DH82</f>
        <v/>
      </c>
      <c r="DH48" s="114"/>
      <c r="DI48" s="111">
        <f>Montagem!CW82</f>
        <v>1</v>
      </c>
      <c r="DJ48" s="111" t="str">
        <f>Montagem!DI82</f>
        <v/>
      </c>
      <c r="DK48" s="111" t="str">
        <f>Montagem!CX82</f>
        <v/>
      </c>
      <c r="DL48" s="145" t="str">
        <f>Montagem!DJ82</f>
        <v/>
      </c>
      <c r="DM48" s="106" t="str">
        <f>IF(DL48="",DJ48,DL48)</f>
        <v/>
      </c>
      <c r="DN48" s="106" t="str">
        <f>IF(DJ49="C",'Dados de Base'!$D$5*0.1,IF(DJ49="E",5,IF(DH48="",DM48,DH48)))</f>
        <v/>
      </c>
      <c r="DO48" s="108"/>
      <c r="DP48" s="106"/>
      <c r="DQ48" s="106"/>
      <c r="DR48" s="106"/>
      <c r="DS48" s="106"/>
      <c r="DT48" s="106"/>
      <c r="DU48" s="106"/>
      <c r="DV48" s="106"/>
      <c r="DW48" s="106"/>
      <c r="DX48" s="106"/>
      <c r="DY48" s="106"/>
    </row>
    <row r="49">
      <c r="A49" s="117" t="str">
        <f>IF(A48="","",IFS(L49="A",Montagem!$C$80,N49="T","Realizar a maior quantidade de repetições por "&amp;F48&amp;" segundos | ",N49="I",IF(M49="U","Manter a posição por "&amp;F48&amp;" segundos de um lado e trocar para o outro na sequência | ","Manter a posição por "&amp;F48&amp;" segundos | "),M49="A","Realizar alternadamente "&amp;F48&amp;" repetições cada lado | ",M49="U","Realizar "&amp;F48&amp;" repetições de um lado e trocar para o outro na sequência | ",L49="P",OFFSET(Biblioteca!$H$2,MATCH(M48,Biblioteca!$A$3:$A$200,0),0),TRUE,"")&amp;IF(N49="R","Ajuste a carga para que tenha "&amp;$K$2&amp;" repetições de reserva",""))</f>
        <v>Ajuste a carga para que tenha 0 a 2 repetições de reserva</v>
      </c>
      <c r="E49" s="118" t="str">
        <f>IF(A48="","",IFS(L49="H","Carga Sugerida: "&amp;ROUNDUP(O48/2,0)&amp;" kg de cada lado (Total: "&amp;ROUNDUP(O48/2,0)*2&amp;" kg)",L49="C","Este exercício usa o Peso Corporal como carga",L49="E","Este exercício usa a resistência da banda elástica como carga",L49="O","Carga Sugerida: "&amp;INT(O48)&amp;" kg",TRUE,""))</f>
        <v>Carga Sugerida: 6 kg</v>
      </c>
      <c r="J49" s="66"/>
      <c r="K49" s="106">
        <f>K48</f>
        <v>8</v>
      </c>
      <c r="L49" s="120" t="str">
        <f>LEFT(O49)</f>
        <v>O</v>
      </c>
      <c r="M49" s="121" t="str">
        <f>MID(O49,2,1)</f>
        <v>O</v>
      </c>
      <c r="N49" s="122" t="str">
        <f>RIGHT(O49)</f>
        <v>R</v>
      </c>
      <c r="O49" s="123" t="str">
        <f>IF(M48="","",OFFSET(Biblioteca!$I$2,MATCH(M48,Biblioteca!$A$3:$A$200,0),0))</f>
        <v>OOR</v>
      </c>
      <c r="P49" s="124"/>
      <c r="Q49" s="125"/>
      <c r="R49" s="117" t="str">
        <f>IF(R48="","",IFS(AC49="A",Montagem!$D$80,AE49="T","Realizar a maior quantidade de repetições por "&amp;W48&amp;" segundos | ",AE49="I",IF(AD49="U","Manter a posição por "&amp;W48&amp;" segundos de um lado e trocar para o outro na sequência | ","Manter a posição por "&amp;W48&amp;" segundos | "),AD49="A","Realizar alternadamente "&amp;W48&amp;" repetições cada lado | ",AD49="U","Realizar "&amp;W48&amp;" repetições de um lado e trocar para o outro na sequência | ",AC49="P",OFFSET(Biblioteca!$H$2,MATCH(AD48,Biblioteca!$A$3:$A$200,0),0),TRUE,"")&amp;IF(AE49="R","Ajuste a carga para que tenha "&amp;$K$2&amp;" repetições de reserva",""))</f>
        <v>Ajuste a carga para que tenha 0 a 2 repetições de reserva</v>
      </c>
      <c r="V49" s="118" t="str">
        <f>IF(R48="","",IFS(AC49="H","Carga Sugerida: "&amp;ROUNDUP(AF48/2,0)&amp;" kg de cada lado (Total: "&amp;ROUNDUP(AF48/2,0)*2&amp;" kg)",AC49="C","Este exercício usa o Peso Corporal como carga",AC49="E","Este exercício usa a resistência da banda elástica como carga",AC49="O","Carga Sugerida: "&amp;INT(AF48)&amp;" kg",TRUE,""))</f>
        <v>Carga Sugerida: 136 kg</v>
      </c>
      <c r="AA49" s="66"/>
      <c r="AB49" s="126">
        <f>AB48</f>
        <v>8</v>
      </c>
      <c r="AC49" s="120" t="str">
        <f>LEFT(AF49)</f>
        <v>O</v>
      </c>
      <c r="AD49" s="121" t="str">
        <f>MID(AF49,2,1)</f>
        <v>O</v>
      </c>
      <c r="AE49" s="122" t="str">
        <f>RIGHT(AF49)</f>
        <v>R</v>
      </c>
      <c r="AF49" s="123" t="str">
        <f>IF(AD48="","",OFFSET(Biblioteca!$I$2,MATCH(AD48,Biblioteca!$A$3:$A$200,0),0))</f>
        <v>OOR</v>
      </c>
      <c r="AG49" s="124"/>
      <c r="AH49" s="125"/>
      <c r="AI49" s="117" t="str">
        <f>IF(AI48="","",IFS(AT49="A",Montagem!$E$80,AV49="T","Realizar a maior quantidade de repetições por "&amp;AN48&amp;" segundos | ",AV49="I",IF(AU49="U","Manter a posição por "&amp;AN48&amp;" segundos de um lado e trocar para o outro na sequência | ","Manter a posição por "&amp;AN48&amp;" segundos | "),AU49="A","Realizar alternadamente "&amp;AN48&amp;" repetições cada lado | ",AU49="U","Realizar "&amp;AN48&amp;" repetições de um lado e trocar para o outro na sequência | ",AT49="P",OFFSET(Biblioteca!$H$2,MATCH(AU48,Biblioteca!$A$3:$A$200,0),0),TRUE,"")&amp;IF(AV49="R","Ajuste a carga para que tenha "&amp;$K$2&amp;" repetições de reserva",""))</f>
        <v/>
      </c>
      <c r="AM49" s="118" t="str">
        <f>IF(AI48="","",IFS(AT49="H","Carga Sugerida: "&amp;ROUNDUP(AW48/2,0)&amp;" kg de cada lado (Total: "&amp;ROUNDUP(AW48/2,0)*2&amp;" kg)",AT49="C","Este exercício usa o Peso Corporal como carga",AT49="E","Este exercício usa a resistência da banda elástica como carga",AT49="O","Carga Sugerida: "&amp;INT(AW48)&amp;" kg",TRUE,""))</f>
        <v/>
      </c>
      <c r="AR49" s="66"/>
      <c r="AS49" s="126">
        <f>AS48</f>
        <v>1</v>
      </c>
      <c r="AT49" s="120" t="str">
        <f>LEFT(AW49)</f>
        <v/>
      </c>
      <c r="AU49" s="121" t="str">
        <f>MID(AW49,2,1)</f>
        <v/>
      </c>
      <c r="AV49" s="122" t="str">
        <f>RIGHT(AW49)</f>
        <v/>
      </c>
      <c r="AW49" s="123" t="str">
        <f>IF(AU48="","",OFFSET(Biblioteca!$I$2,MATCH(AU48,Biblioteca!$A$3:$A$200,0),0))</f>
        <v/>
      </c>
      <c r="AX49" s="124"/>
      <c r="AY49" s="125"/>
      <c r="AZ49" s="117" t="str">
        <f>IF(AZ48="","",IFS(BK49="A",Montagem!$F$80,BM49="T","Realizar a maior quantidade de repetições por "&amp;BE48&amp;" segundos | ",BM49="I",IF(BL49="U","Manter a posição por "&amp;BE48&amp;" segundos de um lado e trocar para o outro na sequência | ","Manter a posição por "&amp;BE48&amp;" segundos | "),BL49="A","Realizar alternadamente "&amp;BE48&amp;" repetições cada lado | ",BL49="U","Realizar "&amp;BE48&amp;" repetições de um lado e trocar para o outro na sequência | ",BK49="P",OFFSET(Biblioteca!$H$2,MATCH(BL48,Biblioteca!$A$3:$A$200,0),0),TRUE,"")&amp;IF(BM49="R","Ajuste a carga para que tenha "&amp;$K$2&amp;" repetições de reserva",""))</f>
        <v>Mantenha 37-40min em intensidade constante com frequência cardíaca entre 105,5 - 116,2 bpm (50 - 60% VO2Máx -&gt; 8,5 - 10,9km/h)</v>
      </c>
      <c r="BD49" s="118" t="str">
        <f>IF(AZ48="","",IFS(BK49="H","Carga Sugerida: "&amp;ROUNDUP(BN48/2,0)&amp;" kg de cada lado (Total: "&amp;ROUNDUP(BN48/2,0)*2&amp;" kg)",BK49="C","Este exercício usa o Peso Corporal como carga",BK49="E","Este exercício usa a resistência da banda elástica como carga",BK49="O","Carga Sugerida: "&amp;INT(BN48)&amp;" kg",TRUE,""))</f>
        <v/>
      </c>
      <c r="BI49" s="66"/>
      <c r="BJ49" s="126">
        <f>BJ48</f>
        <v>6</v>
      </c>
      <c r="BK49" s="120" t="str">
        <f>LEFT(BN49)</f>
        <v>A</v>
      </c>
      <c r="BL49" s="121" t="str">
        <f>MID(BN49,2,1)</f>
        <v>-</v>
      </c>
      <c r="BM49" s="122" t="str">
        <f>RIGHT(BN49)</f>
        <v>-</v>
      </c>
      <c r="BN49" s="123" t="str">
        <f>IF(BL48="","",OFFSET(Biblioteca!$I$2,MATCH(BL48,Biblioteca!$A$3:$A$200,0),0))</f>
        <v>A--</v>
      </c>
      <c r="BO49" s="124"/>
      <c r="BP49" s="125"/>
      <c r="BQ49" s="117" t="str">
        <f>IF(BQ48="","",IFS(CB49="A",Montagem!$G$80,CD49="T","Realizar a maior quantidade de repetições por "&amp;BV48&amp;" segundos | ",CD49="I",IF(CC49="U","Manter a posição por "&amp;BV48&amp;" segundos de um lado e trocar para o outro na sequência | ","Manter a posição por "&amp;BV48&amp;" segundos | "),CC49="A","Realizar alternadamente "&amp;BV48&amp;" repetições cada lado | ",CC49="U","Realizar "&amp;BV48&amp;" repetições de um lado e trocar para o outro na sequência | ",CB49="P",OFFSET(Biblioteca!$H$2,MATCH(CC48,Biblioteca!$A$3:$A$200,0),0),TRUE,"")&amp;IF(CD49="R","Ajuste a carga para que tenha "&amp;$K$2&amp;" repetições de reserva",""))</f>
        <v>1x (5m all out)</v>
      </c>
      <c r="BU49" s="118" t="str">
        <f>IF(BQ48="","",IFS(CB49="H","Carga Sugerida: "&amp;ROUNDUP(CE48/2,0)&amp;" kg de cada lado (Total: "&amp;ROUNDUP(CE48/2,0)*2&amp;" kg)",CB49="C","Este exercício usa o Peso Corporal como carga",CB49="E","Este exercício usa a resistência da banda elástica como carga",CB49="O","Carga Sugerida: "&amp;INT(CE48)&amp;" kg",TRUE,""))</f>
        <v/>
      </c>
      <c r="BZ49" s="66"/>
      <c r="CA49" s="126">
        <f>CA48</f>
        <v>7</v>
      </c>
      <c r="CB49" s="120" t="str">
        <f>LEFT(CE49)</f>
        <v>A</v>
      </c>
      <c r="CC49" s="121" t="str">
        <f>MID(CE49,2,1)</f>
        <v>T</v>
      </c>
      <c r="CD49" s="122" t="str">
        <f>RIGHT(CE49)</f>
        <v>T</v>
      </c>
      <c r="CE49" s="123" t="str">
        <f>IF(CC48="","",OFFSET(Biblioteca!$I$2,MATCH(CC48,Biblioteca!$A$3:$A$200,0),0))</f>
        <v>AT</v>
      </c>
      <c r="CF49" s="124"/>
      <c r="CG49" s="125"/>
      <c r="CH49" s="117" t="str">
        <f>IF(CH48="","",IFS(CS49="A",Montagem!$H$80,CU49="T","Realizar a maior quantidade de repetições por "&amp;CM48&amp;" segundos | ",CU49="I",IF(CT49="U","Manter a posição por "&amp;CM48&amp;" segundos de um lado e trocar para o outro na sequência | ","Manter a posição por "&amp;CM48&amp;" segundos | "),CT49="A","Realizar alternadamente "&amp;CM48&amp;" repetições cada lado | ",CT49="U","Realizar "&amp;CM48&amp;" repetições de um lado e trocar para o outro na sequência | ",CS49="P",OFFSET(Biblioteca!$H$2,MATCH(CT48,Biblioteca!$A$3:$A$200,0),0),TRUE,"")&amp;IF(CU49="R","Ajuste a carga para que tenha "&amp;$K$2&amp;" repetições de reserva",""))</f>
        <v/>
      </c>
      <c r="CL49" s="118" t="str">
        <f>IF(CH48="","",IFS(CS49="H","Carga Sugerida: "&amp;ROUNDUP(CV48/2,0)&amp;" kg de cada lado (Total: "&amp;ROUNDUP(CV48/2,0)*2&amp;" kg)",CS49="C","Este exercício usa o Peso Corporal como carga",CS49="E","Este exercício usa a resistência da banda elástica como carga",CS49="O","Carga Sugerida: "&amp;INT(CV48)&amp;" kg",TRUE,""))</f>
        <v/>
      </c>
      <c r="CQ49" s="66"/>
      <c r="CR49" s="126">
        <f>CR48</f>
        <v>1</v>
      </c>
      <c r="CS49" s="120" t="str">
        <f>LEFT(CV49)</f>
        <v/>
      </c>
      <c r="CT49" s="121" t="str">
        <f>MID(CV49,2,1)</f>
        <v/>
      </c>
      <c r="CU49" s="122" t="str">
        <f>RIGHT(CV49)</f>
        <v/>
      </c>
      <c r="CV49" s="123" t="str">
        <f>IF(CT48="","",OFFSET(Biblioteca!$I$2,MATCH(CT48,Biblioteca!$A$3:$A$200,0),0))</f>
        <v/>
      </c>
      <c r="CW49" s="124"/>
      <c r="CX49" s="125"/>
      <c r="CY49" s="117" t="str">
        <f>IF(CY48="","",IFS(DJ49="A",Montagem!$I$80,DL49="T","Realizar a maior quantidade de repetições por "&amp;DD48&amp;" segundos | ",DL49="I",IF(DK49="U","Manter a posição por "&amp;DD48&amp;" segundos de um lado e trocar para o outro na sequência | ","Manter a posição por "&amp;DD48&amp;" segundos | "),DK49="A","Realizar alternadamente "&amp;DD48&amp;" repetições cada lado | ",DK49="U","Realizar "&amp;DD48&amp;" repetições de um lado e trocar para o outro na sequência | ",DJ49="P",OFFSET(Biblioteca!$H$2,MATCH(DK48,Biblioteca!$A$3:$A$200,0),0),TRUE,"")&amp;IF(DL49="R","Ajuste a carga para que tenha "&amp;$K$2&amp;" repetições de reserva",""))</f>
        <v/>
      </c>
      <c r="DC49" s="118" t="str">
        <f>IF(CY48="","",IFS(DJ49="H","Carga Sugerida: "&amp;ROUNDUP(DM48/2,0)&amp;" kg de cada lado (Total: "&amp;ROUNDUP(DM48/2,0)*2&amp;" kg)",DJ49="C","Este exercício usa o Peso Corporal como carga",DJ49="E","Este exercício usa a resistência da banda elástica como carga",DJ49="O","Carga Sugerida: "&amp;INT(DM48)&amp;" kg",TRUE,""))</f>
        <v/>
      </c>
      <c r="DH49" s="66"/>
      <c r="DI49" s="126">
        <f>DI48</f>
        <v>1</v>
      </c>
      <c r="DJ49" s="120" t="str">
        <f>LEFT(DM49)</f>
        <v/>
      </c>
      <c r="DK49" s="121" t="str">
        <f>MID(DM49,2,1)</f>
        <v/>
      </c>
      <c r="DL49" s="122" t="str">
        <f>RIGHT(DM49)</f>
        <v/>
      </c>
      <c r="DM49" s="123" t="str">
        <f>IF(DK48="","",OFFSET(Biblioteca!$I$2,MATCH(DK48,Biblioteca!$A$3:$A$200,0),0))</f>
        <v/>
      </c>
      <c r="DN49" s="124"/>
      <c r="DO49" s="125"/>
      <c r="DP49" s="57"/>
      <c r="DQ49" s="56"/>
      <c r="DR49" s="56"/>
      <c r="DS49" s="56"/>
      <c r="DT49" s="56"/>
      <c r="DU49" s="56"/>
      <c r="DV49" s="56"/>
      <c r="DW49" s="56"/>
      <c r="DX49" s="56"/>
      <c r="DY49" s="56"/>
    </row>
    <row r="50">
      <c r="A50" s="115" t="str">
        <f>IF(M50="","",HYPERLINK(OFFSET(Biblioteca!$B$2,MATCH(M50,Biblioteca!$A$3:$A$200,0),0),M50))</f>
        <v>Esteira</v>
      </c>
      <c r="D50" s="103" t="str">
        <f>Montagem!Q83</f>
        <v/>
      </c>
      <c r="E50" s="104" t="str">
        <f>Montagem!R83</f>
        <v/>
      </c>
      <c r="F50" s="104" t="str">
        <f>Montagem!S83</f>
        <v/>
      </c>
      <c r="G50" s="104">
        <f>Montagem!T83</f>
        <v>60</v>
      </c>
      <c r="H50" s="104" t="str">
        <f>Montagem!U83</f>
        <v/>
      </c>
      <c r="I50" s="132" t="str">
        <f>Montagem!V83</f>
        <v/>
      </c>
      <c r="J50" s="105">
        <v>10.0</v>
      </c>
      <c r="K50" s="106">
        <f>Montagem!K83</f>
        <v>9</v>
      </c>
      <c r="L50" s="111">
        <f>Montagem!W83</f>
        <v>0</v>
      </c>
      <c r="M50" s="111" t="str">
        <f>Montagem!L83</f>
        <v>Esteira</v>
      </c>
      <c r="N50" s="111" t="str">
        <f>Montagem!X83</f>
        <v/>
      </c>
      <c r="O50" s="106">
        <f>IF(N50="",L50,N50)</f>
        <v>0</v>
      </c>
      <c r="P50" s="106">
        <f>IF(L51="C",'Dados de Base'!$D$5*0.1,IF(L51="E",5,IF(J50="",O50,J50)))</f>
        <v>10</v>
      </c>
      <c r="Q50" s="108"/>
      <c r="R50" s="115" t="str">
        <f>IF(AD50="","",HYPERLINK(OFFSET(Biblioteca!$B$2,MATCH(AD50,Biblioteca!$A$3:$A$200,0),0),AD50))</f>
        <v>Bicicleta</v>
      </c>
      <c r="U50" s="109" t="str">
        <f>Montagem!AF83</f>
        <v/>
      </c>
      <c r="V50" s="110" t="str">
        <f>Montagem!AG83</f>
        <v/>
      </c>
      <c r="W50" s="110" t="str">
        <f>Montagem!AH83</f>
        <v/>
      </c>
      <c r="X50" s="110">
        <f>Montagem!AI83</f>
        <v>60</v>
      </c>
      <c r="Y50" s="110" t="str">
        <f>Montagem!AJ83</f>
        <v/>
      </c>
      <c r="Z50" s="110" t="str">
        <f>Montagem!AK83</f>
        <v/>
      </c>
      <c r="AA50" s="113">
        <v>10.0</v>
      </c>
      <c r="AB50" s="111">
        <f>Montagem!Z83</f>
        <v>9</v>
      </c>
      <c r="AC50" s="111">
        <f>Montagem!AL83</f>
        <v>0</v>
      </c>
      <c r="AD50" s="129" t="str">
        <f>Montagem!AA83</f>
        <v>Bicicleta</v>
      </c>
      <c r="AE50" s="111" t="str">
        <f>Montagem!AM83</f>
        <v/>
      </c>
      <c r="AF50" s="106">
        <f>IF(AE50="",AC50,AE50)</f>
        <v>0</v>
      </c>
      <c r="AG50" s="106">
        <f>IF(AC51="C",'Dados de Base'!$D$5*0.1,IF(AC51="E",5,IF(AA50="",AF50,AA50)))</f>
        <v>10</v>
      </c>
      <c r="AH50" s="108"/>
      <c r="AI50" s="115" t="str">
        <f>IF(AU50="","",HYPERLINK(OFFSET(Biblioteca!$B$2,MATCH(AU50,Biblioteca!$A$3:$A$200,0),0),AU50))</f>
        <v/>
      </c>
      <c r="AL50" s="109" t="str">
        <f>Montagem!AU83</f>
        <v/>
      </c>
      <c r="AM50" s="110" t="str">
        <f>Montagem!AV83</f>
        <v/>
      </c>
      <c r="AN50" s="110" t="str">
        <f>Montagem!AW83</f>
        <v/>
      </c>
      <c r="AO50" s="110" t="str">
        <f>Montagem!AX83</f>
        <v/>
      </c>
      <c r="AP50" s="110" t="str">
        <f>Montagem!AY83</f>
        <v/>
      </c>
      <c r="AQ50" s="110" t="str">
        <f>Montagem!AZ83</f>
        <v/>
      </c>
      <c r="AR50" s="114"/>
      <c r="AS50" s="111">
        <f>Montagem!AO83</f>
        <v>1</v>
      </c>
      <c r="AT50" s="111" t="str">
        <f>Montagem!BA83</f>
        <v/>
      </c>
      <c r="AU50" s="111" t="str">
        <f>Montagem!AP83</f>
        <v/>
      </c>
      <c r="AV50" s="111" t="str">
        <f>Montagem!BB83</f>
        <v/>
      </c>
      <c r="AW50" s="106" t="str">
        <f>IF(AV50="",AT50,AV50)</f>
        <v/>
      </c>
      <c r="AX50" s="106" t="str">
        <f>IF(AT51="C",'Dados de Base'!$D$5*0.1,IF(AT51="E",5,IF(AR50="",AW50,AR50)))</f>
        <v/>
      </c>
      <c r="AY50" s="108"/>
      <c r="AZ50" s="115" t="str">
        <f>IF(BL50="","",HYPERLINK(OFFSET(Biblioteca!$B$2,MATCH(BL50,Biblioteca!$A$3:$A$200,0),0),BL50))</f>
        <v/>
      </c>
      <c r="BC50" s="109" t="str">
        <f>Montagem!BJ83</f>
        <v/>
      </c>
      <c r="BD50" s="110" t="str">
        <f>Montagem!BK83</f>
        <v/>
      </c>
      <c r="BE50" s="110" t="str">
        <f>Montagem!BL83</f>
        <v/>
      </c>
      <c r="BF50" s="110" t="str">
        <f>Montagem!BM83</f>
        <v/>
      </c>
      <c r="BG50" s="110" t="str">
        <f>Montagem!BN83</f>
        <v/>
      </c>
      <c r="BH50" s="110" t="str">
        <f>Montagem!BO83</f>
        <v/>
      </c>
      <c r="BI50" s="113"/>
      <c r="BJ50" s="111">
        <f>Montagem!BD83</f>
        <v>7</v>
      </c>
      <c r="BK50" s="111" t="str">
        <f>Montagem!BP83</f>
        <v/>
      </c>
      <c r="BL50" s="111" t="str">
        <f>Montagem!BE83</f>
        <v/>
      </c>
      <c r="BM50" s="111" t="str">
        <f>Montagem!BQ83</f>
        <v/>
      </c>
      <c r="BN50" s="106" t="str">
        <f>IF(BM50="",BK50,BM50)</f>
        <v/>
      </c>
      <c r="BO50" s="106" t="str">
        <f>IF(BK51="C",'Dados de Base'!$D$5*0.1,IF(BK51="E",5,IF(BI50="",BN50,BI50)))</f>
        <v/>
      </c>
      <c r="BP50" s="108"/>
      <c r="BQ50" s="115" t="str">
        <f>IF(CC50="","",HYPERLINK(OFFSET(Biblioteca!$B$2,MATCH(CC50,Biblioteca!$A$3:$A$200,0),0),CC50))</f>
        <v/>
      </c>
      <c r="BT50" s="109" t="str">
        <f>Montagem!BY83</f>
        <v/>
      </c>
      <c r="BU50" s="110" t="str">
        <f>Montagem!BZ83</f>
        <v/>
      </c>
      <c r="BV50" s="110" t="str">
        <f>Montagem!CA83</f>
        <v/>
      </c>
      <c r="BW50" s="110" t="str">
        <f>Montagem!CB83</f>
        <v/>
      </c>
      <c r="BX50" s="110" t="str">
        <f>Montagem!CC83</f>
        <v/>
      </c>
      <c r="BY50" s="110" t="str">
        <f>Montagem!CD83</f>
        <v/>
      </c>
      <c r="BZ50" s="114"/>
      <c r="CA50" s="111">
        <f>Montagem!BS83</f>
        <v>8</v>
      </c>
      <c r="CB50" s="111" t="str">
        <f>Montagem!CE83</f>
        <v/>
      </c>
      <c r="CC50" s="111" t="str">
        <f>Montagem!BT83</f>
        <v/>
      </c>
      <c r="CD50" s="111" t="str">
        <f>Montagem!CF83</f>
        <v/>
      </c>
      <c r="CE50" s="106" t="str">
        <f>IF(CD50="",CB50,CD50)</f>
        <v/>
      </c>
      <c r="CF50" s="106" t="str">
        <f>IF(CB51="C",'Dados de Base'!$D$5*0.1,IF(CB51="E",5,IF(BZ50="",CE50,BZ50)))</f>
        <v/>
      </c>
      <c r="CG50" s="108"/>
      <c r="CH50" s="115" t="str">
        <f>IF(CT50="","",HYPERLINK(OFFSET(Biblioteca!$B$2,MATCH(CT50,Biblioteca!$A$3:$A$200,0),0),CT50))</f>
        <v/>
      </c>
      <c r="CK50" s="109" t="str">
        <f>Montagem!CN83</f>
        <v/>
      </c>
      <c r="CL50" s="110" t="str">
        <f>Montagem!CO83</f>
        <v/>
      </c>
      <c r="CM50" s="110" t="str">
        <f>Montagem!CP83</f>
        <v/>
      </c>
      <c r="CN50" s="110" t="str">
        <f>Montagem!CQ83</f>
        <v/>
      </c>
      <c r="CO50" s="110" t="str">
        <f>Montagem!CR83</f>
        <v/>
      </c>
      <c r="CP50" s="110" t="str">
        <f>Montagem!CS83</f>
        <v/>
      </c>
      <c r="CQ50" s="114"/>
      <c r="CR50" s="111">
        <f>Montagem!CH83</f>
        <v>1</v>
      </c>
      <c r="CS50" s="111" t="str">
        <f>Montagem!CT83</f>
        <v/>
      </c>
      <c r="CT50" s="111" t="str">
        <f>Montagem!CI83</f>
        <v/>
      </c>
      <c r="CU50" s="145" t="str">
        <f>Montagem!CU83</f>
        <v/>
      </c>
      <c r="CV50" s="106" t="str">
        <f>IF(CU50="",CS50,CU50)</f>
        <v/>
      </c>
      <c r="CW50" s="106" t="str">
        <f>IF(CS51="C",'Dados de Base'!$D$5*0.1,IF(CS51="E",5,IF(CQ50="",CV50,CQ50)))</f>
        <v/>
      </c>
      <c r="CX50" s="108"/>
      <c r="CY50" s="115" t="str">
        <f>IF(DK50="","",HYPERLINK(OFFSET(Biblioteca!$B$2,MATCH(DK50,Biblioteca!$A$3:$A$200,0),0),DK50))</f>
        <v/>
      </c>
      <c r="DB50" s="130" t="str">
        <f>Montagem!DC83</f>
        <v/>
      </c>
      <c r="DC50" s="131" t="str">
        <f>Montagem!DD83</f>
        <v/>
      </c>
      <c r="DD50" s="131" t="str">
        <f>Montagem!DE83</f>
        <v/>
      </c>
      <c r="DE50" s="131" t="str">
        <f>Montagem!DF83</f>
        <v/>
      </c>
      <c r="DF50" s="131" t="str">
        <f>Montagem!DG83</f>
        <v/>
      </c>
      <c r="DG50" s="131" t="str">
        <f>Montagem!DH83</f>
        <v/>
      </c>
      <c r="DH50" s="114"/>
      <c r="DI50" s="111">
        <f>Montagem!CW83</f>
        <v>1</v>
      </c>
      <c r="DJ50" s="111" t="str">
        <f>Montagem!DI83</f>
        <v/>
      </c>
      <c r="DK50" s="111" t="str">
        <f>Montagem!CX83</f>
        <v/>
      </c>
      <c r="DL50" s="145" t="str">
        <f>Montagem!DJ83</f>
        <v/>
      </c>
      <c r="DM50" s="106" t="str">
        <f>IF(DL50="",DJ50,DL50)</f>
        <v/>
      </c>
      <c r="DN50" s="106" t="str">
        <f>IF(DJ51="C",'Dados de Base'!$D$5*0.1,IF(DJ51="E",5,IF(DH50="",DM50,DH50)))</f>
        <v/>
      </c>
      <c r="DO50" s="108"/>
      <c r="DP50" s="106"/>
      <c r="DQ50" s="106"/>
      <c r="DR50" s="106"/>
      <c r="DS50" s="106"/>
      <c r="DT50" s="106"/>
      <c r="DU50" s="106"/>
      <c r="DV50" s="106"/>
      <c r="DW50" s="106"/>
      <c r="DX50" s="106"/>
      <c r="DY50" s="106"/>
    </row>
    <row r="51">
      <c r="A51" s="117" t="str">
        <f>IF(A50="","",IFS(L51="A",Montagem!$C$80,N51="T","Realizar a maior quantidade de repetições por "&amp;F50&amp;" segundos | ",N51="I",IF(M51="U","Manter a posição por "&amp;F50&amp;" segundos de um lado e trocar para o outro na sequência | ","Manter a posição por "&amp;F50&amp;" segundos | "),M51="A","Realizar alternadamente "&amp;F50&amp;" repetições cada lado | ",M51="U","Realizar "&amp;F50&amp;" repetições de um lado e trocar para o outro na sequência | ",L51="P",OFFSET(Biblioteca!$H$2,MATCH(M50,Biblioteca!$A$3:$A$200,0),0),TRUE,"")&amp;IF(N51="R","Ajuste a carga para que tenha "&amp;$K$2&amp;" repetições de reserva",""))</f>
        <v>1x (3m a 142,95 - 148,3 bpm-&gt; 15,4 - 16,4km/h)</v>
      </c>
      <c r="E51" s="118" t="str">
        <f>IF(A50="","",IFS(L51="H","Carga Sugerida: "&amp;ROUNDUP(O50/2,0)&amp;" kg de cada lado (Total: "&amp;ROUNDUP(O50/2,0)*2&amp;" kg)",L51="C","Este exercício usa o Peso Corporal como carga",L51="E","Este exercício usa a resistência da banda elástica como carga",L51="O","Carga Sugerida: "&amp;INT(O50)&amp;" kg",TRUE,""))</f>
        <v/>
      </c>
      <c r="J51" s="66"/>
      <c r="K51" s="106">
        <f>K50</f>
        <v>9</v>
      </c>
      <c r="L51" s="120" t="str">
        <f>LEFT(O51)</f>
        <v>A</v>
      </c>
      <c r="M51" s="121" t="str">
        <f>MID(O51,2,1)</f>
        <v>-</v>
      </c>
      <c r="N51" s="122" t="str">
        <f>RIGHT(O51)</f>
        <v>-</v>
      </c>
      <c r="O51" s="123" t="str">
        <f>IF(M50="","",OFFSET(Biblioteca!$I$2,MATCH(M50,Biblioteca!$A$3:$A$200,0),0))</f>
        <v>A--</v>
      </c>
      <c r="P51" s="124"/>
      <c r="Q51" s="125"/>
      <c r="R51" s="117" t="str">
        <f>IF(R50="","",IFS(AC51="A",Montagem!$D$80,AE51="T","Realizar a maior quantidade de repetições por "&amp;W50&amp;" segundos | ",AE51="I",IF(AD51="U","Manter a posição por "&amp;W50&amp;" segundos de um lado e trocar para o outro na sequência | ","Manter a posição por "&amp;W50&amp;" segundos | "),AD51="A","Realizar alternadamente "&amp;W50&amp;" repetições cada lado | ",AD51="U","Realizar "&amp;W50&amp;" repetições de um lado e trocar para o outro na sequência | ",AC51="P",OFFSET(Biblioteca!$H$2,MATCH(AD50,Biblioteca!$A$3:$A$200,0),0),TRUE,"")&amp;IF(AE51="R","Ajuste a carga para que tenha "&amp;$K$2&amp;" repetições de reserva",""))</f>
        <v>1x (3m all out)</v>
      </c>
      <c r="V51" s="118" t="str">
        <f>IF(R50="","",IFS(AC51="H","Carga Sugerida: "&amp;ROUNDUP(AF50/2,0)&amp;" kg de cada lado (Total: "&amp;ROUNDUP(AF50/2,0)*2&amp;" kg)",AC51="C","Este exercício usa o Peso Corporal como carga",AC51="E","Este exercício usa a resistência da banda elástica como carga",AC51="O","Carga Sugerida: "&amp;INT(AF50)&amp;" kg",TRUE,""))</f>
        <v/>
      </c>
      <c r="AA51" s="66"/>
      <c r="AB51" s="126">
        <f>AB50</f>
        <v>9</v>
      </c>
      <c r="AC51" s="120" t="str">
        <f>LEFT(AF51)</f>
        <v>A</v>
      </c>
      <c r="AD51" s="121" t="str">
        <f>MID(AF51,2,1)</f>
        <v>-</v>
      </c>
      <c r="AE51" s="122" t="str">
        <f>RIGHT(AF51)</f>
        <v>-</v>
      </c>
      <c r="AF51" s="123" t="str">
        <f>IF(AD50="","",OFFSET(Biblioteca!$I$2,MATCH(AD50,Biblioteca!$A$3:$A$200,0),0))</f>
        <v>A--</v>
      </c>
      <c r="AG51" s="124"/>
      <c r="AH51" s="125"/>
      <c r="AI51" s="117" t="str">
        <f>IF(AI50="","",IFS(AT51="A",Montagem!$E$80,AV51="T","Realizar a maior quantidade de repetições por "&amp;AN50&amp;" segundos | ",AV51="I",IF(AU51="U","Manter a posição por "&amp;AN50&amp;" segundos de um lado e trocar para o outro na sequência | ","Manter a posição por "&amp;AN50&amp;" segundos | "),AU51="A","Realizar alternadamente "&amp;AN50&amp;" repetições cada lado | ",AU51="U","Realizar "&amp;AN50&amp;" repetições de um lado e trocar para o outro na sequência | ",AT51="P",OFFSET(Biblioteca!$H$2,MATCH(AU50,Biblioteca!$A$3:$A$200,0),0),TRUE,"")&amp;IF(AV51="R","Ajuste a carga para que tenha "&amp;$K$2&amp;" repetições de reserva",""))</f>
        <v/>
      </c>
      <c r="AM51" s="118" t="str">
        <f>IF(AI50="","",IFS(AT51="H","Carga Sugerida: "&amp;ROUNDUP(AW50/2,0)&amp;" kg de cada lado (Total: "&amp;ROUNDUP(AW50/2,0)*2&amp;" kg)",AT51="C","Este exercício usa o Peso Corporal como carga",AT51="E","Este exercício usa a resistência da banda elástica como carga",AT51="O","Carga Sugerida: "&amp;INT(AW50)&amp;" kg",TRUE,""))</f>
        <v/>
      </c>
      <c r="AR51" s="66"/>
      <c r="AS51" s="126">
        <f>AS50</f>
        <v>1</v>
      </c>
      <c r="AT51" s="120" t="str">
        <f>LEFT(AW51)</f>
        <v/>
      </c>
      <c r="AU51" s="121" t="str">
        <f>MID(AW51,2,1)</f>
        <v/>
      </c>
      <c r="AV51" s="122" t="str">
        <f>RIGHT(AW51)</f>
        <v/>
      </c>
      <c r="AW51" s="123" t="str">
        <f>IF(AU50="","",OFFSET(Biblioteca!$I$2,MATCH(AU50,Biblioteca!$A$3:$A$200,0),0))</f>
        <v/>
      </c>
      <c r="AX51" s="124"/>
      <c r="AY51" s="125"/>
      <c r="AZ51" s="117" t="str">
        <f>IF(AZ50="","",IFS(BK51="A",Montagem!$F$80,BM51="T","Realizar a maior quantidade de repetições por "&amp;BE50&amp;" segundos | ",BM51="I",IF(BL51="U","Manter a posição por "&amp;BE50&amp;" segundos de um lado e trocar para o outro na sequência | ","Manter a posição por "&amp;BE50&amp;" segundos | "),BL51="A","Realizar alternadamente "&amp;BE50&amp;" repetições cada lado | ",BL51="U","Realizar "&amp;BE50&amp;" repetições de um lado e trocar para o outro na sequência | ",BK51="P",OFFSET(Biblioteca!$H$2,MATCH(BL50,Biblioteca!$A$3:$A$200,0),0),TRUE,"")&amp;IF(BM51="R","Ajuste a carga para que tenha "&amp;$K$2&amp;" repetições de reserva",""))</f>
        <v/>
      </c>
      <c r="BD51" s="118" t="str">
        <f>IF(AZ50="","",IFS(BK51="H","Carga Sugerida: "&amp;ROUNDUP(BN50/2,0)&amp;" kg de cada lado (Total: "&amp;ROUNDUP(BN50/2,0)*2&amp;" kg)",BK51="C","Este exercício usa o Peso Corporal como carga",BK51="E","Este exercício usa a resistência da banda elástica como carga",BK51="O","Carga Sugerida: "&amp;INT(BN50)&amp;" kg",TRUE,""))</f>
        <v/>
      </c>
      <c r="BI51" s="66"/>
      <c r="BJ51" s="126">
        <f>BJ50</f>
        <v>7</v>
      </c>
      <c r="BK51" s="120" t="str">
        <f>LEFT(BN51)</f>
        <v/>
      </c>
      <c r="BL51" s="121" t="str">
        <f>MID(BN51,2,1)</f>
        <v/>
      </c>
      <c r="BM51" s="122" t="str">
        <f>RIGHT(BN51)</f>
        <v/>
      </c>
      <c r="BN51" s="123" t="str">
        <f>IF(BL50="","",OFFSET(Biblioteca!$I$2,MATCH(BL50,Biblioteca!$A$3:$A$200,0),0))</f>
        <v/>
      </c>
      <c r="BO51" s="124"/>
      <c r="BP51" s="125"/>
      <c r="BQ51" s="117" t="str">
        <f>IF(BQ50="","",IFS(CB51="A",Montagem!$G$80,CD51="T","Realizar a maior quantidade de repetições por "&amp;BV50&amp;" segundos | ",CD51="I",IF(CC51="U","Manter a posição por "&amp;BV50&amp;" segundos de um lado e trocar para o outro na sequência | ","Manter a posição por "&amp;BV50&amp;" segundos | "),CC51="A","Realizar alternadamente "&amp;BV50&amp;" repetições cada lado | ",CC51="U","Realizar "&amp;BV50&amp;" repetições de um lado e trocar para o outro na sequência | ",CB51="P",OFFSET(Biblioteca!$H$2,MATCH(CC50,Biblioteca!$A$3:$A$200,0),0),TRUE,"")&amp;IF(CD51="R","Ajuste a carga para que tenha "&amp;$K$2&amp;" repetições de reserva",""))</f>
        <v/>
      </c>
      <c r="BU51" s="118" t="str">
        <f>IF(BQ50="","",IFS(CB51="H","Carga Sugerida: "&amp;ROUNDUP(CE50/2,0)&amp;" kg de cada lado (Total: "&amp;ROUNDUP(CE50/2,0)*2&amp;" kg)",CB51="C","Este exercício usa o Peso Corporal como carga",CB51="E","Este exercício usa a resistência da banda elástica como carga",CB51="O","Carga Sugerida: "&amp;INT(CE50)&amp;" kg",TRUE,""))</f>
        <v/>
      </c>
      <c r="BZ51" s="66"/>
      <c r="CA51" s="126">
        <f>CA50</f>
        <v>8</v>
      </c>
      <c r="CB51" s="120" t="str">
        <f>LEFT(CE51)</f>
        <v/>
      </c>
      <c r="CC51" s="121" t="str">
        <f>MID(CE51,2,1)</f>
        <v/>
      </c>
      <c r="CD51" s="122" t="str">
        <f>RIGHT(CE51)</f>
        <v/>
      </c>
      <c r="CE51" s="123" t="str">
        <f>IF(CC50="","",OFFSET(Biblioteca!$I$2,MATCH(CC50,Biblioteca!$A$3:$A$200,0),0))</f>
        <v/>
      </c>
      <c r="CF51" s="124"/>
      <c r="CG51" s="125"/>
      <c r="CH51" s="117" t="str">
        <f>IF(CH50="","",IFS(CS51="A",Montagem!$H$80,CU51="T","Realizar a maior quantidade de repetições por "&amp;CM50&amp;" segundos | ",CU51="I",IF(CT51="U","Manter a posição por "&amp;CM50&amp;" segundos de um lado e trocar para o outro na sequência | ","Manter a posição por "&amp;CM50&amp;" segundos | "),CT51="A","Realizar alternadamente "&amp;CM50&amp;" repetições cada lado | ",CT51="U","Realizar "&amp;CM50&amp;" repetições de um lado e trocar para o outro na sequência | ",CS51="P",OFFSET(Biblioteca!$H$2,MATCH(CT50,Biblioteca!$A$3:$A$200,0),0),TRUE,"")&amp;IF(CU51="R","Ajuste a carga para que tenha "&amp;$K$2&amp;" repetições de reserva",""))</f>
        <v/>
      </c>
      <c r="CL51" s="118" t="str">
        <f>IF(CH50="","",IFS(CS51="H","Carga Sugerida: "&amp;ROUNDUP(CV50/2,0)&amp;" kg de cada lado (Total: "&amp;ROUNDUP(CV50/2,0)*2&amp;" kg)",CS51="C","Este exercício usa o Peso Corporal como carga",CS51="E","Este exercício usa a resistência da banda elástica como carga",CS51="O","Carga Sugerida: "&amp;INT(CV50)&amp;" kg",TRUE,""))</f>
        <v/>
      </c>
      <c r="CQ51" s="66"/>
      <c r="CR51" s="126">
        <f>CR50</f>
        <v>1</v>
      </c>
      <c r="CS51" s="120" t="str">
        <f>LEFT(CV51)</f>
        <v/>
      </c>
      <c r="CT51" s="121" t="str">
        <f>MID(CV51,2,1)</f>
        <v/>
      </c>
      <c r="CU51" s="122" t="str">
        <f>RIGHT(CV51)</f>
        <v/>
      </c>
      <c r="CV51" s="123" t="str">
        <f>IF(CT50="","",OFFSET(Biblioteca!$I$2,MATCH(CT50,Biblioteca!$A$3:$A$200,0),0))</f>
        <v/>
      </c>
      <c r="CW51" s="124"/>
      <c r="CX51" s="125"/>
      <c r="CY51" s="117" t="str">
        <f>IF(CY50="","",IFS(DJ51="A",Montagem!$I$80,DL51="T","Realizar a maior quantidade de repetições por "&amp;DD50&amp;" segundos | ",DL51="I",IF(DK51="U","Manter a posição por "&amp;DD50&amp;" segundos de um lado e trocar para o outro na sequência | ","Manter a posição por "&amp;DD50&amp;" segundos | "),DK51="A","Realizar alternadamente "&amp;DD50&amp;" repetições cada lado | ",DK51="U","Realizar "&amp;DD50&amp;" repetições de um lado e trocar para o outro na sequência | ",DJ51="P",OFFSET(Biblioteca!$H$2,MATCH(DK50,Biblioteca!$A$3:$A$200,0),0),TRUE,"")&amp;IF(DL51="R","Ajuste a carga para que tenha "&amp;$K$2&amp;" repetições de reserva",""))</f>
        <v/>
      </c>
      <c r="DC51" s="118" t="str">
        <f>IF(CY50="","",IFS(DJ51="H","Carga Sugerida: "&amp;ROUNDUP(DM50/2,0)&amp;" kg de cada lado (Total: "&amp;ROUNDUP(DM50/2,0)*2&amp;" kg)",DJ51="C","Este exercício usa o Peso Corporal como carga",DJ51="E","Este exercício usa a resistência da banda elástica como carga",DJ51="O","Carga Sugerida: "&amp;INT(DM50)&amp;" kg",TRUE,""))</f>
        <v/>
      </c>
      <c r="DH51" s="66"/>
      <c r="DI51" s="126">
        <f>DI50</f>
        <v>1</v>
      </c>
      <c r="DJ51" s="120" t="str">
        <f>LEFT(DM51)</f>
        <v/>
      </c>
      <c r="DK51" s="121" t="str">
        <f>MID(DM51,2,1)</f>
        <v/>
      </c>
      <c r="DL51" s="122" t="str">
        <f>RIGHT(DM51)</f>
        <v/>
      </c>
      <c r="DM51" s="123" t="str">
        <f>IF(DK50="","",OFFSET(Biblioteca!$I$2,MATCH(DK50,Biblioteca!$A$3:$A$200,0),0))</f>
        <v/>
      </c>
      <c r="DN51" s="124"/>
      <c r="DO51" s="125"/>
      <c r="DP51" s="57"/>
      <c r="DQ51" s="56"/>
      <c r="DR51" s="56"/>
      <c r="DS51" s="56"/>
      <c r="DT51" s="56"/>
      <c r="DU51" s="56"/>
      <c r="DV51" s="56"/>
      <c r="DW51" s="56"/>
      <c r="DX51" s="56"/>
      <c r="DY51" s="56"/>
    </row>
    <row r="52">
      <c r="A52" s="102" t="str">
        <f>IF(M52="","",HYPERLINK(OFFSET(Biblioteca!$B$2,MATCH(M52,Biblioteca!$A$3:$A$200,0),0),M52))</f>
        <v>Abdominal canoa</v>
      </c>
      <c r="D52" s="103" t="str">
        <f>Montagem!Q84</f>
        <v>Bi-SET</v>
      </c>
      <c r="E52" s="104">
        <f>Montagem!R84</f>
        <v>3</v>
      </c>
      <c r="F52" s="104">
        <f>Montagem!S84</f>
        <v>15</v>
      </c>
      <c r="G52" s="104" t="str">
        <f>Montagem!T84</f>
        <v/>
      </c>
      <c r="H52" s="104">
        <f>Montagem!U84</f>
        <v>1</v>
      </c>
      <c r="I52" s="132">
        <f>Montagem!V84</f>
        <v>2</v>
      </c>
      <c r="J52" s="105">
        <v>10.0</v>
      </c>
      <c r="K52" s="106">
        <f>Montagem!K84</f>
        <v>10</v>
      </c>
      <c r="L52" s="111">
        <f>Montagem!W84</f>
        <v>0</v>
      </c>
      <c r="M52" s="111" t="str">
        <f>Montagem!L84</f>
        <v>Abdominal canoa</v>
      </c>
      <c r="N52" s="111" t="str">
        <f>Montagem!X84</f>
        <v/>
      </c>
      <c r="O52" s="106">
        <f>IF(N52="",L52,N52)</f>
        <v>0</v>
      </c>
      <c r="P52" s="106">
        <f>IF(L53="C",'Dados de Base'!$D$5*0.1,IF(L53="E",5,IF(J52="",O52,J52)))</f>
        <v>6.3</v>
      </c>
      <c r="Q52" s="108"/>
      <c r="R52" s="102" t="str">
        <f>IF(AD52="","",HYPERLINK(OFFSET(Biblioteca!$B$2,MATCH(AD52,Biblioteca!$A$3:$A$200,0),0),AD52))</f>
        <v>Abdominal roda</v>
      </c>
      <c r="U52" s="109" t="str">
        <f>Montagem!AF84</f>
        <v>Bi-SET</v>
      </c>
      <c r="V52" s="110">
        <f>Montagem!AG84</f>
        <v>3</v>
      </c>
      <c r="W52" s="110">
        <f>Montagem!AH84</f>
        <v>15</v>
      </c>
      <c r="X52" s="110" t="str">
        <f>Montagem!AI84</f>
        <v/>
      </c>
      <c r="Y52" s="110">
        <f>Montagem!AJ84</f>
        <v>1</v>
      </c>
      <c r="Z52" s="110">
        <f>Montagem!AK84</f>
        <v>2</v>
      </c>
      <c r="AA52" s="113">
        <v>10.0</v>
      </c>
      <c r="AB52" s="111">
        <f>Montagem!Z84</f>
        <v>10</v>
      </c>
      <c r="AC52" s="111">
        <f>Montagem!AL84</f>
        <v>0</v>
      </c>
      <c r="AD52" s="129" t="str">
        <f>Montagem!AA84</f>
        <v>Abdominal roda</v>
      </c>
      <c r="AE52" s="111" t="str">
        <f>Montagem!AM84</f>
        <v/>
      </c>
      <c r="AF52" s="106">
        <f>IF(AE52="",AC52,AE52)</f>
        <v>0</v>
      </c>
      <c r="AG52" s="106">
        <f>IF(AC53="C",'Dados de Base'!$D$5*0.1,IF(AC53="E",5,IF(AA52="",AF52,AA52)))</f>
        <v>6.3</v>
      </c>
      <c r="AH52" s="108"/>
      <c r="AI52" s="115" t="str">
        <f>IF(AU52="","",HYPERLINK(OFFSET(Biblioteca!$B$2,MATCH(AU52,Biblioteca!$A$3:$A$200,0),0),AU52))</f>
        <v/>
      </c>
      <c r="AL52" s="109" t="str">
        <f>Montagem!AU84</f>
        <v/>
      </c>
      <c r="AM52" s="110" t="str">
        <f>Montagem!AV84</f>
        <v/>
      </c>
      <c r="AN52" s="110" t="str">
        <f>Montagem!AW84</f>
        <v/>
      </c>
      <c r="AO52" s="110" t="str">
        <f>Montagem!AX84</f>
        <v/>
      </c>
      <c r="AP52" s="110" t="str">
        <f>Montagem!AY84</f>
        <v/>
      </c>
      <c r="AQ52" s="110" t="str">
        <f>Montagem!AZ84</f>
        <v/>
      </c>
      <c r="AR52" s="114"/>
      <c r="AS52" s="111">
        <f>Montagem!AO84</f>
        <v>1</v>
      </c>
      <c r="AT52" s="111" t="str">
        <f>Montagem!BA84</f>
        <v/>
      </c>
      <c r="AU52" s="111" t="str">
        <f>Montagem!AP84</f>
        <v/>
      </c>
      <c r="AV52" s="111" t="str">
        <f>Montagem!BB84</f>
        <v/>
      </c>
      <c r="AW52" s="106" t="str">
        <f>IF(AV52="",AT52,AV52)</f>
        <v/>
      </c>
      <c r="AX52" s="106" t="str">
        <f>IF(AT53="C",'Dados de Base'!$D$5*0.1,IF(AT53="E",5,IF(AR52="",AW52,AR52)))</f>
        <v/>
      </c>
      <c r="AY52" s="108"/>
      <c r="AZ52" s="115" t="str">
        <f>IF(BL52="","",HYPERLINK(OFFSET(Biblioteca!$B$2,MATCH(BL52,Biblioteca!$A$3:$A$200,0),0),BL52))</f>
        <v/>
      </c>
      <c r="BC52" s="109" t="str">
        <f>Montagem!BJ84</f>
        <v/>
      </c>
      <c r="BD52" s="110" t="str">
        <f>Montagem!BK84</f>
        <v/>
      </c>
      <c r="BE52" s="110" t="str">
        <f>Montagem!BL84</f>
        <v/>
      </c>
      <c r="BF52" s="110" t="str">
        <f>Montagem!BM84</f>
        <v/>
      </c>
      <c r="BG52" s="110" t="str">
        <f>Montagem!BN84</f>
        <v/>
      </c>
      <c r="BH52" s="110" t="str">
        <f>Montagem!BO84</f>
        <v/>
      </c>
      <c r="BI52" s="113"/>
      <c r="BJ52" s="111">
        <f>Montagem!BD84</f>
        <v>7</v>
      </c>
      <c r="BK52" s="111" t="str">
        <f>Montagem!BP84</f>
        <v/>
      </c>
      <c r="BL52" s="111" t="str">
        <f>Montagem!BE84</f>
        <v/>
      </c>
      <c r="BM52" s="111" t="str">
        <f>Montagem!BQ84</f>
        <v/>
      </c>
      <c r="BN52" s="106" t="str">
        <f>IF(BM52="",BK52,BM52)</f>
        <v/>
      </c>
      <c r="BO52" s="106" t="str">
        <f>IF(BK53="C",'Dados de Base'!$D$5*0.1,IF(BK53="E",5,IF(BI52="",BN52,BI52)))</f>
        <v/>
      </c>
      <c r="BP52" s="108"/>
      <c r="BQ52" s="115" t="str">
        <f>IF(CC52="","",HYPERLINK(OFFSET(Biblioteca!$B$2,MATCH(CC52,Biblioteca!$A$3:$A$200,0),0),CC52))</f>
        <v/>
      </c>
      <c r="BT52" s="109" t="str">
        <f>Montagem!BY84</f>
        <v/>
      </c>
      <c r="BU52" s="110" t="str">
        <f>Montagem!BZ84</f>
        <v/>
      </c>
      <c r="BV52" s="110" t="str">
        <f>Montagem!CA84</f>
        <v/>
      </c>
      <c r="BW52" s="110" t="str">
        <f>Montagem!CB84</f>
        <v/>
      </c>
      <c r="BX52" s="110" t="str">
        <f>Montagem!CC84</f>
        <v/>
      </c>
      <c r="BY52" s="110" t="str">
        <f>Montagem!CD84</f>
        <v/>
      </c>
      <c r="BZ52" s="114"/>
      <c r="CA52" s="111">
        <f>Montagem!BS84</f>
        <v>8</v>
      </c>
      <c r="CB52" s="111" t="str">
        <f>Montagem!CE84</f>
        <v/>
      </c>
      <c r="CC52" s="111" t="str">
        <f>Montagem!BT84</f>
        <v/>
      </c>
      <c r="CD52" s="111" t="str">
        <f>Montagem!CF84</f>
        <v/>
      </c>
      <c r="CE52" s="106" t="str">
        <f>IF(CD52="",CB52,CD52)</f>
        <v/>
      </c>
      <c r="CF52" s="106" t="str">
        <f>IF(CB53="C",'Dados de Base'!$D$5*0.1,IF(CB53="E",5,IF(BZ52="",CE52,BZ52)))</f>
        <v/>
      </c>
      <c r="CG52" s="108"/>
      <c r="CH52" s="115" t="str">
        <f>IF(CT52="","",HYPERLINK(OFFSET(Biblioteca!$B$2,MATCH(CT52,Biblioteca!$A$3:$A$200,0),0),CT52))</f>
        <v/>
      </c>
      <c r="CK52" s="109" t="str">
        <f>Montagem!CN84</f>
        <v/>
      </c>
      <c r="CL52" s="110" t="str">
        <f>Montagem!CO84</f>
        <v/>
      </c>
      <c r="CM52" s="110" t="str">
        <f>Montagem!CP84</f>
        <v/>
      </c>
      <c r="CN52" s="110" t="str">
        <f>Montagem!CQ84</f>
        <v/>
      </c>
      <c r="CO52" s="110" t="str">
        <f>Montagem!CR84</f>
        <v/>
      </c>
      <c r="CP52" s="110" t="str">
        <f>Montagem!CS84</f>
        <v/>
      </c>
      <c r="CQ52" s="114"/>
      <c r="CR52" s="111">
        <f>Montagem!CH84</f>
        <v>1</v>
      </c>
      <c r="CS52" s="111" t="str">
        <f>Montagem!CT84</f>
        <v/>
      </c>
      <c r="CT52" s="111" t="str">
        <f>Montagem!CI84</f>
        <v/>
      </c>
      <c r="CU52" s="145" t="str">
        <f>Montagem!CU84</f>
        <v/>
      </c>
      <c r="CV52" s="106" t="str">
        <f>IF(CU52="",CS52,CU52)</f>
        <v/>
      </c>
      <c r="CW52" s="106" t="str">
        <f>IF(CS53="C",'Dados de Base'!$D$5*0.1,IF(CS53="E",5,IF(CQ52="",CV52,CQ52)))</f>
        <v/>
      </c>
      <c r="CX52" s="108"/>
      <c r="CY52" s="115" t="str">
        <f>IF(DK52="","",HYPERLINK(OFFSET(Biblioteca!$B$2,MATCH(DK52,Biblioteca!$A$3:$A$200,0),0),DK52))</f>
        <v/>
      </c>
      <c r="DB52" s="130" t="str">
        <f>Montagem!DC84</f>
        <v/>
      </c>
      <c r="DC52" s="131" t="str">
        <f>Montagem!DD84</f>
        <v/>
      </c>
      <c r="DD52" s="131" t="str">
        <f>Montagem!DE84</f>
        <v/>
      </c>
      <c r="DE52" s="131" t="str">
        <f>Montagem!DF84</f>
        <v/>
      </c>
      <c r="DF52" s="131" t="str">
        <f>Montagem!DG84</f>
        <v/>
      </c>
      <c r="DG52" s="131" t="str">
        <f>Montagem!DH84</f>
        <v/>
      </c>
      <c r="DH52" s="114"/>
      <c r="DI52" s="111">
        <f>Montagem!CW84</f>
        <v>1</v>
      </c>
      <c r="DJ52" s="111" t="str">
        <f>Montagem!DI84</f>
        <v/>
      </c>
      <c r="DK52" s="111" t="str">
        <f>Montagem!CX84</f>
        <v/>
      </c>
      <c r="DL52" s="145" t="str">
        <f>Montagem!DJ84</f>
        <v/>
      </c>
      <c r="DM52" s="106" t="str">
        <f>IF(DL52="",DJ52,DL52)</f>
        <v/>
      </c>
      <c r="DN52" s="106" t="str">
        <f>IF(DJ53="C",'Dados de Base'!$D$5*0.1,IF(DJ53="E",5,IF(DH52="",DM52,DH52)))</f>
        <v/>
      </c>
      <c r="DO52" s="108"/>
      <c r="DP52" s="106"/>
      <c r="DQ52" s="106"/>
      <c r="DR52" s="106"/>
      <c r="DS52" s="106"/>
      <c r="DT52" s="106"/>
      <c r="DU52" s="106"/>
      <c r="DV52" s="106"/>
      <c r="DW52" s="106"/>
      <c r="DX52" s="106"/>
      <c r="DY52" s="106"/>
    </row>
    <row r="53">
      <c r="A53" s="117" t="str">
        <f>IF(A52="","",IFS(L53="A",Montagem!$C$80,N53="T","Realizar a maior quantidade de repetições por "&amp;F52&amp;" segundos | ",N53="I",IF(M53="U","Manter a posição por "&amp;F52&amp;" segundos de um lado e trocar para o outro na sequência | ","Manter a posição por "&amp;F52&amp;" segundos | "),M53="A","Realizar alternadamente "&amp;F52&amp;" repetições cada lado | ",M53="U","Realizar "&amp;F52&amp;" repetições de um lado e trocar para o outro na sequência | ",L53="P",OFFSET(Biblioteca!$H$2,MATCH(M52,Biblioteca!$A$3:$A$200,0),0),TRUE,"")&amp;IF(N53="R","Ajuste a carga para que tenha "&amp;$K$2&amp;" repetições de reserva",""))</f>
        <v>Ajuste a carga para que tenha 0 a 2 repetições de reserva</v>
      </c>
      <c r="E53" s="118" t="str">
        <f>IF(A52="","",IFS(L53="H","Carga Sugerida: "&amp;ROUNDUP(O52/2,0)&amp;" kg de cada lado (Total: "&amp;ROUNDUP(O52/2,0)*2&amp;" kg)",L53="C","Este exercício usa o Peso Corporal como carga",L53="E","Este exercício usa a resistência da banda elástica como carga",L53="O","Carga Sugerida: "&amp;INT(O52)&amp;" kg",TRUE,""))</f>
        <v>Este exercício usa o Peso Corporal como carga</v>
      </c>
      <c r="J53" s="66"/>
      <c r="K53" s="106">
        <f>K52</f>
        <v>10</v>
      </c>
      <c r="L53" s="120" t="str">
        <f>LEFT(O53)</f>
        <v>C</v>
      </c>
      <c r="M53" s="121" t="str">
        <f>MID(O53,2,1)</f>
        <v>O</v>
      </c>
      <c r="N53" s="122" t="str">
        <f>RIGHT(O53)</f>
        <v>R</v>
      </c>
      <c r="O53" s="123" t="str">
        <f>IF(M52="","",OFFSET(Biblioteca!$I$2,MATCH(M52,Biblioteca!$A$3:$A$200,0),0))</f>
        <v>COR</v>
      </c>
      <c r="P53" s="124"/>
      <c r="Q53" s="125"/>
      <c r="R53" s="117" t="str">
        <f>IF(R52="","",IFS(AC53="A",Montagem!$D$80,AE53="T","Realizar a maior quantidade de repetições por "&amp;W52&amp;" segundos | ",AE53="I",IF(AD53="U","Manter a posição por "&amp;W52&amp;" segundos de um lado e trocar para o outro na sequência | ","Manter a posição por "&amp;W52&amp;" segundos | "),AD53="A","Realizar alternadamente "&amp;W52&amp;" repetições cada lado | ",AD53="U","Realizar "&amp;W52&amp;" repetições de um lado e trocar para o outro na sequência | ",AC53="P",OFFSET(Biblioteca!$H$2,MATCH(AD52,Biblioteca!$A$3:$A$200,0),0),TRUE,"")&amp;IF(AE53="R","Ajuste a carga para que tenha "&amp;$K$2&amp;" repetições de reserva",""))</f>
        <v>Ajuste a carga para que tenha 0 a 2 repetições de reserva</v>
      </c>
      <c r="V53" s="118" t="str">
        <f>IF(R52="","",IFS(AC53="H","Carga Sugerida: "&amp;ROUNDUP(AF52/2,0)&amp;" kg de cada lado (Total: "&amp;ROUNDUP(AF52/2,0)*2&amp;" kg)",AC53="C","Este exercício usa o Peso Corporal como carga",AC53="E","Este exercício usa a resistência da banda elástica como carga",AC53="O","Carga Sugerida: "&amp;INT(AF52)&amp;" kg",TRUE,""))</f>
        <v>Este exercício usa o Peso Corporal como carga</v>
      </c>
      <c r="AA53" s="66"/>
      <c r="AB53" s="126">
        <f>AB52</f>
        <v>10</v>
      </c>
      <c r="AC53" s="120" t="str">
        <f>LEFT(AF53)</f>
        <v>C</v>
      </c>
      <c r="AD53" s="121" t="str">
        <f>MID(AF53,2,1)</f>
        <v>O</v>
      </c>
      <c r="AE53" s="122" t="str">
        <f>RIGHT(AF53)</f>
        <v>R</v>
      </c>
      <c r="AF53" s="123" t="str">
        <f>IF(AD52="","",OFFSET(Biblioteca!$I$2,MATCH(AD52,Biblioteca!$A$3:$A$200,0),0))</f>
        <v>COR</v>
      </c>
      <c r="AG53" s="124"/>
      <c r="AH53" s="125"/>
      <c r="AI53" s="117" t="str">
        <f>IF(AI52="","",IFS(AT53="A",Montagem!$E$80,AV53="T","Realizar a maior quantidade de repetições por "&amp;AN52&amp;" segundos | ",AV53="I",IF(AU53="U","Manter a posição por "&amp;AN52&amp;" segundos de um lado e trocar para o outro na sequência | ","Manter a posição por "&amp;AN52&amp;" segundos | "),AU53="A","Realizar alternadamente "&amp;AN52&amp;" repetições cada lado | ",AU53="U","Realizar "&amp;AN52&amp;" repetições de um lado e trocar para o outro na sequência | ",AT53="P",OFFSET(Biblioteca!$H$2,MATCH(AU52,Biblioteca!$A$3:$A$200,0),0),TRUE,"")&amp;IF(AV53="R","Ajuste a carga para que tenha "&amp;$K$2&amp;" repetições de reserva",""))</f>
        <v/>
      </c>
      <c r="AM53" s="118" t="str">
        <f>IF(AI52="","",IFS(AT53="H","Carga Sugerida: "&amp;ROUNDUP(AW52/2,0)&amp;" kg de cada lado (Total: "&amp;ROUNDUP(AW52/2,0)*2&amp;" kg)",AT53="C","Este exercício usa o Peso Corporal como carga",AT53="E","Este exercício usa a resistência da banda elástica como carga",AT53="O","Carga Sugerida: "&amp;INT(AW52)&amp;" kg",TRUE,""))</f>
        <v/>
      </c>
      <c r="AR53" s="66"/>
      <c r="AS53" s="126">
        <f>AS52</f>
        <v>1</v>
      </c>
      <c r="AT53" s="120" t="str">
        <f>LEFT(AW53)</f>
        <v/>
      </c>
      <c r="AU53" s="121" t="str">
        <f>MID(AW53,2,1)</f>
        <v/>
      </c>
      <c r="AV53" s="122" t="str">
        <f>RIGHT(AW53)</f>
        <v/>
      </c>
      <c r="AW53" s="123" t="str">
        <f>IF(AU52="","",OFFSET(Biblioteca!$I$2,MATCH(AU52,Biblioteca!$A$3:$A$200,0),0))</f>
        <v/>
      </c>
      <c r="AX53" s="124"/>
      <c r="AY53" s="125"/>
      <c r="AZ53" s="117" t="str">
        <f>IF(AZ52="","",IFS(BK53="A",Montagem!$F$80,BM53="T","Realizar a maior quantidade de repetições por "&amp;BE52&amp;" segundos | ",BM53="I",IF(BL53="U","Manter a posição por "&amp;BE52&amp;" segundos de um lado e trocar para o outro na sequência | ","Manter a posição por "&amp;BE52&amp;" segundos | "),BL53="A","Realizar alternadamente "&amp;BE52&amp;" repetições cada lado | ",BL53="U","Realizar "&amp;BE52&amp;" repetições de um lado e trocar para o outro na sequência | ",BK53="P",OFFSET(Biblioteca!$H$2,MATCH(BL52,Biblioteca!$A$3:$A$200,0),0),TRUE,"")&amp;IF(BM53="R","Ajuste a carga para que tenha "&amp;$K$2&amp;" repetições de reserva",""))</f>
        <v/>
      </c>
      <c r="BD53" s="118" t="str">
        <f>IF(AZ52="","",IFS(BK53="H","Carga Sugerida: "&amp;ROUNDUP(BN52/2,0)&amp;" kg de cada lado (Total: "&amp;ROUNDUP(BN52/2,0)*2&amp;" kg)",BK53="C","Este exercício usa o Peso Corporal como carga",BK53="E","Este exercício usa a resistência da banda elástica como carga",BK53="O","Carga Sugerida: "&amp;INT(BN52)&amp;" kg",TRUE,""))</f>
        <v/>
      </c>
      <c r="BI53" s="66"/>
      <c r="BJ53" s="126">
        <f>BJ52</f>
        <v>7</v>
      </c>
      <c r="BK53" s="120" t="str">
        <f>LEFT(BN53)</f>
        <v/>
      </c>
      <c r="BL53" s="121" t="str">
        <f>MID(BN53,2,1)</f>
        <v/>
      </c>
      <c r="BM53" s="122" t="str">
        <f>RIGHT(BN53)</f>
        <v/>
      </c>
      <c r="BN53" s="123" t="str">
        <f>IF(BL52="","",OFFSET(Biblioteca!$I$2,MATCH(BL52,Biblioteca!$A$3:$A$200,0),0))</f>
        <v/>
      </c>
      <c r="BO53" s="124"/>
      <c r="BP53" s="125"/>
      <c r="BQ53" s="117" t="str">
        <f>IF(BQ52="","",IFS(CB53="A",Montagem!$G$80,CD53="T","Realizar a maior quantidade de repetições por "&amp;BV52&amp;" segundos | ",CD53="I",IF(CC53="U","Manter a posição por "&amp;BV52&amp;" segundos de um lado e trocar para o outro na sequência | ","Manter a posição por "&amp;BV52&amp;" segundos | "),CC53="A","Realizar alternadamente "&amp;BV52&amp;" repetições cada lado | ",CC53="U","Realizar "&amp;BV52&amp;" repetições de um lado e trocar para o outro na sequência | ",CB53="P",OFFSET(Biblioteca!$H$2,MATCH(CC52,Biblioteca!$A$3:$A$200,0),0),TRUE,"")&amp;IF(CD53="R","Ajuste a carga para que tenha "&amp;$K$2&amp;" repetições de reserva",""))</f>
        <v/>
      </c>
      <c r="BU53" s="118" t="str">
        <f>IF(BQ52="","",IFS(CB53="H","Carga Sugerida: "&amp;ROUNDUP(CE52/2,0)&amp;" kg de cada lado (Total: "&amp;ROUNDUP(CE52/2,0)*2&amp;" kg)",CB53="C","Este exercício usa o Peso Corporal como carga",CB53="E","Este exercício usa a resistência da banda elástica como carga",CB53="O","Carga Sugerida: "&amp;INT(CE52)&amp;" kg",TRUE,""))</f>
        <v/>
      </c>
      <c r="BZ53" s="66"/>
      <c r="CA53" s="126">
        <f>CA52</f>
        <v>8</v>
      </c>
      <c r="CB53" s="120" t="str">
        <f>LEFT(CE53)</f>
        <v/>
      </c>
      <c r="CC53" s="121" t="str">
        <f>MID(CE53,2,1)</f>
        <v/>
      </c>
      <c r="CD53" s="122" t="str">
        <f>RIGHT(CE53)</f>
        <v/>
      </c>
      <c r="CE53" s="123" t="str">
        <f>IF(CC52="","",OFFSET(Biblioteca!$I$2,MATCH(CC52,Biblioteca!$A$3:$A$200,0),0))</f>
        <v/>
      </c>
      <c r="CF53" s="124"/>
      <c r="CG53" s="125"/>
      <c r="CH53" s="117" t="str">
        <f>IF(CH52="","",IFS(CS53="A",Montagem!$H$80,CU53="T","Realizar a maior quantidade de repetições por "&amp;CM52&amp;" segundos | ",CU53="I",IF(CT53="U","Manter a posição por "&amp;CM52&amp;" segundos de um lado e trocar para o outro na sequência | ","Manter a posição por "&amp;CM52&amp;" segundos | "),CT53="A","Realizar alternadamente "&amp;CM52&amp;" repetições cada lado | ",CT53="U","Realizar "&amp;CM52&amp;" repetições de um lado e trocar para o outro na sequência | ",CS53="P",OFFSET(Biblioteca!$H$2,MATCH(CT52,Biblioteca!$A$3:$A$200,0),0),TRUE,"")&amp;IF(CU53="R","Ajuste a carga para que tenha "&amp;$K$2&amp;" repetições de reserva",""))</f>
        <v/>
      </c>
      <c r="CL53" s="118" t="str">
        <f>IF(CH52="","",IFS(CS53="H","Carga Sugerida: "&amp;ROUNDUP(CV52/2,0)&amp;" kg de cada lado (Total: "&amp;ROUNDUP(CV52/2,0)*2&amp;" kg)",CS53="C","Este exercício usa o Peso Corporal como carga",CS53="E","Este exercício usa a resistência da banda elástica como carga",CS53="O","Carga Sugerida: "&amp;INT(CV52)&amp;" kg",TRUE,""))</f>
        <v/>
      </c>
      <c r="CQ53" s="66"/>
      <c r="CR53" s="126">
        <f>CR52</f>
        <v>1</v>
      </c>
      <c r="CS53" s="120" t="str">
        <f>LEFT(CV53)</f>
        <v/>
      </c>
      <c r="CT53" s="121" t="str">
        <f>MID(CV53,2,1)</f>
        <v/>
      </c>
      <c r="CU53" s="122" t="str">
        <f>RIGHT(CV53)</f>
        <v/>
      </c>
      <c r="CV53" s="123" t="str">
        <f>IF(CT52="","",OFFSET(Biblioteca!$I$2,MATCH(CT52,Biblioteca!$A$3:$A$200,0),0))</f>
        <v/>
      </c>
      <c r="CW53" s="124"/>
      <c r="CX53" s="125"/>
      <c r="CY53" s="117" t="str">
        <f>IF(CY52="","",IFS(DJ53="A",Montagem!$I$80,DL53="T","Realizar a maior quantidade de repetições por "&amp;DD52&amp;" segundos | ",DL53="I",IF(DK53="U","Manter a posição por "&amp;DD52&amp;" segundos de um lado e trocar para o outro na sequência | ","Manter a posição por "&amp;DD52&amp;" segundos | "),DK53="A","Realizar alternadamente "&amp;DD52&amp;" repetições cada lado | ",DK53="U","Realizar "&amp;DD52&amp;" repetições de um lado e trocar para o outro na sequência | ",DJ53="P",OFFSET(Biblioteca!$H$2,MATCH(DK52,Biblioteca!$A$3:$A$200,0),0),TRUE,"")&amp;IF(DL53="R","Ajuste a carga para que tenha "&amp;$K$2&amp;" repetições de reserva",""))</f>
        <v/>
      </c>
      <c r="DC53" s="118" t="str">
        <f>IF(CY52="","",IFS(DJ53="H","Carga Sugerida: "&amp;ROUNDUP(DM52/2,0)&amp;" kg de cada lado (Total: "&amp;ROUNDUP(DM52/2,0)*2&amp;" kg)",DJ53="C","Este exercício usa o Peso Corporal como carga",DJ53="E","Este exercício usa a resistência da banda elástica como carga",DJ53="O","Carga Sugerida: "&amp;INT(DM52)&amp;" kg",TRUE,""))</f>
        <v/>
      </c>
      <c r="DH53" s="66"/>
      <c r="DI53" s="126">
        <f>DI52</f>
        <v>1</v>
      </c>
      <c r="DJ53" s="120" t="str">
        <f>LEFT(DM53)</f>
        <v/>
      </c>
      <c r="DK53" s="121" t="str">
        <f>MID(DM53,2,1)</f>
        <v/>
      </c>
      <c r="DL53" s="122" t="str">
        <f>RIGHT(DM53)</f>
        <v/>
      </c>
      <c r="DM53" s="123" t="str">
        <f>IF(DK52="","",OFFSET(Biblioteca!$I$2,MATCH(DK52,Biblioteca!$A$3:$A$200,0),0))</f>
        <v/>
      </c>
      <c r="DN53" s="124"/>
      <c r="DO53" s="125"/>
      <c r="DP53" s="57"/>
      <c r="DQ53" s="56"/>
      <c r="DR53" s="56"/>
      <c r="DS53" s="56"/>
      <c r="DT53" s="56"/>
      <c r="DU53" s="56"/>
      <c r="DV53" s="56"/>
      <c r="DW53" s="56"/>
      <c r="DX53" s="56"/>
      <c r="DY53" s="56"/>
    </row>
    <row r="54">
      <c r="A54" s="102" t="str">
        <f>IF(M54="","",HYPERLINK(OFFSET(Biblioteca!$B$2,MATCH(M54,Biblioteca!$A$3:$A$200,0),0),M54))</f>
        <v>Abdominal Remador</v>
      </c>
      <c r="D54" s="103" t="str">
        <f>Montagem!Q85</f>
        <v>Bi-SET</v>
      </c>
      <c r="E54" s="104">
        <f>Montagem!R85</f>
        <v>3</v>
      </c>
      <c r="F54" s="104">
        <f>Montagem!S85</f>
        <v>15</v>
      </c>
      <c r="G54" s="104">
        <f>Montagem!T85</f>
        <v>60</v>
      </c>
      <c r="H54" s="104">
        <f>Montagem!U85</f>
        <v>1</v>
      </c>
      <c r="I54" s="132">
        <f>Montagem!V85</f>
        <v>2</v>
      </c>
      <c r="J54" s="105">
        <v>10.0</v>
      </c>
      <c r="K54" s="106">
        <f>Montagem!K85</f>
        <v>10</v>
      </c>
      <c r="L54" s="111">
        <f>Montagem!W85</f>
        <v>0</v>
      </c>
      <c r="M54" s="111" t="str">
        <f>Montagem!L85</f>
        <v>Abdominal Remador</v>
      </c>
      <c r="N54" s="111" t="str">
        <f>Montagem!X85</f>
        <v/>
      </c>
      <c r="O54" s="106">
        <f>IF(N54="",L54,N54)</f>
        <v>0</v>
      </c>
      <c r="P54" s="106">
        <f>IF(L55="C",'Dados de Base'!$D$5*0.1,IF(L55="E",5,IF(J54="",O54,J54)))</f>
        <v>6.3</v>
      </c>
      <c r="Q54" s="108"/>
      <c r="R54" s="102" t="str">
        <f>IF(AD54="","",HYPERLINK(OFFSET(Biblioteca!$B$2,MATCH(AD54,Biblioteca!$A$3:$A$200,0),0),AD54))</f>
        <v>Abdominal Obliquo na polia média</v>
      </c>
      <c r="U54" s="109" t="str">
        <f>Montagem!AF85</f>
        <v>Bi-SET</v>
      </c>
      <c r="V54" s="110">
        <f>Montagem!AG85</f>
        <v>3</v>
      </c>
      <c r="W54" s="110">
        <f>Montagem!AH85</f>
        <v>10</v>
      </c>
      <c r="X54" s="110">
        <f>Montagem!AI85</f>
        <v>60</v>
      </c>
      <c r="Y54" s="110">
        <f>Montagem!AJ85</f>
        <v>1</v>
      </c>
      <c r="Z54" s="110">
        <f>Montagem!AK85</f>
        <v>2</v>
      </c>
      <c r="AA54" s="113">
        <v>4.0</v>
      </c>
      <c r="AB54" s="111">
        <f>Montagem!Z85</f>
        <v>10</v>
      </c>
      <c r="AC54" s="111">
        <f>Montagem!AL85</f>
        <v>4</v>
      </c>
      <c r="AD54" s="129" t="str">
        <f>Montagem!AA85</f>
        <v>Abdominal Obliquo na polia média</v>
      </c>
      <c r="AE54" s="111" t="str">
        <f>Montagem!AM85</f>
        <v/>
      </c>
      <c r="AF54" s="106">
        <f>IF(AE54="",AC54,AE54)</f>
        <v>4</v>
      </c>
      <c r="AG54" s="106">
        <f>IF(AC55="C",'Dados de Base'!$D$5*0.1,IF(AC55="E",5,IF(AA54="",AF54,AA54)))</f>
        <v>4</v>
      </c>
      <c r="AH54" s="108"/>
      <c r="AI54" s="115" t="str">
        <f>IF(AU54="","",HYPERLINK(OFFSET(Biblioteca!$B$2,MATCH(AU54,Biblioteca!$A$3:$A$200,0),0),AU54))</f>
        <v/>
      </c>
      <c r="AL54" s="109" t="str">
        <f>Montagem!AU85</f>
        <v/>
      </c>
      <c r="AM54" s="110" t="str">
        <f>Montagem!AV85</f>
        <v/>
      </c>
      <c r="AN54" s="110" t="str">
        <f>Montagem!AW85</f>
        <v/>
      </c>
      <c r="AO54" s="110" t="str">
        <f>Montagem!AX85</f>
        <v/>
      </c>
      <c r="AP54" s="110" t="str">
        <f>Montagem!AY85</f>
        <v/>
      </c>
      <c r="AQ54" s="110" t="str">
        <f>Montagem!AZ85</f>
        <v/>
      </c>
      <c r="AR54" s="114"/>
      <c r="AS54" s="111">
        <f>Montagem!AO85</f>
        <v>1</v>
      </c>
      <c r="AT54" s="111" t="str">
        <f>Montagem!BA85</f>
        <v/>
      </c>
      <c r="AU54" s="111" t="str">
        <f>Montagem!AP85</f>
        <v/>
      </c>
      <c r="AV54" s="111" t="str">
        <f>Montagem!BB85</f>
        <v/>
      </c>
      <c r="AW54" s="106" t="str">
        <f>IF(AV54="",AT54,AV54)</f>
        <v/>
      </c>
      <c r="AX54" s="106" t="str">
        <f>IF(AT55="C",'Dados de Base'!$D$5*0.1,IF(AT55="E",5,IF(AR54="",AW54,AR54)))</f>
        <v/>
      </c>
      <c r="AY54" s="108"/>
      <c r="AZ54" s="115" t="str">
        <f>IF(BL54="","",HYPERLINK(OFFSET(Biblioteca!$B$2,MATCH(BL54,Biblioteca!$A$3:$A$200,0),0),BL54))</f>
        <v/>
      </c>
      <c r="BC54" s="109" t="str">
        <f>Montagem!BJ85</f>
        <v/>
      </c>
      <c r="BD54" s="110" t="str">
        <f>Montagem!BK85</f>
        <v/>
      </c>
      <c r="BE54" s="110" t="str">
        <f>Montagem!BL85</f>
        <v/>
      </c>
      <c r="BF54" s="110" t="str">
        <f>Montagem!BM85</f>
        <v/>
      </c>
      <c r="BG54" s="110" t="str">
        <f>Montagem!BN85</f>
        <v/>
      </c>
      <c r="BH54" s="110" t="str">
        <f>Montagem!BO85</f>
        <v/>
      </c>
      <c r="BI54" s="114"/>
      <c r="BJ54" s="111">
        <f>Montagem!BD85</f>
        <v>7</v>
      </c>
      <c r="BK54" s="111" t="str">
        <f>Montagem!BP85</f>
        <v/>
      </c>
      <c r="BL54" s="111" t="str">
        <f>Montagem!BE85</f>
        <v/>
      </c>
      <c r="BM54" s="111" t="str">
        <f>Montagem!BQ85</f>
        <v/>
      </c>
      <c r="BN54" s="106" t="str">
        <f>IF(BM54="",BK54,BM54)</f>
        <v/>
      </c>
      <c r="BO54" s="106" t="str">
        <f>IF(BK55="C",'Dados de Base'!$D$5*0.1,IF(BK55="E",5,IF(BI54="",BN54,BI54)))</f>
        <v/>
      </c>
      <c r="BP54" s="108"/>
      <c r="BQ54" s="115" t="str">
        <f>IF(CC54="","",HYPERLINK(OFFSET(Biblioteca!$B$2,MATCH(CC54,Biblioteca!$A$3:$A$200,0),0),CC54))</f>
        <v/>
      </c>
      <c r="BT54" s="109" t="str">
        <f>Montagem!BY85</f>
        <v/>
      </c>
      <c r="BU54" s="110" t="str">
        <f>Montagem!BZ85</f>
        <v/>
      </c>
      <c r="BV54" s="110" t="str">
        <f>Montagem!CA85</f>
        <v/>
      </c>
      <c r="BW54" s="110" t="str">
        <f>Montagem!CB85</f>
        <v/>
      </c>
      <c r="BX54" s="110" t="str">
        <f>Montagem!CC85</f>
        <v/>
      </c>
      <c r="BY54" s="110" t="str">
        <f>Montagem!CD85</f>
        <v/>
      </c>
      <c r="BZ54" s="114"/>
      <c r="CA54" s="111">
        <f>Montagem!BS85</f>
        <v>8</v>
      </c>
      <c r="CB54" s="111" t="str">
        <f>Montagem!CE85</f>
        <v/>
      </c>
      <c r="CC54" s="111" t="str">
        <f>Montagem!BT85</f>
        <v/>
      </c>
      <c r="CD54" s="111" t="str">
        <f>Montagem!CF85</f>
        <v/>
      </c>
      <c r="CE54" s="106" t="str">
        <f>IF(CD54="",CB54,CD54)</f>
        <v/>
      </c>
      <c r="CF54" s="106" t="str">
        <f>IF(CB55="C",'Dados de Base'!$D$5*0.1,IF(CB55="E",5,IF(BZ54="",CE54,BZ54)))</f>
        <v/>
      </c>
      <c r="CG54" s="108"/>
      <c r="CH54" s="115" t="str">
        <f>IF(CT54="","",HYPERLINK(OFFSET(Biblioteca!$B$2,MATCH(CT54,Biblioteca!$A$3:$A$200,0),0),CT54))</f>
        <v/>
      </c>
      <c r="CK54" s="109" t="str">
        <f>Montagem!CN85</f>
        <v/>
      </c>
      <c r="CL54" s="110" t="str">
        <f>Montagem!CO85</f>
        <v/>
      </c>
      <c r="CM54" s="110" t="str">
        <f>Montagem!CP85</f>
        <v/>
      </c>
      <c r="CN54" s="110" t="str">
        <f>Montagem!CQ85</f>
        <v/>
      </c>
      <c r="CO54" s="110" t="str">
        <f>Montagem!CR85</f>
        <v/>
      </c>
      <c r="CP54" s="110" t="str">
        <f>Montagem!CS85</f>
        <v/>
      </c>
      <c r="CQ54" s="114"/>
      <c r="CR54" s="111">
        <f>Montagem!CH85</f>
        <v>1</v>
      </c>
      <c r="CS54" s="111" t="str">
        <f>Montagem!CT85</f>
        <v/>
      </c>
      <c r="CT54" s="111" t="str">
        <f>Montagem!CI85</f>
        <v/>
      </c>
      <c r="CU54" s="145" t="str">
        <f>Montagem!CU85</f>
        <v/>
      </c>
      <c r="CV54" s="106" t="str">
        <f>IF(CU54="",CS54,CU54)</f>
        <v/>
      </c>
      <c r="CW54" s="106" t="str">
        <f>IF(CS55="C",'Dados de Base'!$D$5*0.1,IF(CS55="E",5,IF(CQ54="",CV54,CQ54)))</f>
        <v/>
      </c>
      <c r="CX54" s="108"/>
      <c r="CY54" s="115" t="str">
        <f>IF(DK54="","",HYPERLINK(OFFSET(Biblioteca!$B$2,MATCH(DK54,Biblioteca!$A$3:$A$200,0),0),DK54))</f>
        <v/>
      </c>
      <c r="DB54" s="130" t="str">
        <f>Montagem!DC85</f>
        <v/>
      </c>
      <c r="DC54" s="131" t="str">
        <f>Montagem!DD85</f>
        <v/>
      </c>
      <c r="DD54" s="131" t="str">
        <f>Montagem!DE85</f>
        <v/>
      </c>
      <c r="DE54" s="131" t="str">
        <f>Montagem!DF85</f>
        <v/>
      </c>
      <c r="DF54" s="131" t="str">
        <f>Montagem!DG85</f>
        <v/>
      </c>
      <c r="DG54" s="131" t="str">
        <f>Montagem!DH85</f>
        <v/>
      </c>
      <c r="DH54" s="114"/>
      <c r="DI54" s="111">
        <f>Montagem!CW85</f>
        <v>1</v>
      </c>
      <c r="DJ54" s="111" t="str">
        <f>Montagem!DI85</f>
        <v/>
      </c>
      <c r="DK54" s="111" t="str">
        <f>Montagem!CX85</f>
        <v/>
      </c>
      <c r="DL54" s="145" t="str">
        <f>Montagem!DJ85</f>
        <v/>
      </c>
      <c r="DM54" s="106" t="str">
        <f>IF(DL54="",DJ54,DL54)</f>
        <v/>
      </c>
      <c r="DN54" s="106" t="str">
        <f>IF(DJ55="C",'Dados de Base'!$D$5*0.1,IF(DJ55="E",5,IF(DH54="",DM54,DH54)))</f>
        <v/>
      </c>
      <c r="DO54" s="146"/>
      <c r="DP54" s="116">
        <v>2.0</v>
      </c>
      <c r="DQ54" s="116">
        <v>3.0</v>
      </c>
      <c r="DR54" s="116">
        <v>4.0</v>
      </c>
      <c r="DS54" s="116">
        <v>5.0</v>
      </c>
      <c r="DT54" s="106"/>
      <c r="DU54" s="116">
        <v>6.0</v>
      </c>
      <c r="DV54" s="106"/>
      <c r="DW54" s="106"/>
      <c r="DX54" s="116">
        <v>7.0</v>
      </c>
      <c r="DY54" s="106"/>
    </row>
    <row r="55">
      <c r="A55" s="117" t="str">
        <f>IF(A54="","",IFS(L55="A",Montagem!$C$80,N55="T","Realizar a maior quantidade de repetições por "&amp;F54&amp;" segundos | ",N55="I",IF(M55="U","Manter a posição por "&amp;F54&amp;" segundos de um lado e trocar para o outro na sequência | ","Manter a posição por "&amp;F54&amp;" segundos | "),M55="A","Realizar alternadamente "&amp;F54&amp;" repetições cada lado | ",M55="U","Realizar "&amp;F54&amp;" repetições de um lado e trocar para o outro na sequência | ",L55="P",OFFSET(Biblioteca!$H$2,MATCH(M54,Biblioteca!$A$3:$A$200,0),0),TRUE,"")&amp;IF(N55="R","Ajuste a carga para que tenha "&amp;$K$2&amp;" repetições de reserva",""))</f>
        <v>Ajuste a carga para que tenha 0 a 2 repetições de reserva</v>
      </c>
      <c r="E55" s="118" t="str">
        <f>IF(A54="","",IFS(L55="H","Carga Sugerida: "&amp;ROUNDUP(O54/2,0)&amp;" kg de cada lado (Total: "&amp;ROUNDUP(O54/2,0)*2&amp;" kg)",L55="C","Este exercício usa o Peso Corporal como carga",L55="E","Este exercício usa a resistência da banda elástica como carga",L55="O","Carga Sugerida: "&amp;INT(O54)&amp;" kg",TRUE,""))</f>
        <v>Este exercício usa o Peso Corporal como carga</v>
      </c>
      <c r="J55" s="66"/>
      <c r="K55" s="106">
        <f>K54</f>
        <v>10</v>
      </c>
      <c r="L55" s="120" t="str">
        <f>LEFT(O55)</f>
        <v>C</v>
      </c>
      <c r="M55" s="121" t="str">
        <f>MID(O55,2,1)</f>
        <v>O</v>
      </c>
      <c r="N55" s="122" t="str">
        <f>RIGHT(O55)</f>
        <v>R</v>
      </c>
      <c r="O55" s="123" t="str">
        <f>IF(M54="","",OFFSET(Biblioteca!$I$2,MATCH(M54,Biblioteca!$A$3:$A$200,0),0))</f>
        <v>COR</v>
      </c>
      <c r="P55" s="124"/>
      <c r="Q55" s="125"/>
      <c r="R55" s="117" t="str">
        <f>IF(R54="","",IFS(AC55="A",Montagem!$D$80,AE55="T","Realizar a maior quantidade de repetições por "&amp;W54&amp;" segundos | ",AE55="I",IF(AD55="U","Manter a posição por "&amp;W54&amp;" segundos de um lado e trocar para o outro na sequência | ","Manter a posição por "&amp;W54&amp;" segundos | "),AD55="A","Realizar alternadamente "&amp;W54&amp;" repetições cada lado | ",AD55="U","Realizar "&amp;W54&amp;" repetições de um lado e trocar para o outro na sequência | ",AC55="P",OFFSET(Biblioteca!$H$2,MATCH(AD54,Biblioteca!$A$3:$A$200,0),0),TRUE,"")&amp;IF(AE55="R","Ajuste a carga para que tenha "&amp;$K$2&amp;" repetições de reserva",""))</f>
        <v>Ajuste a carga para que tenha 0 a 2 repetições de reserva</v>
      </c>
      <c r="V55" s="118" t="str">
        <f>IF(R54="","",IFS(AC55="H","Carga Sugerida: "&amp;ROUNDUP(AF54/2,0)&amp;" kg de cada lado (Total: "&amp;ROUNDUP(AF54/2,0)*2&amp;" kg)",AC55="C","Este exercício usa o Peso Corporal como carga",AC55="E","Este exercício usa a resistência da banda elástica como carga",AC55="O","Carga Sugerida: "&amp;INT(AF54)&amp;" kg",TRUE,""))</f>
        <v>Carga Sugerida: 4 kg</v>
      </c>
      <c r="AA55" s="66"/>
      <c r="AB55" s="126">
        <f>AB54</f>
        <v>10</v>
      </c>
      <c r="AC55" s="120" t="str">
        <f>LEFT(AF55)</f>
        <v>O</v>
      </c>
      <c r="AD55" s="121" t="str">
        <f>MID(AF55,2,1)</f>
        <v>O</v>
      </c>
      <c r="AE55" s="122" t="str">
        <f>RIGHT(AF55)</f>
        <v>R</v>
      </c>
      <c r="AF55" s="123" t="str">
        <f>IF(AD54="","",OFFSET(Biblioteca!$I$2,MATCH(AD54,Biblioteca!$A$3:$A$200,0),0))</f>
        <v>OOR</v>
      </c>
      <c r="AG55" s="124"/>
      <c r="AH55" s="125"/>
      <c r="AI55" s="117" t="str">
        <f>IF(AI54="","",IFS(AT55="A",Montagem!$E$80,AV55="T","Realizar a maior quantidade de repetições por "&amp;AN54&amp;" segundos | ",AV55="I",IF(AU55="U","Manter a posição por "&amp;AN54&amp;" segundos de um lado e trocar para o outro na sequência | ","Manter a posição por "&amp;AN54&amp;" segundos | "),AU55="A","Realizar alternadamente "&amp;AN54&amp;" repetições cada lado | ",AU55="U","Realizar "&amp;AN54&amp;" repetições de um lado e trocar para o outro na sequência | ",AT55="P",OFFSET(Biblioteca!$H$2,MATCH(AU54,Biblioteca!$A$3:$A$200,0),0),TRUE,"")&amp;IF(AV55="R","Ajuste a carga para que tenha "&amp;$K$2&amp;" repetições de reserva",""))</f>
        <v/>
      </c>
      <c r="AM55" s="118" t="str">
        <f>IF(AI54="","",IFS(AT55="H","Carga Sugerida: "&amp;ROUNDUP(AW54/2,0)&amp;" kg de cada lado (Total: "&amp;ROUNDUP(AW54/2,0)*2&amp;" kg)",AT55="C","Este exercício usa o Peso Corporal como carga",AT55="E","Este exercício usa a resistência da banda elástica como carga",AT55="O","Carga Sugerida: "&amp;INT(AW54)&amp;" kg",TRUE,""))</f>
        <v/>
      </c>
      <c r="AR55" s="66"/>
      <c r="AS55" s="126">
        <f>AS54</f>
        <v>1</v>
      </c>
      <c r="AT55" s="120" t="str">
        <f>LEFT(AW55)</f>
        <v/>
      </c>
      <c r="AU55" s="121" t="str">
        <f>MID(AW55,2,1)</f>
        <v/>
      </c>
      <c r="AV55" s="122" t="str">
        <f>RIGHT(AW55)</f>
        <v/>
      </c>
      <c r="AW55" s="123" t="str">
        <f>IF(AU54="","",OFFSET(Biblioteca!$I$2,MATCH(AU54,Biblioteca!$A$3:$A$200,0),0))</f>
        <v/>
      </c>
      <c r="AX55" s="124"/>
      <c r="AY55" s="125"/>
      <c r="AZ55" s="117" t="str">
        <f>IF(AZ54="","",IFS(BK55="A",Montagem!$F$80,BM55="T","Realizar a maior quantidade de repetições por "&amp;BE54&amp;" segundos | ",BM55="I",IF(BL55="U","Manter a posição por "&amp;BE54&amp;" segundos de um lado e trocar para o outro na sequência | ","Manter a posição por "&amp;BE54&amp;" segundos | "),BL55="A","Realizar alternadamente "&amp;BE54&amp;" repetições cada lado | ",BL55="U","Realizar "&amp;BE54&amp;" repetições de um lado e trocar para o outro na sequência | ",BK55="P",OFFSET(Biblioteca!$H$2,MATCH(BL54,Biblioteca!$A$3:$A$200,0),0),TRUE,"")&amp;IF(BM55="R","Ajuste a carga para que tenha "&amp;$K$2&amp;" repetições de reserva",""))</f>
        <v/>
      </c>
      <c r="BD55" s="118" t="str">
        <f>IF(AZ54="","",IFS(BK55="H","Carga Sugerida: "&amp;ROUNDUP(BN54/2,0)&amp;" kg de cada lado (Total: "&amp;ROUNDUP(BN54/2,0)*2&amp;" kg)",BK55="C","Este exercício usa o Peso Corporal como carga",BK55="E","Este exercício usa a resistência da banda elástica como carga",BK55="O","Carga Sugerida: "&amp;INT(BN54)&amp;" kg",TRUE,""))</f>
        <v/>
      </c>
      <c r="BI55" s="66"/>
      <c r="BJ55" s="126">
        <f>BJ54</f>
        <v>7</v>
      </c>
      <c r="BK55" s="120" t="str">
        <f>LEFT(BN55)</f>
        <v/>
      </c>
      <c r="BL55" s="121" t="str">
        <f>MID(BN55,2,1)</f>
        <v/>
      </c>
      <c r="BM55" s="122" t="str">
        <f>RIGHT(BN55)</f>
        <v/>
      </c>
      <c r="BN55" s="123" t="str">
        <f>IF(BL54="","",OFFSET(Biblioteca!$I$2,MATCH(BL54,Biblioteca!$A$3:$A$200,0),0))</f>
        <v/>
      </c>
      <c r="BO55" s="124"/>
      <c r="BP55" s="125"/>
      <c r="BQ55" s="117" t="str">
        <f>IF(BQ54="","",IFS(CB55="A",Montagem!$G$80,CD55="T","Realizar a maior quantidade de repetições por "&amp;BV54&amp;" segundos | ",CD55="I",IF(CC55="U","Manter a posição por "&amp;BV54&amp;" segundos de um lado e trocar para o outro na sequência | ","Manter a posição por "&amp;BV54&amp;" segundos | "),CC55="A","Realizar alternadamente "&amp;BV54&amp;" repetições cada lado | ",CC55="U","Realizar "&amp;BV54&amp;" repetições de um lado e trocar para o outro na sequência | ",CB55="P",OFFSET(Biblioteca!$H$2,MATCH(CC54,Biblioteca!$A$3:$A$200,0),0),TRUE,"")&amp;IF(CD55="R","Ajuste a carga para que tenha "&amp;$K$2&amp;" repetições de reserva",""))</f>
        <v/>
      </c>
      <c r="BU55" s="118" t="str">
        <f>IF(BQ54="","",IFS(CB55="H","Carga Sugerida: "&amp;ROUNDUP(CE54/2,0)&amp;" kg de cada lado (Total: "&amp;ROUNDUP(CE54/2,0)*2&amp;" kg)",CB55="C","Este exercício usa o Peso Corporal como carga",CB55="E","Este exercício usa a resistência da banda elástica como carga",CB55="O","Carga Sugerida: "&amp;INT(CE54)&amp;" kg",TRUE,""))</f>
        <v/>
      </c>
      <c r="BZ55" s="66"/>
      <c r="CA55" s="126">
        <f>CA54</f>
        <v>8</v>
      </c>
      <c r="CB55" s="120" t="str">
        <f>LEFT(CE55)</f>
        <v/>
      </c>
      <c r="CC55" s="121" t="str">
        <f>MID(CE55,2,1)</f>
        <v/>
      </c>
      <c r="CD55" s="122" t="str">
        <f>RIGHT(CE55)</f>
        <v/>
      </c>
      <c r="CE55" s="123" t="str">
        <f>IF(CC54="","",OFFSET(Biblioteca!$I$2,MATCH(CC54,Biblioteca!$A$3:$A$200,0),0))</f>
        <v/>
      </c>
      <c r="CF55" s="124"/>
      <c r="CG55" s="125"/>
      <c r="CH55" s="117" t="str">
        <f>IF(CH54="","",IFS(CS55="A",Montagem!$H$80,CU55="T","Realizar a maior quantidade de repetições por "&amp;CM54&amp;" segundos | ",CU55="I",IF(CT55="U","Manter a posição por "&amp;CM54&amp;" segundos de um lado e trocar para o outro na sequência | ","Manter a posição por "&amp;CM54&amp;" segundos | "),CT55="A","Realizar alternadamente "&amp;CM54&amp;" repetições cada lado | ",CT55="U","Realizar "&amp;CM54&amp;" repetições de um lado e trocar para o outro na sequência | ",CS55="P",OFFSET(Biblioteca!$H$2,MATCH(CT54,Biblioteca!$A$3:$A$200,0),0),TRUE,"")&amp;IF(CU55="R","Ajuste a carga para que tenha "&amp;$K$2&amp;" repetições de reserva",""))</f>
        <v/>
      </c>
      <c r="CL55" s="118" t="str">
        <f>IF(CH54="","",IFS(CS55="H","Carga Sugerida: "&amp;ROUNDUP(CV54/2,0)&amp;" kg de cada lado (Total: "&amp;ROUNDUP(CV54/2,0)*2&amp;" kg)",CS55="C","Este exercício usa o Peso Corporal como carga",CS55="E","Este exercício usa a resistência da banda elástica como carga",CS55="O","Carga Sugerida: "&amp;INT(CV54)&amp;" kg",TRUE,""))</f>
        <v/>
      </c>
      <c r="CQ55" s="66"/>
      <c r="CR55" s="126">
        <f>CR54</f>
        <v>1</v>
      </c>
      <c r="CS55" s="120" t="str">
        <f>LEFT(CV55)</f>
        <v/>
      </c>
      <c r="CT55" s="121" t="str">
        <f>MID(CV55,2,1)</f>
        <v/>
      </c>
      <c r="CU55" s="122" t="str">
        <f>RIGHT(CV55)</f>
        <v/>
      </c>
      <c r="CV55" s="123" t="str">
        <f>IF(CT54="","",OFFSET(Biblioteca!$I$2,MATCH(CT54,Biblioteca!$A$3:$A$200,0),0))</f>
        <v/>
      </c>
      <c r="CW55" s="124"/>
      <c r="CX55" s="125"/>
      <c r="CY55" s="117" t="str">
        <f>IF(CY54="","",IFS(DJ55="A",Montagem!$I$80,DL55="T","Realizar a maior quantidade de repetições por "&amp;DD54&amp;" segundos | ",DL55="I",IF(DK55="U","Manter a posição por "&amp;DD54&amp;" segundos de um lado e trocar para o outro na sequência | ","Manter a posição por "&amp;DD54&amp;" segundos | "),DK55="A","Realizar alternadamente "&amp;DD54&amp;" repetições cada lado | ",DK55="U","Realizar "&amp;DD54&amp;" repetições de um lado e trocar para o outro na sequência | ",DJ55="P",OFFSET(Biblioteca!$H$2,MATCH(DK54,Biblioteca!$A$3:$A$200,0),0),TRUE,"")&amp;IF(DL55="R","Ajuste a carga para que tenha "&amp;$K$2&amp;" repetições de reserva",""))</f>
        <v/>
      </c>
      <c r="DC55" s="118" t="str">
        <f>IF(CY54="","",IFS(DJ55="H","Carga Sugerida: "&amp;ROUNDUP(DM54/2,0)&amp;" kg de cada lado (Total: "&amp;ROUNDUP(DM54/2,0)*2&amp;" kg)",DJ55="C","Este exercício usa o Peso Corporal como carga",DJ55="E","Este exercício usa a resistência da banda elástica como carga",DJ55="O","Carga Sugerida: "&amp;INT(DM54)&amp;" kg",TRUE,""))</f>
        <v/>
      </c>
      <c r="DH55" s="66"/>
      <c r="DI55" s="126">
        <f>DI54</f>
        <v>1</v>
      </c>
      <c r="DJ55" s="120" t="str">
        <f>LEFT(DM55)</f>
        <v/>
      </c>
      <c r="DK55" s="121" t="str">
        <f>MID(DM55,2,1)</f>
        <v/>
      </c>
      <c r="DL55" s="122" t="str">
        <f>RIGHT(DM55)</f>
        <v/>
      </c>
      <c r="DM55" s="123" t="str">
        <f>IF(DK54="","",OFFSET(Biblioteca!$I$2,MATCH(DK54,Biblioteca!$A$3:$A$200,0),0))</f>
        <v/>
      </c>
      <c r="DN55" s="124"/>
      <c r="DO55" s="147"/>
      <c r="DP55" s="57">
        <f>AND(J2&gt;1,DQ18&lt;2)+0</f>
        <v>0</v>
      </c>
      <c r="DQ55" s="56">
        <f>AND(J2&gt;2,DQ18&lt;3)+0</f>
        <v>0</v>
      </c>
      <c r="DR55" s="56">
        <f>AND(J2&gt;3,DQ18&lt;4)+0</f>
        <v>1</v>
      </c>
      <c r="DS55" s="56">
        <f>AND(J2&gt;4,DQ18&lt;5)+0</f>
        <v>1</v>
      </c>
      <c r="DT55" s="56"/>
      <c r="DU55" s="56">
        <f>AND(J2&gt;5,DQ18&lt;6)+0</f>
        <v>1</v>
      </c>
      <c r="DV55" s="56"/>
      <c r="DW55" s="56"/>
      <c r="DX55" s="148">
        <f>AND(J2=7,DQ18&lt;7)+0</f>
        <v>0</v>
      </c>
      <c r="DY55" s="56"/>
    </row>
    <row r="56">
      <c r="A56" s="115" t="str">
        <f>IF(M56="","",HYPERLINK(OFFSET(Biblioteca!$B$2,MATCH(M56,Biblioteca!$A$3:$A$200,0),0),M56))</f>
        <v/>
      </c>
      <c r="D56" s="103" t="str">
        <f>Montagem!Q86</f>
        <v/>
      </c>
      <c r="E56" s="104" t="str">
        <f>Montagem!R86</f>
        <v/>
      </c>
      <c r="F56" s="104" t="str">
        <f>Montagem!S86</f>
        <v/>
      </c>
      <c r="G56" s="104" t="str">
        <f>Montagem!T86</f>
        <v/>
      </c>
      <c r="H56" s="104" t="str">
        <f>Montagem!U86</f>
        <v/>
      </c>
      <c r="I56" s="132" t="str">
        <f>Montagem!V86</f>
        <v/>
      </c>
      <c r="J56" s="144"/>
      <c r="K56" s="106">
        <f>Montagem!K86</f>
        <v>11</v>
      </c>
      <c r="L56" s="111" t="str">
        <f>Montagem!W86</f>
        <v/>
      </c>
      <c r="M56" s="111" t="str">
        <f>Montagem!L86</f>
        <v/>
      </c>
      <c r="N56" s="111" t="str">
        <f>Montagem!X86</f>
        <v/>
      </c>
      <c r="O56" s="106" t="str">
        <f>IF(N56="",L56,N56)</f>
        <v/>
      </c>
      <c r="P56" s="106" t="str">
        <f>IF(L57="C",'Dados de Base'!$D$5*0.1,IF(L57="E",5,IF(J56="",O56,J56)))</f>
        <v/>
      </c>
      <c r="Q56" s="108"/>
      <c r="R56" s="115" t="str">
        <f>IF(AD56="","",HYPERLINK(OFFSET(Biblioteca!$B$2,MATCH(AD56,Biblioteca!$A$3:$A$200,0),0),AD56))</f>
        <v/>
      </c>
      <c r="U56" s="109" t="str">
        <f>Montagem!AF86</f>
        <v/>
      </c>
      <c r="V56" s="110" t="str">
        <f>Montagem!AG86</f>
        <v/>
      </c>
      <c r="W56" s="110" t="str">
        <f>Montagem!AH86</f>
        <v/>
      </c>
      <c r="X56" s="110" t="str">
        <f>Montagem!AI86</f>
        <v/>
      </c>
      <c r="Y56" s="110" t="str">
        <f>Montagem!AJ86</f>
        <v/>
      </c>
      <c r="Z56" s="110" t="str">
        <f>Montagem!AK86</f>
        <v/>
      </c>
      <c r="AA56" s="113"/>
      <c r="AB56" s="111">
        <f>Montagem!Z86</f>
        <v>11</v>
      </c>
      <c r="AC56" s="111" t="str">
        <f>Montagem!AL86</f>
        <v/>
      </c>
      <c r="AD56" s="129" t="str">
        <f>Montagem!AA86</f>
        <v/>
      </c>
      <c r="AE56" s="111" t="str">
        <f>Montagem!AM86</f>
        <v/>
      </c>
      <c r="AF56" s="106" t="str">
        <f>IF(AE56="",AC56,AE56)</f>
        <v/>
      </c>
      <c r="AG56" s="106" t="str">
        <f>IF(AC57="C",'Dados de Base'!$D$5*0.1,IF(AC57="E",5,IF(AA56="",AF56,AA56)))</f>
        <v/>
      </c>
      <c r="AH56" s="108"/>
      <c r="AI56" s="115" t="str">
        <f>IF(AU56="","",HYPERLINK(OFFSET(Biblioteca!$B$2,MATCH(AU56,Biblioteca!$A$3:$A$200,0),0),AU56))</f>
        <v/>
      </c>
      <c r="AL56" s="109" t="str">
        <f>Montagem!AU86</f>
        <v/>
      </c>
      <c r="AM56" s="110" t="str">
        <f>Montagem!AV86</f>
        <v/>
      </c>
      <c r="AN56" s="110" t="str">
        <f>Montagem!AW86</f>
        <v/>
      </c>
      <c r="AO56" s="110" t="str">
        <f>Montagem!AX86</f>
        <v/>
      </c>
      <c r="AP56" s="110" t="str">
        <f>Montagem!AY86</f>
        <v/>
      </c>
      <c r="AQ56" s="110" t="str">
        <f>Montagem!AZ86</f>
        <v/>
      </c>
      <c r="AR56" s="114"/>
      <c r="AS56" s="111">
        <f>Montagem!AO86</f>
        <v>1</v>
      </c>
      <c r="AT56" s="111" t="str">
        <f>Montagem!BA86</f>
        <v/>
      </c>
      <c r="AU56" s="111" t="str">
        <f>Montagem!AP86</f>
        <v/>
      </c>
      <c r="AV56" s="111" t="str">
        <f>Montagem!BB86</f>
        <v/>
      </c>
      <c r="AW56" s="106" t="str">
        <f>IF(AV56="",AT56,AV56)</f>
        <v/>
      </c>
      <c r="AX56" s="106" t="str">
        <f>IF(AT57="C",'Dados de Base'!$D$5*0.1,IF(AT57="E",5,IF(AR56="",AW56,AR56)))</f>
        <v/>
      </c>
      <c r="AY56" s="108"/>
      <c r="AZ56" s="115" t="str">
        <f>IF(BL56="","",HYPERLINK(OFFSET(Biblioteca!$B$2,MATCH(BL56,Biblioteca!$A$3:$A$200,0),0),BL56))</f>
        <v/>
      </c>
      <c r="BC56" s="109" t="str">
        <f>Montagem!BJ86</f>
        <v/>
      </c>
      <c r="BD56" s="110" t="str">
        <f>Montagem!BK86</f>
        <v/>
      </c>
      <c r="BE56" s="110" t="str">
        <f>Montagem!BL86</f>
        <v/>
      </c>
      <c r="BF56" s="110" t="str">
        <f>Montagem!BM86</f>
        <v/>
      </c>
      <c r="BG56" s="110" t="str">
        <f>Montagem!BN86</f>
        <v/>
      </c>
      <c r="BH56" s="110" t="str">
        <f>Montagem!BO86</f>
        <v/>
      </c>
      <c r="BI56" s="114"/>
      <c r="BJ56" s="111">
        <f>Montagem!BD86</f>
        <v>7</v>
      </c>
      <c r="BK56" s="111" t="str">
        <f>Montagem!BP86</f>
        <v/>
      </c>
      <c r="BL56" s="111" t="str">
        <f>Montagem!BE86</f>
        <v/>
      </c>
      <c r="BM56" s="111" t="str">
        <f>Montagem!BQ86</f>
        <v/>
      </c>
      <c r="BN56" s="106" t="str">
        <f>IF(BM56="",BK56,BM56)</f>
        <v/>
      </c>
      <c r="BO56" s="106" t="str">
        <f>IF(BK57="C",'Dados de Base'!$D$5*0.1,IF(BK57="E",5,IF(BI56="",BN56,BI56)))</f>
        <v/>
      </c>
      <c r="BP56" s="108"/>
      <c r="BQ56" s="115" t="str">
        <f>IF(CC56="","",HYPERLINK(OFFSET(Biblioteca!$B$2,MATCH(CC56,Biblioteca!$A$3:$A$200,0),0),CC56))</f>
        <v/>
      </c>
      <c r="BT56" s="109" t="str">
        <f>Montagem!BY86</f>
        <v/>
      </c>
      <c r="BU56" s="110" t="str">
        <f>Montagem!BZ86</f>
        <v/>
      </c>
      <c r="BV56" s="110" t="str">
        <f>Montagem!CA86</f>
        <v/>
      </c>
      <c r="BW56" s="110" t="str">
        <f>Montagem!CB86</f>
        <v/>
      </c>
      <c r="BX56" s="110" t="str">
        <f>Montagem!CC86</f>
        <v/>
      </c>
      <c r="BY56" s="110" t="str">
        <f>Montagem!CD86</f>
        <v/>
      </c>
      <c r="BZ56" s="114"/>
      <c r="CA56" s="111">
        <f>Montagem!BS86</f>
        <v>8</v>
      </c>
      <c r="CB56" s="111" t="str">
        <f>Montagem!CE86</f>
        <v/>
      </c>
      <c r="CC56" s="111" t="str">
        <f>Montagem!BT86</f>
        <v/>
      </c>
      <c r="CD56" s="111" t="str">
        <f>Montagem!CF86</f>
        <v/>
      </c>
      <c r="CE56" s="106" t="str">
        <f>IF(CD56="",CB56,CD56)</f>
        <v/>
      </c>
      <c r="CF56" s="106" t="str">
        <f>IF(CB57="C",'Dados de Base'!$D$5*0.1,IF(CB57="E",5,IF(BZ56="",CE56,BZ56)))</f>
        <v/>
      </c>
      <c r="CG56" s="108"/>
      <c r="CH56" s="115" t="str">
        <f>IF(CT56="","",HYPERLINK(OFFSET(Biblioteca!$B$2,MATCH(CT56,Biblioteca!$A$3:$A$200,0),0),CT56))</f>
        <v/>
      </c>
      <c r="CK56" s="109" t="str">
        <f>Montagem!CN86</f>
        <v/>
      </c>
      <c r="CL56" s="110" t="str">
        <f>Montagem!CO86</f>
        <v/>
      </c>
      <c r="CM56" s="110" t="str">
        <f>Montagem!CP86</f>
        <v/>
      </c>
      <c r="CN56" s="110" t="str">
        <f>Montagem!CQ86</f>
        <v/>
      </c>
      <c r="CO56" s="110" t="str">
        <f>Montagem!CR86</f>
        <v/>
      </c>
      <c r="CP56" s="110" t="str">
        <f>Montagem!CS86</f>
        <v/>
      </c>
      <c r="CQ56" s="114"/>
      <c r="CR56" s="111">
        <f>Montagem!CH86</f>
        <v>1</v>
      </c>
      <c r="CS56" s="111" t="str">
        <f>Montagem!CT86</f>
        <v/>
      </c>
      <c r="CT56" s="111" t="str">
        <f>Montagem!CI86</f>
        <v/>
      </c>
      <c r="CU56" s="145" t="str">
        <f>Montagem!CU86</f>
        <v/>
      </c>
      <c r="CV56" s="106" t="str">
        <f>IF(CU56="",CS56,CU56)</f>
        <v/>
      </c>
      <c r="CW56" s="106" t="str">
        <f>IF(CS57="C",'Dados de Base'!$D$5*0.1,IF(CS57="E",5,IF(CQ56="",CV56,CQ56)))</f>
        <v/>
      </c>
      <c r="CX56" s="108"/>
      <c r="CY56" s="115" t="str">
        <f>IF(DK56="","",HYPERLINK(OFFSET(Biblioteca!$B$2,MATCH(DK56,Biblioteca!$A$3:$A$200,0),0),DK56))</f>
        <v/>
      </c>
      <c r="DB56" s="130" t="str">
        <f>Montagem!DC86</f>
        <v/>
      </c>
      <c r="DC56" s="131" t="str">
        <f>Montagem!DD86</f>
        <v/>
      </c>
      <c r="DD56" s="131" t="str">
        <f>Montagem!DE86</f>
        <v/>
      </c>
      <c r="DE56" s="131" t="str">
        <f>Montagem!DF86</f>
        <v/>
      </c>
      <c r="DF56" s="131" t="str">
        <f>Montagem!DG86</f>
        <v/>
      </c>
      <c r="DG56" s="131" t="str">
        <f>Montagem!DH86</f>
        <v/>
      </c>
      <c r="DH56" s="114"/>
      <c r="DI56" s="111">
        <f>Montagem!CW86</f>
        <v>1</v>
      </c>
      <c r="DJ56" s="111" t="str">
        <f>Montagem!DI86</f>
        <v/>
      </c>
      <c r="DK56" s="111" t="str">
        <f>Montagem!CX86</f>
        <v/>
      </c>
      <c r="DL56" s="145" t="str">
        <f>Montagem!DJ86</f>
        <v/>
      </c>
      <c r="DM56" s="106" t="str">
        <f>IF(DL56="",DJ56,DL56)</f>
        <v/>
      </c>
      <c r="DN56" s="106" t="str">
        <f>IF(DJ57="C",'Dados de Base'!$D$5*0.1,IF(DJ57="E",5,IF(DH56="",DM56,DH56)))</f>
        <v/>
      </c>
      <c r="DO56" s="146"/>
      <c r="DP56" s="106">
        <f>AND(J2&gt;1,DQ18&gt;1)+0</f>
        <v>1</v>
      </c>
      <c r="DQ56" s="106">
        <f>AND(J2&gt;2,DQ18&gt;2)+0</f>
        <v>1</v>
      </c>
      <c r="DR56" s="106">
        <f>AND(J2&gt;3,DQ18&gt;3)+0</f>
        <v>0</v>
      </c>
      <c r="DS56" s="106">
        <f>AND(J2&gt;4,DQ18&gt;4)+0</f>
        <v>0</v>
      </c>
      <c r="DT56" s="106"/>
      <c r="DU56" s="106">
        <f>AND(J2&gt;5,DQ18&gt;5)+0</f>
        <v>0</v>
      </c>
      <c r="DV56" s="106"/>
      <c r="DW56" s="106"/>
      <c r="DX56" s="106">
        <f>AND(J2=7,DQ18&gt;6)+0</f>
        <v>0</v>
      </c>
      <c r="DY56" s="106"/>
    </row>
    <row r="57">
      <c r="A57" s="117" t="str">
        <f>IF(A56="","",IFS(L57="A",Montagem!$C$80,N57="T","Realizar a maior quantidade de repetições por "&amp;F56&amp;" segundos | ",N57="I",IF(M57="U","Manter a posição por "&amp;F56&amp;" segundos de um lado e trocar para o outro na sequência | ","Manter a posição por "&amp;F56&amp;" segundos | "),M57="A","Realizar alternadamente "&amp;F56&amp;" repetições cada lado | ",M57="U","Realizar "&amp;F56&amp;" repetições de um lado e trocar para o outro na sequência | ",L57="P",OFFSET(Biblioteca!$H$2,MATCH(M56,Biblioteca!$A$3:$A$200,0),0),TRUE,"")&amp;IF(N57="R","Ajuste a carga para que tenha "&amp;$K$2&amp;" repetições de reserva",""))</f>
        <v/>
      </c>
      <c r="E57" s="118" t="str">
        <f>IF(A56="","",IFS(L57="H","Carga Sugerida: "&amp;ROUNDUP(O56/2,0)&amp;" kg de cada lado (Total: "&amp;ROUNDUP(O56/2,0)*2&amp;" kg)",L57="C","Este exercício usa o Peso Corporal como carga",L57="E","Este exercício usa a resistência da banda elástica como carga",L57="O","Carga Sugerida: "&amp;INT(O56)&amp;" kg",TRUE,""))</f>
        <v/>
      </c>
      <c r="J57" s="66"/>
      <c r="K57" s="106">
        <f>K56</f>
        <v>11</v>
      </c>
      <c r="L57" s="120" t="str">
        <f>LEFT(O57)</f>
        <v/>
      </c>
      <c r="M57" s="121" t="str">
        <f>MID(O57,2,1)</f>
        <v/>
      </c>
      <c r="N57" s="122" t="str">
        <f>RIGHT(O57)</f>
        <v/>
      </c>
      <c r="O57" s="123" t="str">
        <f>IF(M56="","",OFFSET(Biblioteca!$I$2,MATCH(M56,Biblioteca!$A$3:$A$200,0),0))</f>
        <v/>
      </c>
      <c r="P57" s="124"/>
      <c r="Q57" s="125"/>
      <c r="R57" s="117" t="str">
        <f>IF(R56="","",IFS(AC57="A",Montagem!$D$80,AE57="T","Realizar a maior quantidade de repetições por "&amp;W56&amp;" segundos | ",AE57="I",IF(AD57="U","Manter a posição por "&amp;W56&amp;" segundos de um lado e trocar para o outro na sequência | ","Manter a posição por "&amp;W56&amp;" segundos | "),AD57="A","Realizar alternadamente "&amp;W56&amp;" repetições cada lado | ",AD57="U","Realizar "&amp;W56&amp;" repetições de um lado e trocar para o outro na sequência | ",AC57="P",OFFSET(Biblioteca!$H$2,MATCH(AD56,Biblioteca!$A$3:$A$200,0),0),TRUE,"")&amp;IF(AE57="R","Ajuste a carga para que tenha "&amp;$K$2&amp;" repetições de reserva",""))</f>
        <v/>
      </c>
      <c r="V57" s="118" t="str">
        <f>IF(R56="","",IFS(AC57="H","Carga Sugerida: "&amp;ROUNDUP(AF56/2,0)&amp;" kg de cada lado (Total: "&amp;ROUNDUP(AF56/2,0)*2&amp;" kg)",AC57="C","Este exercício usa o Peso Corporal como carga",AC57="E","Este exercício usa a resistência da banda elástica como carga",AC57="O","Carga Sugerida: "&amp;INT(AF56)&amp;" kg",TRUE,""))</f>
        <v/>
      </c>
      <c r="AA57" s="66"/>
      <c r="AB57" s="126">
        <f>AB56</f>
        <v>11</v>
      </c>
      <c r="AC57" s="120" t="str">
        <f>LEFT(AF57)</f>
        <v/>
      </c>
      <c r="AD57" s="121" t="str">
        <f>MID(AF57,2,1)</f>
        <v/>
      </c>
      <c r="AE57" s="122" t="str">
        <f>RIGHT(AF57)</f>
        <v/>
      </c>
      <c r="AF57" s="123" t="str">
        <f>IF(AD56="","",OFFSET(Biblioteca!$I$2,MATCH(AD56,Biblioteca!$A$3:$A$200,0),0))</f>
        <v/>
      </c>
      <c r="AG57" s="124"/>
      <c r="AH57" s="125"/>
      <c r="AI57" s="117" t="str">
        <f>IF(AI56="","",IFS(AT57="A",Montagem!$E$80,AV57="T","Realizar a maior quantidade de repetições por "&amp;AN56&amp;" segundos | ",AV57="I",IF(AU57="U","Manter a posição por "&amp;AN56&amp;" segundos de um lado e trocar para o outro na sequência | ","Manter a posição por "&amp;AN56&amp;" segundos | "),AU57="A","Realizar alternadamente "&amp;AN56&amp;" repetições cada lado | ",AU57="U","Realizar "&amp;AN56&amp;" repetições de um lado e trocar para o outro na sequência | ",AT57="P",OFFSET(Biblioteca!$H$2,MATCH(AU56,Biblioteca!$A$3:$A$200,0),0),TRUE,"")&amp;IF(AV57="R","Ajuste a carga para que tenha "&amp;$K$2&amp;" repetições de reserva",""))</f>
        <v/>
      </c>
      <c r="AM57" s="118" t="str">
        <f>IF(AI56="","",IFS(AT57="H","Carga Sugerida: "&amp;ROUNDUP(AW56/2,0)&amp;" kg de cada lado (Total: "&amp;ROUNDUP(AW56/2,0)*2&amp;" kg)",AT57="C","Este exercício usa o Peso Corporal como carga",AT57="E","Este exercício usa a resistência da banda elástica como carga",AT57="O","Carga Sugerida: "&amp;INT(AW56)&amp;" kg",TRUE,""))</f>
        <v/>
      </c>
      <c r="AR57" s="66"/>
      <c r="AS57" s="126">
        <f>AS56</f>
        <v>1</v>
      </c>
      <c r="AT57" s="120" t="str">
        <f>LEFT(AW57)</f>
        <v/>
      </c>
      <c r="AU57" s="121" t="str">
        <f>MID(AW57,2,1)</f>
        <v/>
      </c>
      <c r="AV57" s="122" t="str">
        <f>RIGHT(AW57)</f>
        <v/>
      </c>
      <c r="AW57" s="123" t="str">
        <f>IF(AU56="","",OFFSET(Biblioteca!$I$2,MATCH(AU56,Biblioteca!$A$3:$A$200,0),0))</f>
        <v/>
      </c>
      <c r="AX57" s="124"/>
      <c r="AY57" s="125"/>
      <c r="AZ57" s="117" t="str">
        <f>IF(AZ56="","",IFS(BK57="A",Montagem!$F$80,BM57="T","Realizar a maior quantidade de repetições por "&amp;BE56&amp;" segundos | ",BM57="I",IF(BL57="U","Manter a posição por "&amp;BE56&amp;" segundos de um lado e trocar para o outro na sequência | ","Manter a posição por "&amp;BE56&amp;" segundos | "),BL57="A","Realizar alternadamente "&amp;BE56&amp;" repetições cada lado | ",BL57="U","Realizar "&amp;BE56&amp;" repetições de um lado e trocar para o outro na sequência | ",BK57="P",OFFSET(Biblioteca!$H$2,MATCH(BL56,Biblioteca!$A$3:$A$200,0),0),TRUE,"")&amp;IF(BM57="R","Ajuste a carga para que tenha "&amp;$K$2&amp;" repetições de reserva",""))</f>
        <v/>
      </c>
      <c r="BD57" s="118" t="str">
        <f>IF(AZ56="","",IFS(BK57="H","Carga Sugerida: "&amp;ROUNDUP(BN56/2,0)&amp;" kg de cada lado (Total: "&amp;ROUNDUP(BN56/2,0)*2&amp;" kg)",BK57="C","Este exercício usa o Peso Corporal como carga",BK57="E","Este exercício usa a resistência da banda elástica como carga",BK57="O","Carga Sugerida: "&amp;INT(BN56)&amp;" kg",TRUE,""))</f>
        <v/>
      </c>
      <c r="BI57" s="66"/>
      <c r="BJ57" s="126">
        <f>BJ56</f>
        <v>7</v>
      </c>
      <c r="BK57" s="120" t="str">
        <f>LEFT(BN57)</f>
        <v/>
      </c>
      <c r="BL57" s="121" t="str">
        <f>MID(BN57,2,1)</f>
        <v/>
      </c>
      <c r="BM57" s="122" t="str">
        <f>RIGHT(BN57)</f>
        <v/>
      </c>
      <c r="BN57" s="123" t="str">
        <f>IF(BL56="","",OFFSET(Biblioteca!$I$2,MATCH(BL56,Biblioteca!$A$3:$A$200,0),0))</f>
        <v/>
      </c>
      <c r="BO57" s="124"/>
      <c r="BP57" s="125"/>
      <c r="BQ57" s="117" t="str">
        <f>IF(BQ56="","",IFS(CB57="A",Montagem!$G$80,CD57="T","Realizar a maior quantidade de repetições por "&amp;BV56&amp;" segundos | ",CD57="I",IF(CC57="U","Manter a posição por "&amp;BV56&amp;" segundos de um lado e trocar para o outro na sequência | ","Manter a posição por "&amp;BV56&amp;" segundos | "),CC57="A","Realizar alternadamente "&amp;BV56&amp;" repetições cada lado | ",CC57="U","Realizar "&amp;BV56&amp;" repetições de um lado e trocar para o outro na sequência | ",CB57="P",OFFSET(Biblioteca!$H$2,MATCH(CC56,Biblioteca!$A$3:$A$200,0),0),TRUE,"")&amp;IF(CD57="R","Ajuste a carga para que tenha "&amp;$K$2&amp;" repetições de reserva",""))</f>
        <v/>
      </c>
      <c r="BU57" s="118" t="str">
        <f>IF(BQ56="","",IFS(CB57="H","Carga Sugerida: "&amp;ROUNDUP(CE56/2,0)&amp;" kg de cada lado (Total: "&amp;ROUNDUP(CE56/2,0)*2&amp;" kg)",CB57="C","Este exercício usa o Peso Corporal como carga",CB57="E","Este exercício usa a resistência da banda elástica como carga",CB57="O","Carga Sugerida: "&amp;INT(CE56)&amp;" kg",TRUE,""))</f>
        <v/>
      </c>
      <c r="BZ57" s="66"/>
      <c r="CA57" s="126">
        <f>CA56</f>
        <v>8</v>
      </c>
      <c r="CB57" s="120" t="str">
        <f>LEFT(CE57)</f>
        <v/>
      </c>
      <c r="CC57" s="121" t="str">
        <f>MID(CE57,2,1)</f>
        <v/>
      </c>
      <c r="CD57" s="122" t="str">
        <f>RIGHT(CE57)</f>
        <v/>
      </c>
      <c r="CE57" s="123" t="str">
        <f>IF(CC56="","",OFFSET(Biblioteca!$I$2,MATCH(CC56,Biblioteca!$A$3:$A$200,0),0))</f>
        <v/>
      </c>
      <c r="CF57" s="124"/>
      <c r="CG57" s="125"/>
      <c r="CH57" s="117" t="str">
        <f>IF(CH56="","",IFS(CS57="A",Montagem!$H$80,CU57="T","Realizar a maior quantidade de repetições por "&amp;CM56&amp;" segundos | ",CU57="I",IF(CT57="U","Manter a posição por "&amp;CM56&amp;" segundos de um lado e trocar para o outro na sequência | ","Manter a posição por "&amp;CM56&amp;" segundos | "),CT57="A","Realizar alternadamente "&amp;CM56&amp;" repetições cada lado | ",CT57="U","Realizar "&amp;CM56&amp;" repetições de um lado e trocar para o outro na sequência | ",CS57="P",OFFSET(Biblioteca!$H$2,MATCH(CT56,Biblioteca!$A$3:$A$200,0),0),TRUE,"")&amp;IF(CU57="R","Ajuste a carga para que tenha "&amp;$K$2&amp;" repetições de reserva",""))</f>
        <v/>
      </c>
      <c r="CL57" s="118" t="str">
        <f>IF(CH56="","",IFS(CS57="H","Carga Sugerida: "&amp;ROUNDUP(CV56/2,0)&amp;" kg de cada lado (Total: "&amp;ROUNDUP(CV56/2,0)*2&amp;" kg)",CS57="C","Este exercício usa o Peso Corporal como carga",CS57="E","Este exercício usa a resistência da banda elástica como carga",CS57="O","Carga Sugerida: "&amp;INT(CV56)&amp;" kg",TRUE,""))</f>
        <v/>
      </c>
      <c r="CQ57" s="66"/>
      <c r="CR57" s="126">
        <f>CR56</f>
        <v>1</v>
      </c>
      <c r="CS57" s="120" t="str">
        <f>LEFT(CV57)</f>
        <v/>
      </c>
      <c r="CT57" s="121" t="str">
        <f>MID(CV57,2,1)</f>
        <v/>
      </c>
      <c r="CU57" s="122" t="str">
        <f>RIGHT(CV57)</f>
        <v/>
      </c>
      <c r="CV57" s="123" t="str">
        <f>IF(CT56="","",OFFSET(Biblioteca!$I$2,MATCH(CT56,Biblioteca!$A$3:$A$200,0),0))</f>
        <v/>
      </c>
      <c r="CW57" s="124"/>
      <c r="CX57" s="125"/>
      <c r="CY57" s="117" t="str">
        <f>IF(CY56="","",IFS(DJ57="A",Montagem!$I$80,DL57="T","Realizar a maior quantidade de repetições por "&amp;DD56&amp;" segundos | ",DL57="I",IF(DK57="U","Manter a posição por "&amp;DD56&amp;" segundos de um lado e trocar para o outro na sequência | ","Manter a posição por "&amp;DD56&amp;" segundos | "),DK57="A","Realizar alternadamente "&amp;DD56&amp;" repetições cada lado | ",DK57="U","Realizar "&amp;DD56&amp;" repetições de um lado e trocar para o outro na sequência | ",DJ57="P",OFFSET(Biblioteca!$H$2,MATCH(DK56,Biblioteca!$A$3:$A$200,0),0),TRUE,"")&amp;IF(DL57="R","Ajuste a carga para que tenha "&amp;$K$2&amp;" repetições de reserva",""))</f>
        <v/>
      </c>
      <c r="DC57" s="118" t="str">
        <f>IF(CY56="","",IFS(DJ57="H","Carga Sugerida: "&amp;ROUNDUP(DM56/2,0)&amp;" kg de cada lado (Total: "&amp;ROUNDUP(DM56/2,0)*2&amp;" kg)",DJ57="C","Este exercício usa o Peso Corporal como carga",DJ57="E","Este exercício usa a resistência da banda elástica como carga",DJ57="O","Carga Sugerida: "&amp;INT(DM56)&amp;" kg",TRUE,""))</f>
        <v/>
      </c>
      <c r="DH57" s="66"/>
      <c r="DI57" s="126">
        <f>DI56</f>
        <v>1</v>
      </c>
      <c r="DJ57" s="120" t="str">
        <f>LEFT(DM57)</f>
        <v/>
      </c>
      <c r="DK57" s="121" t="str">
        <f>MID(DM57,2,1)</f>
        <v/>
      </c>
      <c r="DL57" s="122" t="str">
        <f>RIGHT(DM57)</f>
        <v/>
      </c>
      <c r="DM57" s="123" t="str">
        <f>IF(DK56="","",OFFSET(Biblioteca!$I$2,MATCH(DK56,Biblioteca!$A$3:$A$200,0),0))</f>
        <v/>
      </c>
      <c r="DN57" s="124"/>
      <c r="DO57" s="147"/>
      <c r="DP57" s="149"/>
      <c r="DQ57" s="150"/>
      <c r="DR57" s="56"/>
      <c r="DS57" s="151"/>
      <c r="DU57" s="151"/>
      <c r="DX57" s="152"/>
      <c r="DY57" s="152"/>
    </row>
    <row r="58">
      <c r="A58" s="115" t="str">
        <f>IF(M58="","",HYPERLINK(OFFSET(Biblioteca!$B$2,MATCH(M58,Biblioteca!$A$3:$A$200,0),0),M58))</f>
        <v/>
      </c>
      <c r="D58" s="103" t="str">
        <f>Montagem!Q87</f>
        <v/>
      </c>
      <c r="E58" s="104" t="str">
        <f>Montagem!R87</f>
        <v/>
      </c>
      <c r="F58" s="104" t="str">
        <f>Montagem!S87</f>
        <v/>
      </c>
      <c r="G58" s="104" t="str">
        <f>Montagem!T87</f>
        <v/>
      </c>
      <c r="H58" s="104" t="str">
        <f>Montagem!U87</f>
        <v/>
      </c>
      <c r="I58" s="132" t="str">
        <f>Montagem!V87</f>
        <v/>
      </c>
      <c r="J58" s="144"/>
      <c r="K58" s="106">
        <f>Montagem!K87</f>
        <v>11</v>
      </c>
      <c r="L58" s="111" t="str">
        <f>Montagem!W87</f>
        <v/>
      </c>
      <c r="M58" s="111" t="str">
        <f>Montagem!L87</f>
        <v/>
      </c>
      <c r="N58" s="111" t="str">
        <f>Montagem!X87</f>
        <v/>
      </c>
      <c r="O58" s="106" t="str">
        <f>IF(N58="",L58,N58)</f>
        <v/>
      </c>
      <c r="P58" s="106" t="str">
        <f>IF(L59="C",'Dados de Base'!$D$5*0.1,IF(L59="E",5,IF(J58="",O58,J58)))</f>
        <v/>
      </c>
      <c r="Q58" s="108"/>
      <c r="R58" s="115" t="str">
        <f>IF(AD58="","",HYPERLINK(OFFSET(Biblioteca!$B$2,MATCH(AD58,Biblioteca!$A$3:$A$200,0),0),AD58))</f>
        <v/>
      </c>
      <c r="U58" s="109" t="str">
        <f>Montagem!AF87</f>
        <v/>
      </c>
      <c r="V58" s="110" t="str">
        <f>Montagem!AG87</f>
        <v/>
      </c>
      <c r="W58" s="110" t="str">
        <f>Montagem!AH87</f>
        <v/>
      </c>
      <c r="X58" s="110" t="str">
        <f>Montagem!AI87</f>
        <v/>
      </c>
      <c r="Y58" s="110" t="str">
        <f>Montagem!AJ87</f>
        <v/>
      </c>
      <c r="Z58" s="110" t="str">
        <f>Montagem!AK87</f>
        <v/>
      </c>
      <c r="AA58" s="114"/>
      <c r="AB58" s="111">
        <f>Montagem!Z87</f>
        <v>11</v>
      </c>
      <c r="AC58" s="111" t="str">
        <f>Montagem!AL87</f>
        <v/>
      </c>
      <c r="AD58" s="129" t="str">
        <f>Montagem!AA87</f>
        <v/>
      </c>
      <c r="AE58" s="111" t="str">
        <f>Montagem!AM87</f>
        <v/>
      </c>
      <c r="AF58" s="106" t="str">
        <f>IF(AE58="",AC58,AE58)</f>
        <v/>
      </c>
      <c r="AG58" s="106" t="str">
        <f>IF(AC59="C",'Dados de Base'!$D$5*0.1,IF(AC59="E",5,IF(AA58="",AF58,AA58)))</f>
        <v/>
      </c>
      <c r="AH58" s="108"/>
      <c r="AI58" s="115" t="str">
        <f>IF(AU58="","",HYPERLINK(OFFSET(Biblioteca!$B$2,MATCH(AU58,Biblioteca!$A$3:$A$200,0),0),AU58))</f>
        <v/>
      </c>
      <c r="AL58" s="109" t="str">
        <f>Montagem!AU87</f>
        <v/>
      </c>
      <c r="AM58" s="110" t="str">
        <f>Montagem!AV87</f>
        <v/>
      </c>
      <c r="AN58" s="110" t="str">
        <f>Montagem!AW87</f>
        <v/>
      </c>
      <c r="AO58" s="110" t="str">
        <f>Montagem!AX87</f>
        <v/>
      </c>
      <c r="AP58" s="110" t="str">
        <f>Montagem!AY87</f>
        <v/>
      </c>
      <c r="AQ58" s="110" t="str">
        <f>Montagem!AZ87</f>
        <v/>
      </c>
      <c r="AR58" s="114"/>
      <c r="AS58" s="111">
        <f>Montagem!AO87</f>
        <v>1</v>
      </c>
      <c r="AT58" s="111" t="str">
        <f>Montagem!BA87</f>
        <v/>
      </c>
      <c r="AU58" s="111" t="str">
        <f>Montagem!AP87</f>
        <v/>
      </c>
      <c r="AV58" s="111" t="str">
        <f>Montagem!BB87</f>
        <v/>
      </c>
      <c r="AW58" s="106" t="str">
        <f>IF(AV58="",AT58,AV58)</f>
        <v/>
      </c>
      <c r="AX58" s="106" t="str">
        <f>IF(AT59="C",'Dados de Base'!$D$5*0.1,IF(AT59="E",5,IF(AR58="",AW58,AR58)))</f>
        <v/>
      </c>
      <c r="AY58" s="108"/>
      <c r="AZ58" s="115" t="str">
        <f>IF(BL58="","",HYPERLINK(OFFSET(Biblioteca!$B$2,MATCH(BL58,Biblioteca!$A$3:$A$200,0),0),BL58))</f>
        <v/>
      </c>
      <c r="BC58" s="109" t="str">
        <f>Montagem!BJ87</f>
        <v/>
      </c>
      <c r="BD58" s="110" t="str">
        <f>Montagem!BK87</f>
        <v/>
      </c>
      <c r="BE58" s="110" t="str">
        <f>Montagem!BL87</f>
        <v/>
      </c>
      <c r="BF58" s="110" t="str">
        <f>Montagem!BM87</f>
        <v/>
      </c>
      <c r="BG58" s="110" t="str">
        <f>Montagem!BN87</f>
        <v/>
      </c>
      <c r="BH58" s="110" t="str">
        <f>Montagem!BO87</f>
        <v/>
      </c>
      <c r="BI58" s="114"/>
      <c r="BJ58" s="111">
        <f>Montagem!BD87</f>
        <v>7</v>
      </c>
      <c r="BK58" s="111" t="str">
        <f>Montagem!BP87</f>
        <v/>
      </c>
      <c r="BL58" s="111" t="str">
        <f>Montagem!BE87</f>
        <v/>
      </c>
      <c r="BM58" s="111" t="str">
        <f>Montagem!BQ87</f>
        <v/>
      </c>
      <c r="BN58" s="106" t="str">
        <f>IF(BM58="",BK58,BM58)</f>
        <v/>
      </c>
      <c r="BO58" s="106" t="str">
        <f>IF(BK59="C",'Dados de Base'!$D$5*0.1,IF(BK59="E",5,IF(BI58="",BN58,BI58)))</f>
        <v/>
      </c>
      <c r="BP58" s="108"/>
      <c r="BQ58" s="115" t="str">
        <f>IF(CC58="","",HYPERLINK(OFFSET(Biblioteca!$B$2,MATCH(CC58,Biblioteca!$A$3:$A$200,0),0),CC58))</f>
        <v/>
      </c>
      <c r="BT58" s="109" t="str">
        <f>Montagem!BY87</f>
        <v/>
      </c>
      <c r="BU58" s="110" t="str">
        <f>Montagem!BZ87</f>
        <v/>
      </c>
      <c r="BV58" s="110" t="str">
        <f>Montagem!CA87</f>
        <v/>
      </c>
      <c r="BW58" s="110" t="str">
        <f>Montagem!CB87</f>
        <v/>
      </c>
      <c r="BX58" s="110" t="str">
        <f>Montagem!CC87</f>
        <v/>
      </c>
      <c r="BY58" s="110" t="str">
        <f>Montagem!CD87</f>
        <v/>
      </c>
      <c r="BZ58" s="114"/>
      <c r="CA58" s="111">
        <f>Montagem!BS87</f>
        <v>8</v>
      </c>
      <c r="CB58" s="111" t="str">
        <f>Montagem!CE87</f>
        <v/>
      </c>
      <c r="CC58" s="111" t="str">
        <f>Montagem!BT87</f>
        <v/>
      </c>
      <c r="CD58" s="111" t="str">
        <f>Montagem!CF87</f>
        <v/>
      </c>
      <c r="CE58" s="106" t="str">
        <f>IF(CD58="",CB58,CD58)</f>
        <v/>
      </c>
      <c r="CF58" s="106" t="str">
        <f>IF(CB59="C",'Dados de Base'!$D$5*0.1,IF(CB59="E",5,IF(BZ58="",CE58,BZ58)))</f>
        <v/>
      </c>
      <c r="CG58" s="108"/>
      <c r="CH58" s="115" t="str">
        <f>IF(CT58="","",HYPERLINK(OFFSET(Biblioteca!$B$2,MATCH(CT58,Biblioteca!$A$3:$A$200,0),0),CT58))</f>
        <v/>
      </c>
      <c r="CK58" s="109" t="str">
        <f>Montagem!CN87</f>
        <v/>
      </c>
      <c r="CL58" s="110" t="str">
        <f>Montagem!CO87</f>
        <v/>
      </c>
      <c r="CM58" s="110" t="str">
        <f>Montagem!CP87</f>
        <v/>
      </c>
      <c r="CN58" s="110" t="str">
        <f>Montagem!CQ87</f>
        <v/>
      </c>
      <c r="CO58" s="110" t="str">
        <f>Montagem!CR87</f>
        <v/>
      </c>
      <c r="CP58" s="110" t="str">
        <f>Montagem!CS87</f>
        <v/>
      </c>
      <c r="CQ58" s="114"/>
      <c r="CR58" s="111">
        <f>Montagem!CH87</f>
        <v>1</v>
      </c>
      <c r="CS58" s="111" t="str">
        <f>Montagem!CT87</f>
        <v/>
      </c>
      <c r="CT58" s="111" t="str">
        <f>Montagem!CI87</f>
        <v/>
      </c>
      <c r="CU58" s="145" t="str">
        <f>Montagem!CU87</f>
        <v/>
      </c>
      <c r="CV58" s="106" t="str">
        <f>IF(CU58="",CS58,CU58)</f>
        <v/>
      </c>
      <c r="CW58" s="106" t="str">
        <f>IF(CS59="C",'Dados de Base'!$D$5*0.1,IF(CS59="E",5,IF(CQ58="",CV58,CQ58)))</f>
        <v/>
      </c>
      <c r="CX58" s="108"/>
      <c r="CY58" s="115" t="str">
        <f>IF(DK58="","",HYPERLINK(OFFSET(Biblioteca!$B$2,MATCH(DK58,Biblioteca!$A$3:$A$200,0),0),DK58))</f>
        <v/>
      </c>
      <c r="DB58" s="130" t="str">
        <f>Montagem!DC87</f>
        <v/>
      </c>
      <c r="DC58" s="131" t="str">
        <f>Montagem!DD87</f>
        <v/>
      </c>
      <c r="DD58" s="131" t="str">
        <f>Montagem!DE87</f>
        <v/>
      </c>
      <c r="DE58" s="131" t="str">
        <f>Montagem!DF87</f>
        <v/>
      </c>
      <c r="DF58" s="131" t="str">
        <f>Montagem!DG87</f>
        <v/>
      </c>
      <c r="DG58" s="131" t="str">
        <f>Montagem!DH87</f>
        <v/>
      </c>
      <c r="DH58" s="114"/>
      <c r="DI58" s="111">
        <f>Montagem!CW87</f>
        <v>1</v>
      </c>
      <c r="DJ58" s="111" t="str">
        <f>Montagem!DI87</f>
        <v/>
      </c>
      <c r="DK58" s="111" t="str">
        <f>Montagem!CX87</f>
        <v/>
      </c>
      <c r="DL58" s="145" t="str">
        <f>Montagem!DJ87</f>
        <v/>
      </c>
      <c r="DM58" s="106" t="str">
        <f>IF(DL58="",DJ58,DL58)</f>
        <v/>
      </c>
      <c r="DN58" s="106" t="str">
        <f>IF(DJ59="C",'Dados de Base'!$D$5*0.1,IF(DJ59="E",5,IF(DH58="",DM58,DH58)))</f>
        <v/>
      </c>
      <c r="DO58" s="146"/>
      <c r="DP58" s="106"/>
      <c r="DQ58" s="106"/>
      <c r="DR58" s="106"/>
      <c r="DS58" s="106"/>
      <c r="DT58" s="106"/>
      <c r="DU58" s="106"/>
      <c r="DV58" s="106"/>
      <c r="DW58" s="106"/>
      <c r="DX58" s="106"/>
      <c r="DY58" s="106"/>
    </row>
    <row r="59">
      <c r="A59" s="117" t="str">
        <f>IF(A58="","",IFS(L59="A",Montagem!$C$80,N59="T","Realizar a maior quantidade de repetições por "&amp;F58&amp;" segundos | ",N59="I",IF(M59="U","Manter a posição por "&amp;F58&amp;" segundos de um lado e trocar para o outro na sequência | ","Manter a posição por "&amp;F58&amp;" segundos | "),M59="A","Realizar alternadamente "&amp;F58&amp;" repetições cada lado | ",M59="U","Realizar "&amp;F58&amp;" repetições de um lado e trocar para o outro na sequência | ",L59="P",OFFSET(Biblioteca!$H$2,MATCH(M58,Biblioteca!$A$3:$A$200,0),0),TRUE,"")&amp;IF(N59="R","Ajuste a carga para que tenha "&amp;$K$2&amp;" repetições de reserva",""))</f>
        <v/>
      </c>
      <c r="E59" s="118" t="str">
        <f>IF(A58="","",IFS(L59="H","Carga Sugerida: "&amp;ROUNDUP(O58/2,0)&amp;" kg de cada lado (Total: "&amp;ROUNDUP(O58/2,0)*2&amp;" kg)",L59="C","Este exercício usa o Peso Corporal como carga",L59="E","Este exercício usa a resistência da banda elástica como carga",L59="O","Carga Sugerida: "&amp;INT(O58)&amp;" kg",TRUE,""))</f>
        <v/>
      </c>
      <c r="J59" s="66"/>
      <c r="K59" s="106">
        <f>K58</f>
        <v>11</v>
      </c>
      <c r="L59" s="120" t="str">
        <f>LEFT(O59)</f>
        <v/>
      </c>
      <c r="M59" s="121" t="str">
        <f>MID(O59,2,1)</f>
        <v/>
      </c>
      <c r="N59" s="122" t="str">
        <f>RIGHT(O59)</f>
        <v/>
      </c>
      <c r="O59" s="123" t="str">
        <f>IF(M58="","",OFFSET(Biblioteca!$I$2,MATCH(M58,Biblioteca!$A$3:$A$200,0),0))</f>
        <v/>
      </c>
      <c r="P59" s="124"/>
      <c r="Q59" s="125"/>
      <c r="R59" s="117" t="str">
        <f>IF(R58="","",IFS(AC59="A",Montagem!$D$80,AE59="T","Realizar a maior quantidade de repetições por "&amp;W58&amp;" segundos | ",AE59="I",IF(AD59="U","Manter a posição por "&amp;W58&amp;" segundos de um lado e trocar para o outro na sequência | ","Manter a posição por "&amp;W58&amp;" segundos | "),AD59="A","Realizar alternadamente "&amp;W58&amp;" repetições cada lado | ",AD59="U","Realizar "&amp;W58&amp;" repetições de um lado e trocar para o outro na sequência | ",AC59="P",OFFSET(Biblioteca!$H$2,MATCH(AD58,Biblioteca!$A$3:$A$200,0),0),TRUE,"")&amp;IF(AE59="R","Ajuste a carga para que tenha "&amp;$K$2&amp;" repetições de reserva",""))</f>
        <v/>
      </c>
      <c r="V59" s="118" t="str">
        <f>IF(R58="","",IFS(AC59="H","Carga Sugerida: "&amp;ROUNDUP(AF58/2,0)&amp;" kg de cada lado (Total: "&amp;ROUNDUP(AF58/2,0)*2&amp;" kg)",AC59="C","Este exercício usa o Peso Corporal como carga",AC59="E","Este exercício usa a resistência da banda elástica como carga",AC59="O","Carga Sugerida: "&amp;INT(AF58)&amp;" kg",TRUE,""))</f>
        <v/>
      </c>
      <c r="AA59" s="66"/>
      <c r="AB59" s="126">
        <f>AB58</f>
        <v>11</v>
      </c>
      <c r="AC59" s="120" t="str">
        <f>LEFT(AF59)</f>
        <v/>
      </c>
      <c r="AD59" s="121" t="str">
        <f>MID(AF59,2,1)</f>
        <v/>
      </c>
      <c r="AE59" s="122" t="str">
        <f>RIGHT(AF59)</f>
        <v/>
      </c>
      <c r="AF59" s="123" t="str">
        <f>IF(AD58="","",OFFSET(Biblioteca!$I$2,MATCH(AD58,Biblioteca!$A$3:$A$200,0),0))</f>
        <v/>
      </c>
      <c r="AG59" s="124"/>
      <c r="AH59" s="125"/>
      <c r="AI59" s="117" t="str">
        <f>IF(AI58="","",IFS(AT59="A",Montagem!$E$80,AV59="T","Realizar a maior quantidade de repetições por "&amp;AN58&amp;" segundos | ",AV59="I",IF(AU59="U","Manter a posição por "&amp;AN58&amp;" segundos de um lado e trocar para o outro na sequência | ","Manter a posição por "&amp;AN58&amp;" segundos | "),AU59="A","Realizar alternadamente "&amp;AN58&amp;" repetições cada lado | ",AU59="U","Realizar "&amp;AN58&amp;" repetições de um lado e trocar para o outro na sequência | ",AT59="P",OFFSET(Biblioteca!$H$2,MATCH(AU58,Biblioteca!$A$3:$A$200,0),0),TRUE,"")&amp;IF(AV59="R","Ajuste a carga para que tenha "&amp;$K$2&amp;" repetições de reserva",""))</f>
        <v/>
      </c>
      <c r="AM59" s="118" t="str">
        <f>IF(AI58="","",IFS(AT59="H","Carga Sugerida: "&amp;ROUNDUP(AW58/2,0)&amp;" kg de cada lado (Total: "&amp;ROUNDUP(AW58/2,0)*2&amp;" kg)",AT59="C","Este exercício usa o Peso Corporal como carga",AT59="E","Este exercício usa a resistência da banda elástica como carga",AT59="O","Carga Sugerida: "&amp;INT(AW58)&amp;" kg",TRUE,""))</f>
        <v/>
      </c>
      <c r="AR59" s="66"/>
      <c r="AS59" s="126">
        <f>AS58</f>
        <v>1</v>
      </c>
      <c r="AT59" s="120" t="str">
        <f>LEFT(AW59)</f>
        <v/>
      </c>
      <c r="AU59" s="121" t="str">
        <f>MID(AW59,2,1)</f>
        <v/>
      </c>
      <c r="AV59" s="122" t="str">
        <f>RIGHT(AW59)</f>
        <v/>
      </c>
      <c r="AW59" s="123" t="str">
        <f>IF(AU58="","",OFFSET(Biblioteca!$I$2,MATCH(AU58,Biblioteca!$A$3:$A$200,0),0))</f>
        <v/>
      </c>
      <c r="AX59" s="124"/>
      <c r="AY59" s="125"/>
      <c r="AZ59" s="117" t="str">
        <f>IF(AZ58="","",IFS(BK59="A",Montagem!$F$80,BM59="T","Realizar a maior quantidade de repetições por "&amp;BE58&amp;" segundos | ",BM59="I",IF(BL59="U","Manter a posição por "&amp;BE58&amp;" segundos de um lado e trocar para o outro na sequência | ","Manter a posição por "&amp;BE58&amp;" segundos | "),BL59="A","Realizar alternadamente "&amp;BE58&amp;" repetições cada lado | ",BL59="U","Realizar "&amp;BE58&amp;" repetições de um lado e trocar para o outro na sequência | ",BK59="P",OFFSET(Biblioteca!$H$2,MATCH(BL58,Biblioteca!$A$3:$A$200,0),0),TRUE,"")&amp;IF(BM59="R","Ajuste a carga para que tenha "&amp;$K$2&amp;" repetições de reserva",""))</f>
        <v/>
      </c>
      <c r="BD59" s="118" t="str">
        <f>IF(AZ58="","",IFS(BK59="H","Carga Sugerida: "&amp;ROUNDUP(BN58/2,0)&amp;" kg de cada lado (Total: "&amp;ROUNDUP(BN58/2,0)*2&amp;" kg)",BK59="C","Este exercício usa o Peso Corporal como carga",BK59="E","Este exercício usa a resistência da banda elástica como carga",BK59="O","Carga Sugerida: "&amp;INT(BN58)&amp;" kg",TRUE,""))</f>
        <v/>
      </c>
      <c r="BI59" s="66"/>
      <c r="BJ59" s="126">
        <f>BJ58</f>
        <v>7</v>
      </c>
      <c r="BK59" s="120" t="str">
        <f>LEFT(BN59)</f>
        <v/>
      </c>
      <c r="BL59" s="121" t="str">
        <f>MID(BN59,2,1)</f>
        <v/>
      </c>
      <c r="BM59" s="122" t="str">
        <f>RIGHT(BN59)</f>
        <v/>
      </c>
      <c r="BN59" s="123" t="str">
        <f>IF(BL58="","",OFFSET(Biblioteca!$I$2,MATCH(BL58,Biblioteca!$A$3:$A$200,0),0))</f>
        <v/>
      </c>
      <c r="BO59" s="124"/>
      <c r="BP59" s="125"/>
      <c r="BQ59" s="117" t="str">
        <f>IF(BQ58="","",IFS(CB59="A",Montagem!$G$80,CD59="T","Realizar a maior quantidade de repetições por "&amp;BV58&amp;" segundos | ",CD59="I",IF(CC59="U","Manter a posição por "&amp;BV58&amp;" segundos de um lado e trocar para o outro na sequência | ","Manter a posição por "&amp;BV58&amp;" segundos | "),CC59="A","Realizar alternadamente "&amp;BV58&amp;" repetições cada lado | ",CC59="U","Realizar "&amp;BV58&amp;" repetições de um lado e trocar para o outro na sequência | ",CB59="P",OFFSET(Biblioteca!$H$2,MATCH(CC58,Biblioteca!$A$3:$A$200,0),0),TRUE,"")&amp;IF(CD59="R","Ajuste a carga para que tenha "&amp;$K$2&amp;" repetições de reserva",""))</f>
        <v/>
      </c>
      <c r="BU59" s="118" t="str">
        <f>IF(BQ58="","",IFS(CB59="H","Carga Sugerida: "&amp;ROUNDUP(CE58/2,0)&amp;" kg de cada lado (Total: "&amp;ROUNDUP(CE58/2,0)*2&amp;" kg)",CB59="C","Este exercício usa o Peso Corporal como carga",CB59="E","Este exercício usa a resistência da banda elástica como carga",CB59="O","Carga Sugerida: "&amp;INT(CE58)&amp;" kg",TRUE,""))</f>
        <v/>
      </c>
      <c r="BZ59" s="66"/>
      <c r="CA59" s="126">
        <f>CA58</f>
        <v>8</v>
      </c>
      <c r="CB59" s="120" t="str">
        <f>LEFT(CE59)</f>
        <v/>
      </c>
      <c r="CC59" s="121" t="str">
        <f>MID(CE59,2,1)</f>
        <v/>
      </c>
      <c r="CD59" s="122" t="str">
        <f>RIGHT(CE59)</f>
        <v/>
      </c>
      <c r="CE59" s="123" t="str">
        <f>IF(CC58="","",OFFSET(Biblioteca!$I$2,MATCH(CC58,Biblioteca!$A$3:$A$200,0),0))</f>
        <v/>
      </c>
      <c r="CF59" s="124"/>
      <c r="CG59" s="125"/>
      <c r="CH59" s="117" t="str">
        <f>IF(CH58="","",IFS(CS59="A",Montagem!$H$80,CU59="T","Realizar a maior quantidade de repetições por "&amp;CM58&amp;" segundos | ",CU59="I",IF(CT59="U","Manter a posição por "&amp;CM58&amp;" segundos de um lado e trocar para o outro na sequência | ","Manter a posição por "&amp;CM58&amp;" segundos | "),CT59="A","Realizar alternadamente "&amp;CM58&amp;" repetições cada lado | ",CT59="U","Realizar "&amp;CM58&amp;" repetições de um lado e trocar para o outro na sequência | ",CS59="P",OFFSET(Biblioteca!$H$2,MATCH(CT58,Biblioteca!$A$3:$A$200,0),0),TRUE,"")&amp;IF(CU59="R","Ajuste a carga para que tenha "&amp;$K$2&amp;" repetições de reserva",""))</f>
        <v/>
      </c>
      <c r="CL59" s="118" t="str">
        <f>IF(CH58="","",IFS(CS59="H","Carga Sugerida: "&amp;ROUNDUP(CV58/2,0)&amp;" kg de cada lado (Total: "&amp;ROUNDUP(CV58/2,0)*2&amp;" kg)",CS59="C","Este exercício usa o Peso Corporal como carga",CS59="E","Este exercício usa a resistência da banda elástica como carga",CS59="O","Carga Sugerida: "&amp;INT(CV58)&amp;" kg",TRUE,""))</f>
        <v/>
      </c>
      <c r="CQ59" s="66"/>
      <c r="CR59" s="126">
        <f>CR58</f>
        <v>1</v>
      </c>
      <c r="CS59" s="120" t="str">
        <f>LEFT(CV59)</f>
        <v/>
      </c>
      <c r="CT59" s="121" t="str">
        <f>MID(CV59,2,1)</f>
        <v/>
      </c>
      <c r="CU59" s="122" t="str">
        <f>RIGHT(CV59)</f>
        <v/>
      </c>
      <c r="CV59" s="123" t="str">
        <f>IF(CT58="","",OFFSET(Biblioteca!$I$2,MATCH(CT58,Biblioteca!$A$3:$A$200,0),0))</f>
        <v/>
      </c>
      <c r="CW59" s="124"/>
      <c r="CX59" s="125"/>
      <c r="CY59" s="117" t="str">
        <f>IF(CY58="","",IFS(DJ59="A",Montagem!$I$80,DL59="T","Realizar a maior quantidade de repetições por "&amp;DD58&amp;" segundos | ",DL59="I",IF(DK59="U","Manter a posição por "&amp;DD58&amp;" segundos de um lado e trocar para o outro na sequência | ","Manter a posição por "&amp;DD58&amp;" segundos | "),DK59="A","Realizar alternadamente "&amp;DD58&amp;" repetições cada lado | ",DK59="U","Realizar "&amp;DD58&amp;" repetições de um lado e trocar para o outro na sequência | ",DJ59="P",OFFSET(Biblioteca!$H$2,MATCH(DK58,Biblioteca!$A$3:$A$200,0),0),TRUE,"")&amp;IF(DL59="R","Ajuste a carga para que tenha "&amp;$K$2&amp;" repetições de reserva",""))</f>
        <v/>
      </c>
      <c r="DC59" s="118" t="str">
        <f>IF(CY58="","",IFS(DJ59="H","Carga Sugerida: "&amp;ROUNDUP(DM58/2,0)&amp;" kg de cada lado (Total: "&amp;ROUNDUP(DM58/2,0)*2&amp;" kg)",DJ59="C","Este exercício usa o Peso Corporal como carga",DJ59="E","Este exercício usa a resistência da banda elástica como carga",DJ59="O","Carga Sugerida: "&amp;INT(DM58)&amp;" kg",TRUE,""))</f>
        <v/>
      </c>
      <c r="DH59" s="66"/>
      <c r="DI59" s="126">
        <f>DI58</f>
        <v>1</v>
      </c>
      <c r="DJ59" s="120" t="str">
        <f>LEFT(DM59)</f>
        <v/>
      </c>
      <c r="DK59" s="121" t="str">
        <f>MID(DM59,2,1)</f>
        <v/>
      </c>
      <c r="DL59" s="122" t="str">
        <f>RIGHT(DM59)</f>
        <v/>
      </c>
      <c r="DM59" s="123" t="str">
        <f>IF(DK58="","",OFFSET(Biblioteca!$I$2,MATCH(DK58,Biblioteca!$A$3:$A$200,0),0))</f>
        <v/>
      </c>
      <c r="DN59" s="124"/>
      <c r="DO59" s="147"/>
      <c r="DP59" s="142"/>
      <c r="DQ59" s="56"/>
      <c r="DR59" s="56"/>
      <c r="DS59" s="56"/>
      <c r="DT59" s="56"/>
      <c r="DU59" s="56"/>
      <c r="DV59" s="56"/>
      <c r="DW59" s="56"/>
      <c r="DX59" s="56"/>
      <c r="DY59" s="56"/>
    </row>
    <row r="60">
      <c r="A60" s="115" t="str">
        <f>IF(M60="","",HYPERLINK(OFFSET(Biblioteca!$B$2,MATCH(M60,Biblioteca!$A$3:$A$200,0),0),M60))</f>
        <v/>
      </c>
      <c r="D60" s="103" t="str">
        <f>Montagem!Q88</f>
        <v/>
      </c>
      <c r="E60" s="104" t="str">
        <f>Montagem!R88</f>
        <v/>
      </c>
      <c r="F60" s="104" t="str">
        <f>Montagem!S88</f>
        <v/>
      </c>
      <c r="G60" s="104" t="str">
        <f>Montagem!T88</f>
        <v/>
      </c>
      <c r="H60" s="104" t="str">
        <f>Montagem!U88</f>
        <v/>
      </c>
      <c r="I60" s="132" t="str">
        <f>Montagem!V88</f>
        <v/>
      </c>
      <c r="J60" s="144"/>
      <c r="K60" s="106">
        <f>Montagem!K88</f>
        <v>11</v>
      </c>
      <c r="L60" s="111" t="str">
        <f>Montagem!W88</f>
        <v/>
      </c>
      <c r="M60" s="111" t="str">
        <f>Montagem!L88</f>
        <v/>
      </c>
      <c r="N60" s="111" t="str">
        <f>Montagem!X88</f>
        <v/>
      </c>
      <c r="O60" s="106" t="str">
        <f>IF(N60="",L60,N60)</f>
        <v/>
      </c>
      <c r="P60" s="106" t="str">
        <f>IF(L61="C",'Dados de Base'!$D$5*0.1,IF(L61="E",5,IF(J60="",O60,J60)))</f>
        <v/>
      </c>
      <c r="Q60" s="108"/>
      <c r="R60" s="115" t="str">
        <f>IF(AD60="","",HYPERLINK(OFFSET(Biblioteca!$B$2,MATCH(AD60,Biblioteca!$A$3:$A$200,0),0),AD60))</f>
        <v/>
      </c>
      <c r="U60" s="109" t="str">
        <f>Montagem!AF88</f>
        <v/>
      </c>
      <c r="V60" s="110" t="str">
        <f>Montagem!AG88</f>
        <v/>
      </c>
      <c r="W60" s="110" t="str">
        <f>Montagem!AH88</f>
        <v/>
      </c>
      <c r="X60" s="110" t="str">
        <f>Montagem!AI88</f>
        <v/>
      </c>
      <c r="Y60" s="110" t="str">
        <f>Montagem!AJ88</f>
        <v/>
      </c>
      <c r="Z60" s="110" t="str">
        <f>Montagem!AK88</f>
        <v/>
      </c>
      <c r="AA60" s="114"/>
      <c r="AB60" s="111">
        <f>Montagem!Z88</f>
        <v>11</v>
      </c>
      <c r="AC60" s="111" t="str">
        <f>Montagem!AL88</f>
        <v/>
      </c>
      <c r="AD60" s="129" t="str">
        <f>Montagem!AA88</f>
        <v/>
      </c>
      <c r="AE60" s="111" t="str">
        <f>Montagem!AM88</f>
        <v/>
      </c>
      <c r="AF60" s="106" t="str">
        <f>IF(AE60="",AC60,AE60)</f>
        <v/>
      </c>
      <c r="AG60" s="106" t="str">
        <f>IF(AC61="C",'Dados de Base'!$D$5*0.1,IF(AC61="E",5,IF(AA60="",AF60,AA60)))</f>
        <v/>
      </c>
      <c r="AH60" s="108"/>
      <c r="AI60" s="115" t="str">
        <f>IF(AU60="","",HYPERLINK(OFFSET(Biblioteca!$B$2,MATCH(AU60,Biblioteca!$A$3:$A$200,0),0),AU60))</f>
        <v/>
      </c>
      <c r="AL60" s="109" t="str">
        <f>Montagem!AU88</f>
        <v/>
      </c>
      <c r="AM60" s="110" t="str">
        <f>Montagem!AV88</f>
        <v/>
      </c>
      <c r="AN60" s="110" t="str">
        <f>Montagem!AW88</f>
        <v/>
      </c>
      <c r="AO60" s="110" t="str">
        <f>Montagem!AX88</f>
        <v/>
      </c>
      <c r="AP60" s="110" t="str">
        <f>Montagem!AY88</f>
        <v/>
      </c>
      <c r="AQ60" s="110" t="str">
        <f>Montagem!AZ88</f>
        <v/>
      </c>
      <c r="AR60" s="114"/>
      <c r="AS60" s="111">
        <f>Montagem!AO88</f>
        <v>1</v>
      </c>
      <c r="AT60" s="111" t="str">
        <f>Montagem!BA88</f>
        <v/>
      </c>
      <c r="AU60" s="111" t="str">
        <f>Montagem!AP88</f>
        <v/>
      </c>
      <c r="AV60" s="111" t="str">
        <f>Montagem!BB88</f>
        <v/>
      </c>
      <c r="AW60" s="106" t="str">
        <f>IF(AV60="",AT60,AV60)</f>
        <v/>
      </c>
      <c r="AX60" s="106" t="str">
        <f>IF(AT61="C",'Dados de Base'!$D$5*0.1,IF(AT61="E",5,IF(AR60="",AW60,AR60)))</f>
        <v/>
      </c>
      <c r="AY60" s="108"/>
      <c r="AZ60" s="115" t="str">
        <f>IF(BL60="","",HYPERLINK(OFFSET(Biblioteca!$B$2,MATCH(BL60,Biblioteca!$A$3:$A$200,0),0),BL60))</f>
        <v/>
      </c>
      <c r="BC60" s="109" t="str">
        <f>Montagem!BJ88</f>
        <v/>
      </c>
      <c r="BD60" s="110" t="str">
        <f>Montagem!BK88</f>
        <v/>
      </c>
      <c r="BE60" s="110" t="str">
        <f>Montagem!BL88</f>
        <v/>
      </c>
      <c r="BF60" s="110" t="str">
        <f>Montagem!BM88</f>
        <v/>
      </c>
      <c r="BG60" s="110" t="str">
        <f>Montagem!BN88</f>
        <v/>
      </c>
      <c r="BH60" s="110" t="str">
        <f>Montagem!BO88</f>
        <v/>
      </c>
      <c r="BI60" s="114"/>
      <c r="BJ60" s="111">
        <f>Montagem!BD88</f>
        <v>7</v>
      </c>
      <c r="BK60" s="111" t="str">
        <f>Montagem!BP88</f>
        <v/>
      </c>
      <c r="BL60" s="111" t="str">
        <f>Montagem!BE88</f>
        <v/>
      </c>
      <c r="BM60" s="111" t="str">
        <f>Montagem!BQ88</f>
        <v/>
      </c>
      <c r="BN60" s="106" t="str">
        <f>IF(BM60="",BK60,BM60)</f>
        <v/>
      </c>
      <c r="BO60" s="106" t="str">
        <f>IF(BK61="C",'Dados de Base'!$D$5*0.1,IF(BK61="E",5,IF(BI60="",BN60,BI60)))</f>
        <v/>
      </c>
      <c r="BP60" s="108"/>
      <c r="BQ60" s="115" t="str">
        <f>IF(CC60="","",HYPERLINK(OFFSET(Biblioteca!$B$2,MATCH(CC60,Biblioteca!$A$3:$A$200,0),0),CC60))</f>
        <v/>
      </c>
      <c r="BT60" s="109" t="str">
        <f>Montagem!BY88</f>
        <v/>
      </c>
      <c r="BU60" s="110" t="str">
        <f>Montagem!BZ88</f>
        <v/>
      </c>
      <c r="BV60" s="110" t="str">
        <f>Montagem!CA88</f>
        <v/>
      </c>
      <c r="BW60" s="110" t="str">
        <f>Montagem!CB88</f>
        <v/>
      </c>
      <c r="BX60" s="110" t="str">
        <f>Montagem!CC88</f>
        <v/>
      </c>
      <c r="BY60" s="110" t="str">
        <f>Montagem!CD88</f>
        <v/>
      </c>
      <c r="BZ60" s="114"/>
      <c r="CA60" s="111">
        <f>Montagem!BS88</f>
        <v>8</v>
      </c>
      <c r="CB60" s="111" t="str">
        <f>Montagem!CE88</f>
        <v/>
      </c>
      <c r="CC60" s="111" t="str">
        <f>Montagem!BT88</f>
        <v/>
      </c>
      <c r="CD60" s="111" t="str">
        <f>Montagem!CF88</f>
        <v/>
      </c>
      <c r="CE60" s="106" t="str">
        <f>IF(CD60="",CB60,CD60)</f>
        <v/>
      </c>
      <c r="CF60" s="106" t="str">
        <f>IF(CB61="C",'Dados de Base'!$D$5*0.1,IF(CB61="E",5,IF(BZ60="",CE60,BZ60)))</f>
        <v/>
      </c>
      <c r="CG60" s="108"/>
      <c r="CH60" s="115" t="str">
        <f>IF(CT60="","",HYPERLINK(OFFSET(Biblioteca!$B$2,MATCH(CT60,Biblioteca!$A$3:$A$200,0),0),CT60))</f>
        <v/>
      </c>
      <c r="CK60" s="109" t="str">
        <f>Montagem!CN88</f>
        <v/>
      </c>
      <c r="CL60" s="110" t="str">
        <f>Montagem!CO88</f>
        <v/>
      </c>
      <c r="CM60" s="110" t="str">
        <f>Montagem!CP88</f>
        <v/>
      </c>
      <c r="CN60" s="110" t="str">
        <f>Montagem!CQ88</f>
        <v/>
      </c>
      <c r="CO60" s="110" t="str">
        <f>Montagem!CR88</f>
        <v/>
      </c>
      <c r="CP60" s="110" t="str">
        <f>Montagem!CS88</f>
        <v/>
      </c>
      <c r="CQ60" s="114"/>
      <c r="CR60" s="111">
        <f>Montagem!CH88</f>
        <v>1</v>
      </c>
      <c r="CS60" s="111" t="str">
        <f>Montagem!CT88</f>
        <v/>
      </c>
      <c r="CT60" s="111" t="str">
        <f>Montagem!CI88</f>
        <v/>
      </c>
      <c r="CU60" s="145" t="str">
        <f>Montagem!CU88</f>
        <v/>
      </c>
      <c r="CV60" s="106" t="str">
        <f>IF(CU60="",CS60,CU60)</f>
        <v/>
      </c>
      <c r="CW60" s="106" t="str">
        <f>IF(CS61="C",'Dados de Base'!$D$5*0.1,IF(CS61="E",5,IF(CQ60="",CV60,CQ60)))</f>
        <v/>
      </c>
      <c r="CX60" s="108"/>
      <c r="CY60" s="115" t="str">
        <f>IF(DK60="","",HYPERLINK(OFFSET(Biblioteca!$B$2,MATCH(DK60,Biblioteca!$A$3:$A$200,0),0),DK60))</f>
        <v/>
      </c>
      <c r="DB60" s="130" t="str">
        <f>Montagem!DC88</f>
        <v/>
      </c>
      <c r="DC60" s="131" t="str">
        <f>Montagem!DD88</f>
        <v/>
      </c>
      <c r="DD60" s="131" t="str">
        <f>Montagem!DE88</f>
        <v/>
      </c>
      <c r="DE60" s="131" t="str">
        <f>Montagem!DF88</f>
        <v/>
      </c>
      <c r="DF60" s="131" t="str">
        <f>Montagem!DG88</f>
        <v/>
      </c>
      <c r="DG60" s="131" t="str">
        <f>Montagem!DH88</f>
        <v/>
      </c>
      <c r="DH60" s="114"/>
      <c r="DI60" s="111">
        <f>Montagem!CW88</f>
        <v>1</v>
      </c>
      <c r="DJ60" s="111" t="str">
        <f>Montagem!DI88</f>
        <v/>
      </c>
      <c r="DK60" s="111" t="str">
        <f>Montagem!CX88</f>
        <v/>
      </c>
      <c r="DL60" s="145" t="str">
        <f>Montagem!DJ88</f>
        <v/>
      </c>
      <c r="DM60" s="106" t="str">
        <f>IF(DL60="",DJ60,DL60)</f>
        <v/>
      </c>
      <c r="DN60" s="106" t="str">
        <f>IF(DJ61="C",'Dados de Base'!$D$5*0.1,IF(DJ61="E",5,IF(DH60="",DM60,DH60)))</f>
        <v/>
      </c>
      <c r="DO60" s="146"/>
      <c r="DP60" s="106"/>
      <c r="DQ60" s="106"/>
      <c r="DR60" s="106"/>
      <c r="DS60" s="106"/>
      <c r="DT60" s="106"/>
      <c r="DU60" s="106"/>
      <c r="DV60" s="106"/>
      <c r="DW60" s="106"/>
      <c r="DX60" s="106"/>
      <c r="DY60" s="106"/>
    </row>
    <row r="61">
      <c r="A61" s="117" t="str">
        <f>IF(A60="","",IFS(L61="A",Montagem!$C$80,N61="T","Realizar a maior quantidade de repetições por "&amp;F60&amp;" segundos | ",N61="I",IF(M61="U","Manter a posição por "&amp;F60&amp;" segundos de um lado e trocar para o outro na sequência | ","Manter a posição por "&amp;F60&amp;" segundos | "),M61="A","Realizar alternadamente "&amp;F60&amp;" repetições cada lado | ",M61="U","Realizar "&amp;F60&amp;" repetições de um lado e trocar para o outro na sequência | ",L61="P",OFFSET(Biblioteca!$H$2,MATCH(M60,Biblioteca!$A$3:$A$200,0),0),TRUE,"")&amp;IF(N61="R","Ajuste a carga para que tenha "&amp;$K$2&amp;" repetições de reserva",""))</f>
        <v/>
      </c>
      <c r="E61" s="118" t="str">
        <f>IF(A60="","",IFS(L61="H","Carga Sugerida: "&amp;ROUNDUP(O60/2,0)&amp;" kg de cada lado (Total: "&amp;ROUNDUP(O60/2,0)*2&amp;" kg)",L61="C","Este exercício usa o Peso Corporal como carga",L61="E","Este exercício usa a resistência da banda elástica como carga",L61="O","Carga Sugerida: "&amp;INT(O60)&amp;" kg",TRUE,""))</f>
        <v/>
      </c>
      <c r="J61" s="66"/>
      <c r="K61" s="106">
        <f>K60</f>
        <v>11</v>
      </c>
      <c r="L61" s="120" t="str">
        <f>LEFT(O61)</f>
        <v/>
      </c>
      <c r="M61" s="121" t="str">
        <f>MID(O61,2,1)</f>
        <v/>
      </c>
      <c r="N61" s="122" t="str">
        <f>RIGHT(O61)</f>
        <v/>
      </c>
      <c r="O61" s="123" t="str">
        <f>IF(M60="","",OFFSET(Biblioteca!$I$2,MATCH(M60,Biblioteca!$A$3:$A$200,0),0))</f>
        <v/>
      </c>
      <c r="P61" s="124"/>
      <c r="Q61" s="125"/>
      <c r="R61" s="117" t="str">
        <f>IF(R60="","",IFS(AC61="A",Montagem!$D$80,AE61="T","Realizar a maior quantidade de repetições por "&amp;W60&amp;" segundos | ",AE61="I",IF(AD61="U","Manter a posição por "&amp;W60&amp;" segundos de um lado e trocar para o outro na sequência | ","Manter a posição por "&amp;W60&amp;" segundos | "),AD61="A","Realizar alternadamente "&amp;W60&amp;" repetições cada lado | ",AD61="U","Realizar "&amp;W60&amp;" repetições de um lado e trocar para o outro na sequência | ",AC61="P",OFFSET(Biblioteca!$H$2,MATCH(AD60,Biblioteca!$A$3:$A$200,0),0),TRUE,"")&amp;IF(AE61="R","Ajuste a carga para que tenha "&amp;$K$2&amp;" repetições de reserva",""))</f>
        <v/>
      </c>
      <c r="V61" s="118" t="str">
        <f>IF(R60="","",IFS(AC61="H","Carga Sugerida: "&amp;ROUNDUP(AF60/2,0)&amp;" kg de cada lado (Total: "&amp;ROUNDUP(AF60/2,0)*2&amp;" kg)",AC61="C","Este exercício usa o Peso Corporal como carga",AC61="E","Este exercício usa a resistência da banda elástica como carga",AC61="O","Carga Sugerida: "&amp;INT(AF60)&amp;" kg",TRUE,""))</f>
        <v/>
      </c>
      <c r="AA61" s="66"/>
      <c r="AB61" s="126">
        <f>AB60</f>
        <v>11</v>
      </c>
      <c r="AC61" s="120" t="str">
        <f>LEFT(AF61)</f>
        <v/>
      </c>
      <c r="AD61" s="121" t="str">
        <f>MID(AF61,2,1)</f>
        <v/>
      </c>
      <c r="AE61" s="122" t="str">
        <f>RIGHT(AF61)</f>
        <v/>
      </c>
      <c r="AF61" s="123" t="str">
        <f>IF(AD60="","",OFFSET(Biblioteca!$I$2,MATCH(AD60,Biblioteca!$A$3:$A$200,0),0))</f>
        <v/>
      </c>
      <c r="AG61" s="124"/>
      <c r="AH61" s="125"/>
      <c r="AI61" s="117" t="str">
        <f>IF(AI60="","",IFS(AT61="A",Montagem!$E$80,AV61="T","Realizar a maior quantidade de repetições por "&amp;AN60&amp;" segundos | ",AV61="I",IF(AU61="U","Manter a posição por "&amp;AN60&amp;" segundos de um lado e trocar para o outro na sequência | ","Manter a posição por "&amp;AN60&amp;" segundos | "),AU61="A","Realizar alternadamente "&amp;AN60&amp;" repetições cada lado | ",AU61="U","Realizar "&amp;AN60&amp;" repetições de um lado e trocar para o outro na sequência | ",AT61="P",OFFSET(Biblioteca!$H$2,MATCH(AU60,Biblioteca!$A$3:$A$200,0),0),TRUE,"")&amp;IF(AV61="R","Ajuste a carga para que tenha "&amp;$K$2&amp;" repetições de reserva",""))</f>
        <v/>
      </c>
      <c r="AM61" s="118" t="str">
        <f>IF(AI60="","",IFS(AT61="H","Carga Sugerida: "&amp;ROUNDUP(AW60/2,0)&amp;" kg de cada lado (Total: "&amp;ROUNDUP(AW60/2,0)*2&amp;" kg)",AT61="C","Este exercício usa o Peso Corporal como carga",AT61="E","Este exercício usa a resistência da banda elástica como carga",AT61="O","Carga Sugerida: "&amp;INT(AW60)&amp;" kg",TRUE,""))</f>
        <v/>
      </c>
      <c r="AR61" s="66"/>
      <c r="AS61" s="126">
        <f>AS60</f>
        <v>1</v>
      </c>
      <c r="AT61" s="120" t="str">
        <f>LEFT(AW61)</f>
        <v/>
      </c>
      <c r="AU61" s="121" t="str">
        <f>MID(AW61,2,1)</f>
        <v/>
      </c>
      <c r="AV61" s="122" t="str">
        <f>RIGHT(AW61)</f>
        <v/>
      </c>
      <c r="AW61" s="123" t="str">
        <f>IF(AU60="","",OFFSET(Biblioteca!$I$2,MATCH(AU60,Biblioteca!$A$3:$A$200,0),0))</f>
        <v/>
      </c>
      <c r="AX61" s="124"/>
      <c r="AY61" s="125"/>
      <c r="AZ61" s="117" t="str">
        <f>IF(AZ60="","",IFS(BK61="A",Montagem!$F$80,BM61="T","Realizar a maior quantidade de repetições por "&amp;BE60&amp;" segundos | ",BM61="I",IF(BL61="U","Manter a posição por "&amp;BE60&amp;" segundos de um lado e trocar para o outro na sequência | ","Manter a posição por "&amp;BE60&amp;" segundos | "),BL61="A","Realizar alternadamente "&amp;BE60&amp;" repetições cada lado | ",BL61="U","Realizar "&amp;BE60&amp;" repetições de um lado e trocar para o outro na sequência | ",BK61="P",OFFSET(Biblioteca!$H$2,MATCH(BL60,Biblioteca!$A$3:$A$200,0),0),TRUE,"")&amp;IF(BM61="R","Ajuste a carga para que tenha "&amp;$K$2&amp;" repetições de reserva",""))</f>
        <v/>
      </c>
      <c r="BD61" s="118" t="str">
        <f>IF(AZ60="","",IFS(BK61="H","Carga Sugerida: "&amp;ROUNDUP(BN60/2,0)&amp;" kg de cada lado (Total: "&amp;ROUNDUP(BN60/2,0)*2&amp;" kg)",BK61="C","Este exercício usa o Peso Corporal como carga",BK61="E","Este exercício usa a resistência da banda elástica como carga",BK61="O","Carga Sugerida: "&amp;INT(BN60)&amp;" kg",TRUE,""))</f>
        <v/>
      </c>
      <c r="BI61" s="66"/>
      <c r="BJ61" s="126">
        <f>BJ60</f>
        <v>7</v>
      </c>
      <c r="BK61" s="120" t="str">
        <f>LEFT(BN61)</f>
        <v/>
      </c>
      <c r="BL61" s="121" t="str">
        <f>MID(BN61,2,1)</f>
        <v/>
      </c>
      <c r="BM61" s="122" t="str">
        <f>RIGHT(BN61)</f>
        <v/>
      </c>
      <c r="BN61" s="123" t="str">
        <f>IF(BL60="","",OFFSET(Biblioteca!$I$2,MATCH(BL60,Biblioteca!$A$3:$A$200,0),0))</f>
        <v/>
      </c>
      <c r="BO61" s="124"/>
      <c r="BP61" s="125"/>
      <c r="BQ61" s="117" t="str">
        <f>IF(BQ60="","",IFS(CB61="A",Montagem!$G$80,CD61="T","Realizar a maior quantidade de repetições por "&amp;BV60&amp;" segundos | ",CD61="I",IF(CC61="U","Manter a posição por "&amp;BV60&amp;" segundos de um lado e trocar para o outro na sequência | ","Manter a posição por "&amp;BV60&amp;" segundos | "),CC61="A","Realizar alternadamente "&amp;BV60&amp;" repetições cada lado | ",CC61="U","Realizar "&amp;BV60&amp;" repetições de um lado e trocar para o outro na sequência | ",CB61="P",OFFSET(Biblioteca!$H$2,MATCH(CC60,Biblioteca!$A$3:$A$200,0),0),TRUE,"")&amp;IF(CD61="R","Ajuste a carga para que tenha "&amp;$K$2&amp;" repetições de reserva",""))</f>
        <v/>
      </c>
      <c r="BU61" s="118" t="str">
        <f>IF(BQ60="","",IFS(CB61="H","Carga Sugerida: "&amp;ROUNDUP(CE60/2,0)&amp;" kg de cada lado (Total: "&amp;ROUNDUP(CE60/2,0)*2&amp;" kg)",CB61="C","Este exercício usa o Peso Corporal como carga",CB61="E","Este exercício usa a resistência da banda elástica como carga",CB61="O","Carga Sugerida: "&amp;INT(CE60)&amp;" kg",TRUE,""))</f>
        <v/>
      </c>
      <c r="BZ61" s="66"/>
      <c r="CA61" s="126">
        <f>CA60</f>
        <v>8</v>
      </c>
      <c r="CB61" s="120" t="str">
        <f>LEFT(CE61)</f>
        <v/>
      </c>
      <c r="CC61" s="121" t="str">
        <f>MID(CE61,2,1)</f>
        <v/>
      </c>
      <c r="CD61" s="122" t="str">
        <f>RIGHT(CE61)</f>
        <v/>
      </c>
      <c r="CE61" s="123" t="str">
        <f>IF(CC60="","",OFFSET(Biblioteca!$I$2,MATCH(CC60,Biblioteca!$A$3:$A$200,0),0))</f>
        <v/>
      </c>
      <c r="CF61" s="124"/>
      <c r="CG61" s="125"/>
      <c r="CH61" s="117" t="str">
        <f>IF(CH60="","",IFS(CS61="A",Montagem!$H$80,CU61="T","Realizar a maior quantidade de repetições por "&amp;CM60&amp;" segundos | ",CU61="I",IF(CT61="U","Manter a posição por "&amp;CM60&amp;" segundos de um lado e trocar para o outro na sequência | ","Manter a posição por "&amp;CM60&amp;" segundos | "),CT61="A","Realizar alternadamente "&amp;CM60&amp;" repetições cada lado | ",CT61="U","Realizar "&amp;CM60&amp;" repetições de um lado e trocar para o outro na sequência | ",CS61="P",OFFSET(Biblioteca!$H$2,MATCH(CT60,Biblioteca!$A$3:$A$200,0),0),TRUE,"")&amp;IF(CU61="R","Ajuste a carga para que tenha "&amp;$K$2&amp;" repetições de reserva",""))</f>
        <v/>
      </c>
      <c r="CL61" s="118" t="str">
        <f>IF(CH60="","",IFS(CS61="H","Carga Sugerida: "&amp;ROUNDUP(CV60/2,0)&amp;" kg de cada lado (Total: "&amp;ROUNDUP(CV60/2,0)*2&amp;" kg)",CS61="C","Este exercício usa o Peso Corporal como carga",CS61="E","Este exercício usa a resistência da banda elástica como carga",CS61="O","Carga Sugerida: "&amp;INT(CV60)&amp;" kg",TRUE,""))</f>
        <v/>
      </c>
      <c r="CQ61" s="66"/>
      <c r="CR61" s="126">
        <f>CR60</f>
        <v>1</v>
      </c>
      <c r="CS61" s="120" t="str">
        <f>LEFT(CV61)</f>
        <v/>
      </c>
      <c r="CT61" s="121" t="str">
        <f>MID(CV61,2,1)</f>
        <v/>
      </c>
      <c r="CU61" s="122" t="str">
        <f>RIGHT(CV61)</f>
        <v/>
      </c>
      <c r="CV61" s="123" t="str">
        <f>IF(CT60="","",OFFSET(Biblioteca!$I$2,MATCH(CT60,Biblioteca!$A$3:$A$200,0),0))</f>
        <v/>
      </c>
      <c r="CW61" s="124"/>
      <c r="CX61" s="125"/>
      <c r="CY61" s="117" t="str">
        <f>IF(CY60="","",IFS(DJ61="A",Montagem!$I$80,DL61="T","Realizar a maior quantidade de repetições por "&amp;DD60&amp;" segundos | ",DL61="I",IF(DK61="U","Manter a posição por "&amp;DD60&amp;" segundos de um lado e trocar para o outro na sequência | ","Manter a posição por "&amp;DD60&amp;" segundos | "),DK61="A","Realizar alternadamente "&amp;DD60&amp;" repetições cada lado | ",DK61="U","Realizar "&amp;DD60&amp;" repetições de um lado e trocar para o outro na sequência | ",DJ61="P",OFFSET(Biblioteca!$H$2,MATCH(DK60,Biblioteca!$A$3:$A$200,0),0),TRUE,"")&amp;IF(DL61="R","Ajuste a carga para que tenha "&amp;$K$2&amp;" repetições de reserva",""))</f>
        <v/>
      </c>
      <c r="DC61" s="118" t="str">
        <f>IF(CY60="","",IFS(DJ61="H","Carga Sugerida: "&amp;ROUNDUP(DM60/2,0)&amp;" kg de cada lado (Total: "&amp;ROUNDUP(DM60/2,0)*2&amp;" kg)",DJ61="C","Este exercício usa o Peso Corporal como carga",DJ61="E","Este exercício usa a resistência da banda elástica como carga",DJ61="O","Carga Sugerida: "&amp;INT(DM60)&amp;" kg",TRUE,""))</f>
        <v/>
      </c>
      <c r="DH61" s="66"/>
      <c r="DI61" s="126">
        <f>DI60</f>
        <v>1</v>
      </c>
      <c r="DJ61" s="120" t="str">
        <f>LEFT(DM61)</f>
        <v/>
      </c>
      <c r="DK61" s="121" t="str">
        <f>MID(DM61,2,1)</f>
        <v/>
      </c>
      <c r="DL61" s="122" t="str">
        <f>RIGHT(DM61)</f>
        <v/>
      </c>
      <c r="DM61" s="123" t="str">
        <f>IF(DK60="","",OFFSET(Biblioteca!$I$2,MATCH(DK60,Biblioteca!$A$3:$A$200,0),0))</f>
        <v/>
      </c>
      <c r="DN61" s="124"/>
      <c r="DO61" s="125"/>
      <c r="DP61" s="142"/>
      <c r="DQ61" s="56"/>
      <c r="DR61" s="56"/>
      <c r="DS61" s="56"/>
      <c r="DT61" s="56"/>
      <c r="DU61" s="56"/>
      <c r="DV61" s="56"/>
      <c r="DW61" s="56"/>
      <c r="DX61" s="56"/>
      <c r="DY61" s="56"/>
    </row>
    <row r="62">
      <c r="A62" s="115" t="str">
        <f>IF(M62="","",HYPERLINK(OFFSET(Biblioteca!$B$2,MATCH(M62,Biblioteca!$A$3:$A$200,0),0),M62))</f>
        <v/>
      </c>
      <c r="D62" s="103" t="str">
        <f>Montagem!Q89</f>
        <v/>
      </c>
      <c r="E62" s="104" t="str">
        <f>Montagem!R89</f>
        <v/>
      </c>
      <c r="F62" s="104" t="str">
        <f>Montagem!S89</f>
        <v/>
      </c>
      <c r="G62" s="104" t="str">
        <f>Montagem!T89</f>
        <v/>
      </c>
      <c r="H62" s="104" t="str">
        <f>Montagem!U89</f>
        <v/>
      </c>
      <c r="I62" s="132" t="str">
        <f>Montagem!V89</f>
        <v/>
      </c>
      <c r="J62" s="144"/>
      <c r="K62" s="106">
        <f>Montagem!K89</f>
        <v>11</v>
      </c>
      <c r="L62" s="111" t="str">
        <f>Montagem!W89</f>
        <v/>
      </c>
      <c r="M62" s="111" t="str">
        <f>Montagem!L89</f>
        <v/>
      </c>
      <c r="N62" s="111" t="str">
        <f>Montagem!X89</f>
        <v/>
      </c>
      <c r="O62" s="106" t="str">
        <f>IF(N62="",L62,N62)</f>
        <v/>
      </c>
      <c r="P62" s="106" t="str">
        <f>IF(L63="C",'Dados de Base'!$D$5*0.1,IF(L63="E",5,IF(J62="",O62,J62)))</f>
        <v/>
      </c>
      <c r="Q62" s="108"/>
      <c r="R62" s="115" t="str">
        <f>IF(AD62="","",HYPERLINK(OFFSET(Biblioteca!$B$2,MATCH(AD62,Biblioteca!$A$3:$A$200,0),0),AD62))</f>
        <v/>
      </c>
      <c r="U62" s="109" t="str">
        <f>Montagem!AF89</f>
        <v/>
      </c>
      <c r="V62" s="110" t="str">
        <f>Montagem!AG89</f>
        <v/>
      </c>
      <c r="W62" s="110" t="str">
        <f>Montagem!AH89</f>
        <v/>
      </c>
      <c r="X62" s="110" t="str">
        <f>Montagem!AI89</f>
        <v/>
      </c>
      <c r="Y62" s="110" t="str">
        <f>Montagem!AJ89</f>
        <v/>
      </c>
      <c r="Z62" s="110" t="str">
        <f>Montagem!AK89</f>
        <v/>
      </c>
      <c r="AA62" s="114"/>
      <c r="AB62" s="111">
        <f>Montagem!Z89</f>
        <v>11</v>
      </c>
      <c r="AC62" s="111" t="str">
        <f>Montagem!AL89</f>
        <v/>
      </c>
      <c r="AD62" s="129" t="str">
        <f>Montagem!AA89</f>
        <v/>
      </c>
      <c r="AE62" s="111" t="str">
        <f>Montagem!AM89</f>
        <v/>
      </c>
      <c r="AF62" s="106" t="str">
        <f>IF(AE62="",AC62,AE62)</f>
        <v/>
      </c>
      <c r="AG62" s="106" t="str">
        <f>IF(AC63="C",'Dados de Base'!$D$5*0.1,IF(AC63="E",5,IF(AA62="",AF62,AA62)))</f>
        <v/>
      </c>
      <c r="AH62" s="108"/>
      <c r="AI62" s="115" t="str">
        <f>IF(AU62="","",HYPERLINK(OFFSET(Biblioteca!$B$2,MATCH(AU62,Biblioteca!$A$3:$A$200,0),0),AU62))</f>
        <v/>
      </c>
      <c r="AL62" s="109" t="str">
        <f>Montagem!AU89</f>
        <v/>
      </c>
      <c r="AM62" s="110" t="str">
        <f>Montagem!AV89</f>
        <v/>
      </c>
      <c r="AN62" s="110" t="str">
        <f>Montagem!AW89</f>
        <v/>
      </c>
      <c r="AO62" s="110" t="str">
        <f>Montagem!AX89</f>
        <v/>
      </c>
      <c r="AP62" s="110" t="str">
        <f>Montagem!AY89</f>
        <v/>
      </c>
      <c r="AQ62" s="110" t="str">
        <f>Montagem!AZ89</f>
        <v/>
      </c>
      <c r="AR62" s="114"/>
      <c r="AS62" s="111">
        <f>Montagem!AO89</f>
        <v>1</v>
      </c>
      <c r="AT62" s="111" t="str">
        <f>Montagem!BA89</f>
        <v/>
      </c>
      <c r="AU62" s="111" t="str">
        <f>Montagem!AP89</f>
        <v/>
      </c>
      <c r="AV62" s="111" t="str">
        <f>Montagem!BB89</f>
        <v/>
      </c>
      <c r="AW62" s="106" t="str">
        <f>IF(AV62="",AT62,AV62)</f>
        <v/>
      </c>
      <c r="AX62" s="106" t="str">
        <f>IF(AT63="C",'Dados de Base'!$D$5*0.1,IF(AT63="E",5,IF(AR62="",AW62,AR62)))</f>
        <v/>
      </c>
      <c r="AY62" s="108"/>
      <c r="AZ62" s="115" t="str">
        <f>IF(BL62="","",HYPERLINK(OFFSET(Biblioteca!$B$2,MATCH(BL62,Biblioteca!$A$3:$A$200,0),0),BL62))</f>
        <v/>
      </c>
      <c r="BC62" s="109" t="str">
        <f>Montagem!BJ89</f>
        <v/>
      </c>
      <c r="BD62" s="110" t="str">
        <f>Montagem!BK89</f>
        <v/>
      </c>
      <c r="BE62" s="110" t="str">
        <f>Montagem!BL89</f>
        <v/>
      </c>
      <c r="BF62" s="110" t="str">
        <f>Montagem!BM89</f>
        <v/>
      </c>
      <c r="BG62" s="110" t="str">
        <f>Montagem!BN89</f>
        <v/>
      </c>
      <c r="BH62" s="110" t="str">
        <f>Montagem!BO89</f>
        <v/>
      </c>
      <c r="BI62" s="114"/>
      <c r="BJ62" s="111">
        <f>Montagem!BD89</f>
        <v>7</v>
      </c>
      <c r="BK62" s="111" t="str">
        <f>Montagem!BP89</f>
        <v/>
      </c>
      <c r="BL62" s="111" t="str">
        <f>Montagem!BE89</f>
        <v/>
      </c>
      <c r="BM62" s="111" t="str">
        <f>Montagem!BQ89</f>
        <v/>
      </c>
      <c r="BN62" s="106" t="str">
        <f>IF(BM62="",BK62,BM62)</f>
        <v/>
      </c>
      <c r="BO62" s="106" t="str">
        <f>IF(BK63="C",'Dados de Base'!$D$5*0.1,IF(BK63="E",5,IF(BI62="",BN62,BI62)))</f>
        <v/>
      </c>
      <c r="BP62" s="108"/>
      <c r="BQ62" s="115" t="str">
        <f>IF(CC62="","",HYPERLINK(OFFSET(Biblioteca!$B$2,MATCH(CC62,Biblioteca!$A$3:$A$200,0),0),CC62))</f>
        <v/>
      </c>
      <c r="BT62" s="109" t="str">
        <f>Montagem!BY89</f>
        <v/>
      </c>
      <c r="BU62" s="110" t="str">
        <f>Montagem!BZ89</f>
        <v/>
      </c>
      <c r="BV62" s="110" t="str">
        <f>Montagem!CA89</f>
        <v/>
      </c>
      <c r="BW62" s="110" t="str">
        <f>Montagem!CB89</f>
        <v/>
      </c>
      <c r="BX62" s="110" t="str">
        <f>Montagem!CC89</f>
        <v/>
      </c>
      <c r="BY62" s="110" t="str">
        <f>Montagem!CD89</f>
        <v/>
      </c>
      <c r="BZ62" s="114"/>
      <c r="CA62" s="111">
        <f>Montagem!BS89</f>
        <v>8</v>
      </c>
      <c r="CB62" s="111" t="str">
        <f>Montagem!CE89</f>
        <v/>
      </c>
      <c r="CC62" s="111" t="str">
        <f>Montagem!BT89</f>
        <v/>
      </c>
      <c r="CD62" s="111" t="str">
        <f>Montagem!CF89</f>
        <v/>
      </c>
      <c r="CE62" s="106" t="str">
        <f>IF(CD62="",CB62,CD62)</f>
        <v/>
      </c>
      <c r="CF62" s="106" t="str">
        <f>IF(CB63="C",'Dados de Base'!$D$5*0.1,IF(CB63="E",5,IF(BZ62="",CE62,BZ62)))</f>
        <v/>
      </c>
      <c r="CG62" s="108"/>
      <c r="CH62" s="115" t="str">
        <f>IF(CT62="","",HYPERLINK(OFFSET(Biblioteca!$B$2,MATCH(CT62,Biblioteca!$A$3:$A$200,0),0),CT62))</f>
        <v/>
      </c>
      <c r="CK62" s="109" t="str">
        <f>Montagem!CN89</f>
        <v/>
      </c>
      <c r="CL62" s="110" t="str">
        <f>Montagem!CO89</f>
        <v/>
      </c>
      <c r="CM62" s="110" t="str">
        <f>Montagem!CP89</f>
        <v/>
      </c>
      <c r="CN62" s="110" t="str">
        <f>Montagem!CQ89</f>
        <v/>
      </c>
      <c r="CO62" s="110" t="str">
        <f>Montagem!CR89</f>
        <v/>
      </c>
      <c r="CP62" s="110" t="str">
        <f>Montagem!CS89</f>
        <v/>
      </c>
      <c r="CQ62" s="114"/>
      <c r="CR62" s="111">
        <f>Montagem!CH89</f>
        <v>1</v>
      </c>
      <c r="CS62" s="111" t="str">
        <f>Montagem!CT89</f>
        <v/>
      </c>
      <c r="CT62" s="111" t="str">
        <f>Montagem!CI89</f>
        <v/>
      </c>
      <c r="CU62" s="145" t="str">
        <f>Montagem!CU89</f>
        <v/>
      </c>
      <c r="CV62" s="106" t="str">
        <f>IF(CU62="",CS62,CU62)</f>
        <v/>
      </c>
      <c r="CW62" s="106" t="str">
        <f>IF(CS63="C",'Dados de Base'!$D$5*0.1,IF(CS63="E",5,IF(CQ62="",CV62,CQ62)))</f>
        <v/>
      </c>
      <c r="CX62" s="108"/>
      <c r="CY62" s="115" t="str">
        <f>IF(DK62="","",HYPERLINK(OFFSET(Biblioteca!$B$2,MATCH(DK62,Biblioteca!$A$3:$A$200,0),0),DK62))</f>
        <v/>
      </c>
      <c r="DB62" s="130" t="str">
        <f>Montagem!DC89</f>
        <v/>
      </c>
      <c r="DC62" s="131" t="str">
        <f>Montagem!DD89</f>
        <v/>
      </c>
      <c r="DD62" s="131" t="str">
        <f>Montagem!DE89</f>
        <v/>
      </c>
      <c r="DE62" s="131" t="str">
        <f>Montagem!DF89</f>
        <v/>
      </c>
      <c r="DF62" s="131" t="str">
        <f>Montagem!DG89</f>
        <v/>
      </c>
      <c r="DG62" s="131" t="str">
        <f>Montagem!DH89</f>
        <v/>
      </c>
      <c r="DH62" s="114"/>
      <c r="DI62" s="111">
        <f>Montagem!CW89</f>
        <v>1</v>
      </c>
      <c r="DJ62" s="111" t="str">
        <f>Montagem!DI89</f>
        <v/>
      </c>
      <c r="DK62" s="111" t="str">
        <f>Montagem!CX89</f>
        <v/>
      </c>
      <c r="DL62" s="145" t="str">
        <f>Montagem!DJ89</f>
        <v/>
      </c>
      <c r="DM62" s="106" t="str">
        <f>IF(DL62="",DJ62,DL62)</f>
        <v/>
      </c>
      <c r="DN62" s="106" t="str">
        <f>IF(DJ63="C",'Dados de Base'!$D$5*0.1,IF(DJ63="E",5,IF(DH62="",DM62,DH62)))</f>
        <v/>
      </c>
      <c r="DO62" s="108"/>
      <c r="DP62" s="106"/>
      <c r="DQ62" s="106"/>
      <c r="DR62" s="106"/>
      <c r="DS62" s="106"/>
      <c r="DT62" s="106"/>
      <c r="DU62" s="106"/>
      <c r="DV62" s="106"/>
      <c r="DW62" s="106"/>
      <c r="DX62" s="106"/>
      <c r="DY62" s="106"/>
    </row>
    <row r="63">
      <c r="A63" s="117" t="str">
        <f>IF(A62="","",IFS(L63="A",Montagem!$C$80,N63="T","Realizar a maior quantidade de repetições por "&amp;F62&amp;" segundos | ",N63="I",IF(M63="U","Manter a posição por "&amp;F62&amp;" segundos de um lado e trocar para o outro na sequência | ","Manter a posição por "&amp;F62&amp;" segundos | "),M63="A","Realizar alternadamente "&amp;F62&amp;" repetições cada lado | ",M63="U","Realizar "&amp;F62&amp;" repetições de um lado e trocar para o outro na sequência | ",L63="P",OFFSET(Biblioteca!$H$2,MATCH(M62,Biblioteca!$A$3:$A$200,0),0),TRUE,"")&amp;IF(N63="R","Ajuste a carga para que tenha "&amp;$K$2&amp;" repetições de reserva",""))</f>
        <v/>
      </c>
      <c r="E63" s="118" t="str">
        <f>IF(A62="","",IFS(L63="H","Carga Sugerida: "&amp;ROUNDUP(O62/2,0)&amp;" kg de cada lado (Total: "&amp;ROUNDUP(O62/2,0)*2&amp;" kg)",L63="C","Este exercício usa o Peso Corporal como carga",L63="E","Este exercício usa a resistência da banda elástica como carga",L63="O","Carga Sugerida: "&amp;INT(O62)&amp;" kg",TRUE,""))</f>
        <v/>
      </c>
      <c r="J63" s="66"/>
      <c r="K63" s="106">
        <f>K62</f>
        <v>11</v>
      </c>
      <c r="L63" s="120" t="str">
        <f>LEFT(O63)</f>
        <v/>
      </c>
      <c r="M63" s="121" t="str">
        <f>MID(O63,2,1)</f>
        <v/>
      </c>
      <c r="N63" s="122" t="str">
        <f>RIGHT(O63)</f>
        <v/>
      </c>
      <c r="O63" s="123" t="str">
        <f>IF(M62="","",OFFSET(Biblioteca!$I$2,MATCH(M62,Biblioteca!$A$3:$A$200,0),0))</f>
        <v/>
      </c>
      <c r="P63" s="124"/>
      <c r="Q63" s="125"/>
      <c r="R63" s="117" t="str">
        <f>IF(R62="","",IFS(AC63="A",Montagem!$D$80,AE63="T","Realizar a maior quantidade de repetições por "&amp;W62&amp;" segundos | ",AE63="I",IF(AD63="U","Manter a posição por "&amp;W62&amp;" segundos de um lado e trocar para o outro na sequência | ","Manter a posição por "&amp;W62&amp;" segundos | "),AD63="A","Realizar alternadamente "&amp;W62&amp;" repetições cada lado | ",AD63="U","Realizar "&amp;W62&amp;" repetições de um lado e trocar para o outro na sequência | ",AC63="P",OFFSET(Biblioteca!$H$2,MATCH(AD62,Biblioteca!$A$3:$A$200,0),0),TRUE,"")&amp;IF(AE63="R","Ajuste a carga para que tenha "&amp;$K$2&amp;" repetições de reserva",""))</f>
        <v/>
      </c>
      <c r="V63" s="118" t="str">
        <f>IF(R62="","",IFS(AC63="H","Carga Sugerida: "&amp;ROUNDUP(AF62/2,0)&amp;" kg de cada lado (Total: "&amp;ROUNDUP(AF62/2,0)*2&amp;" kg)",AC63="C","Este exercício usa o Peso Corporal como carga",AC63="E","Este exercício usa a resistência da banda elástica como carga",AC63="O","Carga Sugerida: "&amp;INT(AF62)&amp;" kg",TRUE,""))</f>
        <v/>
      </c>
      <c r="AA63" s="66"/>
      <c r="AB63" s="126">
        <f>AB62</f>
        <v>11</v>
      </c>
      <c r="AC63" s="120" t="str">
        <f>LEFT(AF63)</f>
        <v/>
      </c>
      <c r="AD63" s="121" t="str">
        <f>MID(AF63,2,1)</f>
        <v/>
      </c>
      <c r="AE63" s="122" t="str">
        <f>RIGHT(AF63)</f>
        <v/>
      </c>
      <c r="AF63" s="123" t="str">
        <f>IF(AD62="","",OFFSET(Biblioteca!$I$2,MATCH(AD62,Biblioteca!$A$3:$A$200,0),0))</f>
        <v/>
      </c>
      <c r="AG63" s="124"/>
      <c r="AH63" s="125"/>
      <c r="AI63" s="117" t="str">
        <f>IF(AI62="","",IFS(AT63="A",Montagem!$E$80,AV63="T","Realizar a maior quantidade de repetições por "&amp;AN62&amp;" segundos | ",AV63="I",IF(AU63="U","Manter a posição por "&amp;AN62&amp;" segundos de um lado e trocar para o outro na sequência | ","Manter a posição por "&amp;AN62&amp;" segundos | "),AU63="A","Realizar alternadamente "&amp;AN62&amp;" repetições cada lado | ",AU63="U","Realizar "&amp;AN62&amp;" repetições de um lado e trocar para o outro na sequência | ",AT63="P",OFFSET(Biblioteca!$H$2,MATCH(AU62,Biblioteca!$A$3:$A$200,0),0),TRUE,"")&amp;IF(AV63="R","Ajuste a carga para que tenha "&amp;$K$2&amp;" repetições de reserva",""))</f>
        <v/>
      </c>
      <c r="AM63" s="118" t="str">
        <f>IF(AI62="","",IFS(AT63="H","Carga Sugerida: "&amp;ROUNDUP(AW62/2,0)&amp;" kg de cada lado (Total: "&amp;ROUNDUP(AW62/2,0)*2&amp;" kg)",AT63="C","Este exercício usa o Peso Corporal como carga",AT63="E","Este exercício usa a resistência da banda elástica como carga",AT63="O","Carga Sugerida: "&amp;INT(AW62)&amp;" kg",TRUE,""))</f>
        <v/>
      </c>
      <c r="AR63" s="66"/>
      <c r="AS63" s="126">
        <f>AS62</f>
        <v>1</v>
      </c>
      <c r="AT63" s="120" t="str">
        <f>LEFT(AW63)</f>
        <v/>
      </c>
      <c r="AU63" s="121" t="str">
        <f>MID(AW63,2,1)</f>
        <v/>
      </c>
      <c r="AV63" s="122" t="str">
        <f>RIGHT(AW63)</f>
        <v/>
      </c>
      <c r="AW63" s="123" t="str">
        <f>IF(AU62="","",OFFSET(Biblioteca!$I$2,MATCH(AU62,Biblioteca!$A$3:$A$200,0),0))</f>
        <v/>
      </c>
      <c r="AX63" s="124"/>
      <c r="AY63" s="125"/>
      <c r="AZ63" s="117" t="str">
        <f>IF(AZ62="","",IFS(BK63="A",Montagem!$F$80,BM63="T","Realizar a maior quantidade de repetições por "&amp;BE62&amp;" segundos | ",BM63="I",IF(BL63="U","Manter a posição por "&amp;BE62&amp;" segundos de um lado e trocar para o outro na sequência | ","Manter a posição por "&amp;BE62&amp;" segundos | "),BL63="A","Realizar alternadamente "&amp;BE62&amp;" repetições cada lado | ",BL63="U","Realizar "&amp;BE62&amp;" repetições de um lado e trocar para o outro na sequência | ",BK63="P",OFFSET(Biblioteca!$H$2,MATCH(BL62,Biblioteca!$A$3:$A$200,0),0),TRUE,"")&amp;IF(BM63="R","Ajuste a carga para que tenha "&amp;$K$2&amp;" repetições de reserva",""))</f>
        <v/>
      </c>
      <c r="BD63" s="118" t="str">
        <f>IF(AZ62="","",IFS(BK63="H","Carga Sugerida: "&amp;ROUNDUP(BN62/2,0)&amp;" kg de cada lado (Total: "&amp;ROUNDUP(BN62/2,0)*2&amp;" kg)",BK63="C","Este exercício usa o Peso Corporal como carga",BK63="E","Este exercício usa a resistência da banda elástica como carga",BK63="O","Carga Sugerida: "&amp;INT(BN62)&amp;" kg",TRUE,""))</f>
        <v/>
      </c>
      <c r="BI63" s="66"/>
      <c r="BJ63" s="126">
        <f>BJ62</f>
        <v>7</v>
      </c>
      <c r="BK63" s="120" t="str">
        <f>LEFT(BN63)</f>
        <v/>
      </c>
      <c r="BL63" s="121" t="str">
        <f>MID(BN63,2,1)</f>
        <v/>
      </c>
      <c r="BM63" s="122" t="str">
        <f>RIGHT(BN63)</f>
        <v/>
      </c>
      <c r="BN63" s="123" t="str">
        <f>IF(BL62="","",OFFSET(Biblioteca!$I$2,MATCH(BL62,Biblioteca!$A$3:$A$200,0),0))</f>
        <v/>
      </c>
      <c r="BO63" s="124"/>
      <c r="BP63" s="125"/>
      <c r="BQ63" s="117" t="str">
        <f>IF(BQ62="","",IFS(CB63="A",Montagem!$G$80,CD63="T","Realizar a maior quantidade de repetições por "&amp;BV62&amp;" segundos | ",CD63="I",IF(CC63="U","Manter a posição por "&amp;BV62&amp;" segundos de um lado e trocar para o outro na sequência | ","Manter a posição por "&amp;BV62&amp;" segundos | "),CC63="A","Realizar alternadamente "&amp;BV62&amp;" repetições cada lado | ",CC63="U","Realizar "&amp;BV62&amp;" repetições de um lado e trocar para o outro na sequência | ",CB63="P",OFFSET(Biblioteca!$H$2,MATCH(CC62,Biblioteca!$A$3:$A$200,0),0),TRUE,"")&amp;IF(CD63="R","Ajuste a carga para que tenha "&amp;$K$2&amp;" repetições de reserva",""))</f>
        <v/>
      </c>
      <c r="BU63" s="118" t="str">
        <f>IF(BQ62="","",IFS(CB63="H","Carga Sugerida: "&amp;ROUNDUP(CE62/2,0)&amp;" kg de cada lado (Total: "&amp;ROUNDUP(CE62/2,0)*2&amp;" kg)",CB63="C","Este exercício usa o Peso Corporal como carga",CB63="E","Este exercício usa a resistência da banda elástica como carga",CB63="O","Carga Sugerida: "&amp;INT(CE62)&amp;" kg",TRUE,""))</f>
        <v/>
      </c>
      <c r="BZ63" s="66"/>
      <c r="CA63" s="126">
        <f>CA62</f>
        <v>8</v>
      </c>
      <c r="CB63" s="120" t="str">
        <f>LEFT(CE63)</f>
        <v/>
      </c>
      <c r="CC63" s="121" t="str">
        <f>MID(CE63,2,1)</f>
        <v/>
      </c>
      <c r="CD63" s="122" t="str">
        <f>RIGHT(CE63)</f>
        <v/>
      </c>
      <c r="CE63" s="123" t="str">
        <f>IF(CC62="","",OFFSET(Biblioteca!$I$2,MATCH(CC62,Biblioteca!$A$3:$A$200,0),0))</f>
        <v/>
      </c>
      <c r="CF63" s="124"/>
      <c r="CG63" s="125"/>
      <c r="CH63" s="117" t="str">
        <f>IF(CH62="","",IFS(CS63="A",Montagem!$H$80,CU63="T","Realizar a maior quantidade de repetições por "&amp;CM62&amp;" segundos | ",CU63="I",IF(CT63="U","Manter a posição por "&amp;CM62&amp;" segundos de um lado e trocar para o outro na sequência | ","Manter a posição por "&amp;CM62&amp;" segundos | "),CT63="A","Realizar alternadamente "&amp;CM62&amp;" repetições cada lado | ",CT63="U","Realizar "&amp;CM62&amp;" repetições de um lado e trocar para o outro na sequência | ",CS63="P",OFFSET(Biblioteca!$H$2,MATCH(CT62,Biblioteca!$A$3:$A$200,0),0),TRUE,"")&amp;IF(CU63="R","Ajuste a carga para que tenha "&amp;$K$2&amp;" repetições de reserva",""))</f>
        <v/>
      </c>
      <c r="CL63" s="118" t="str">
        <f>IF(CH62="","",IFS(CS63="H","Carga Sugerida: "&amp;ROUNDUP(CV62/2,0)&amp;" kg de cada lado (Total: "&amp;ROUNDUP(CV62/2,0)*2&amp;" kg)",CS63="C","Este exercício usa o Peso Corporal como carga",CS63="E","Este exercício usa a resistência da banda elástica como carga",CS63="O","Carga Sugerida: "&amp;INT(CV62)&amp;" kg",TRUE,""))</f>
        <v/>
      </c>
      <c r="CQ63" s="66"/>
      <c r="CR63" s="126">
        <f>CR62</f>
        <v>1</v>
      </c>
      <c r="CS63" s="120" t="str">
        <f>LEFT(CV63)</f>
        <v/>
      </c>
      <c r="CT63" s="121" t="str">
        <f>MID(CV63,2,1)</f>
        <v/>
      </c>
      <c r="CU63" s="122" t="str">
        <f>RIGHT(CV63)</f>
        <v/>
      </c>
      <c r="CV63" s="123" t="str">
        <f>IF(CT62="","",OFFSET(Biblioteca!$I$2,MATCH(CT62,Biblioteca!$A$3:$A$200,0),0))</f>
        <v/>
      </c>
      <c r="CW63" s="124"/>
      <c r="CX63" s="125"/>
      <c r="CY63" s="117" t="str">
        <f>IF(CY62="","",IFS(DJ63="A",Montagem!$I$80,DL63="T","Realizar a maior quantidade de repetições por "&amp;DD62&amp;" segundos | ",DL63="I",IF(DK63="U","Manter a posição por "&amp;DD62&amp;" segundos de um lado e trocar para o outro na sequência | ","Manter a posição por "&amp;DD62&amp;" segundos | "),DK63="A","Realizar alternadamente "&amp;DD62&amp;" repetições cada lado | ",DK63="U","Realizar "&amp;DD62&amp;" repetições de um lado e trocar para o outro na sequência | ",DJ63="P",OFFSET(Biblioteca!$H$2,MATCH(DK62,Biblioteca!$A$3:$A$200,0),0),TRUE,"")&amp;IF(DL63="R","Ajuste a carga para que tenha "&amp;$K$2&amp;" repetições de reserva",""))</f>
        <v/>
      </c>
      <c r="DC63" s="118" t="str">
        <f>IF(CY62="","",IFS(DJ63="H","Carga Sugerida: "&amp;ROUNDUP(DM62/2,0)&amp;" kg de cada lado (Total: "&amp;ROUNDUP(DM62/2,0)*2&amp;" kg)",DJ63="C","Este exercício usa o Peso Corporal como carga",DJ63="E","Este exercício usa a resistência da banda elástica como carga",DJ63="O","Carga Sugerida: "&amp;INT(DM62)&amp;" kg",TRUE,""))</f>
        <v/>
      </c>
      <c r="DH63" s="66"/>
      <c r="DI63" s="126">
        <f>DI62</f>
        <v>1</v>
      </c>
      <c r="DJ63" s="120" t="str">
        <f>LEFT(DM63)</f>
        <v/>
      </c>
      <c r="DK63" s="121" t="str">
        <f>MID(DM63,2,1)</f>
        <v/>
      </c>
      <c r="DL63" s="122" t="str">
        <f>RIGHT(DM63)</f>
        <v/>
      </c>
      <c r="DM63" s="123" t="str">
        <f>IF(DK62="","",OFFSET(Biblioteca!$I$2,MATCH(DK62,Biblioteca!$A$3:$A$200,0),0))</f>
        <v/>
      </c>
      <c r="DN63" s="124"/>
      <c r="DO63" s="125"/>
      <c r="DP63" s="142"/>
      <c r="DQ63" s="56"/>
      <c r="DR63" s="56"/>
      <c r="DS63" s="56"/>
      <c r="DT63" s="56"/>
      <c r="DU63" s="56"/>
      <c r="DV63" s="56"/>
      <c r="DW63" s="56"/>
      <c r="DX63" s="56"/>
      <c r="DY63" s="56"/>
    </row>
    <row r="64">
      <c r="A64" s="115" t="str">
        <f>IF(M64="","",HYPERLINK(OFFSET(Biblioteca!$B$2,MATCH(M64,Biblioteca!$A$3:$A$200,0),0),M64))</f>
        <v/>
      </c>
      <c r="D64" s="103" t="str">
        <f>Montagem!Q90</f>
        <v/>
      </c>
      <c r="E64" s="104" t="str">
        <f>Montagem!R90</f>
        <v/>
      </c>
      <c r="F64" s="104" t="str">
        <f>Montagem!S90</f>
        <v/>
      </c>
      <c r="G64" s="104" t="str">
        <f>Montagem!T90</f>
        <v/>
      </c>
      <c r="H64" s="104" t="str">
        <f>Montagem!U90</f>
        <v/>
      </c>
      <c r="I64" s="132" t="str">
        <f>Montagem!V90</f>
        <v/>
      </c>
      <c r="J64" s="144"/>
      <c r="K64" s="106">
        <f>Montagem!K90</f>
        <v>11</v>
      </c>
      <c r="L64" s="111" t="str">
        <f>Montagem!W90</f>
        <v/>
      </c>
      <c r="M64" s="111" t="str">
        <f>Montagem!L90</f>
        <v/>
      </c>
      <c r="N64" s="111" t="str">
        <f>Montagem!X90</f>
        <v/>
      </c>
      <c r="O64" s="106" t="str">
        <f>IF(N64="",L64,N64)</f>
        <v/>
      </c>
      <c r="P64" s="106" t="str">
        <f>IF(L65="C",'Dados de Base'!$D$5*0.1,IF(L65="E",5,IF(J64="",O64,J64)))</f>
        <v/>
      </c>
      <c r="Q64" s="108"/>
      <c r="R64" s="115" t="str">
        <f>IF(AD64="","",HYPERLINK(OFFSET(Biblioteca!$B$2,MATCH(AD64,Biblioteca!$A$3:$A$200,0),0),AD64))</f>
        <v/>
      </c>
      <c r="U64" s="109" t="str">
        <f>Montagem!AF90</f>
        <v/>
      </c>
      <c r="V64" s="110" t="str">
        <f>Montagem!AG90</f>
        <v/>
      </c>
      <c r="W64" s="110" t="str">
        <f>Montagem!AH90</f>
        <v/>
      </c>
      <c r="X64" s="110" t="str">
        <f>Montagem!AI90</f>
        <v/>
      </c>
      <c r="Y64" s="110" t="str">
        <f>Montagem!AJ90</f>
        <v/>
      </c>
      <c r="Z64" s="110" t="str">
        <f>Montagem!AK90</f>
        <v/>
      </c>
      <c r="AA64" s="114"/>
      <c r="AB64" s="111">
        <f>Montagem!Z90</f>
        <v>11</v>
      </c>
      <c r="AC64" s="111" t="str">
        <f>Montagem!AL90</f>
        <v/>
      </c>
      <c r="AD64" s="129" t="str">
        <f>Montagem!AA90</f>
        <v/>
      </c>
      <c r="AE64" s="111" t="str">
        <f>Montagem!AM90</f>
        <v/>
      </c>
      <c r="AF64" s="106" t="str">
        <f>IF(AE64="",AC64,AE64)</f>
        <v/>
      </c>
      <c r="AG64" s="106" t="str">
        <f>IF(AC65="C",'Dados de Base'!$D$5*0.1,IF(AC65="E",5,IF(AA64="",AF64,AA64)))</f>
        <v/>
      </c>
      <c r="AH64" s="108"/>
      <c r="AI64" s="115" t="str">
        <f>IF(AU64="","",HYPERLINK(OFFSET(Biblioteca!$B$2,MATCH(AU64,Biblioteca!$A$3:$A$200,0),0),AU64))</f>
        <v/>
      </c>
      <c r="AL64" s="109" t="str">
        <f>Montagem!AU90</f>
        <v/>
      </c>
      <c r="AM64" s="110" t="str">
        <f>Montagem!AV90</f>
        <v/>
      </c>
      <c r="AN64" s="110" t="str">
        <f>Montagem!AW90</f>
        <v/>
      </c>
      <c r="AO64" s="110" t="str">
        <f>Montagem!AX90</f>
        <v/>
      </c>
      <c r="AP64" s="110" t="str">
        <f>Montagem!AY90</f>
        <v/>
      </c>
      <c r="AQ64" s="110" t="str">
        <f>Montagem!AZ90</f>
        <v/>
      </c>
      <c r="AR64" s="114"/>
      <c r="AS64" s="111">
        <f>Montagem!AO90</f>
        <v>1</v>
      </c>
      <c r="AT64" s="111" t="str">
        <f>Montagem!BA90</f>
        <v/>
      </c>
      <c r="AU64" s="111" t="str">
        <f>Montagem!AP90</f>
        <v/>
      </c>
      <c r="AV64" s="111" t="str">
        <f>Montagem!BB90</f>
        <v/>
      </c>
      <c r="AW64" s="106" t="str">
        <f>IF(AV64="",AT64,AV64)</f>
        <v/>
      </c>
      <c r="AX64" s="106" t="str">
        <f>IF(AT65="C",'Dados de Base'!$D$5*0.1,IF(AT65="E",5,IF(AR64="",AW64,AR64)))</f>
        <v/>
      </c>
      <c r="AY64" s="108"/>
      <c r="AZ64" s="115" t="str">
        <f>IF(BL64="","",HYPERLINK(OFFSET(Biblioteca!$B$2,MATCH(BL64,Biblioteca!$A$3:$A$200,0),0),BL64))</f>
        <v/>
      </c>
      <c r="BC64" s="109" t="str">
        <f>Montagem!BJ90</f>
        <v/>
      </c>
      <c r="BD64" s="110" t="str">
        <f>Montagem!BK90</f>
        <v/>
      </c>
      <c r="BE64" s="110" t="str">
        <f>Montagem!BL90</f>
        <v/>
      </c>
      <c r="BF64" s="110" t="str">
        <f>Montagem!BM90</f>
        <v/>
      </c>
      <c r="BG64" s="110" t="str">
        <f>Montagem!BN90</f>
        <v/>
      </c>
      <c r="BH64" s="110" t="str">
        <f>Montagem!BO90</f>
        <v/>
      </c>
      <c r="BI64" s="114"/>
      <c r="BJ64" s="111">
        <f>Montagem!BD90</f>
        <v>7</v>
      </c>
      <c r="BK64" s="111" t="str">
        <f>Montagem!BP90</f>
        <v/>
      </c>
      <c r="BL64" s="111" t="str">
        <f>Montagem!BE90</f>
        <v/>
      </c>
      <c r="BM64" s="111" t="str">
        <f>Montagem!BQ90</f>
        <v/>
      </c>
      <c r="BN64" s="106" t="str">
        <f>IF(BM64="",BK64,BM64)</f>
        <v/>
      </c>
      <c r="BO64" s="106" t="str">
        <f>IF(BK65="C",'Dados de Base'!$D$5*0.1,IF(BK65="E",5,IF(BI64="",BN64,BI64)))</f>
        <v/>
      </c>
      <c r="BP64" s="108"/>
      <c r="BQ64" s="115" t="str">
        <f>IF(CC64="","",HYPERLINK(OFFSET(Biblioteca!$B$2,MATCH(CC64,Biblioteca!$A$3:$A$200,0),0),CC64))</f>
        <v/>
      </c>
      <c r="BT64" s="109" t="str">
        <f>Montagem!BY90</f>
        <v/>
      </c>
      <c r="BU64" s="110" t="str">
        <f>Montagem!BZ90</f>
        <v/>
      </c>
      <c r="BV64" s="110" t="str">
        <f>Montagem!CA90</f>
        <v/>
      </c>
      <c r="BW64" s="110" t="str">
        <f>Montagem!CB90</f>
        <v/>
      </c>
      <c r="BX64" s="110" t="str">
        <f>Montagem!CC90</f>
        <v/>
      </c>
      <c r="BY64" s="110" t="str">
        <f>Montagem!CD90</f>
        <v/>
      </c>
      <c r="BZ64" s="114"/>
      <c r="CA64" s="111">
        <f>Montagem!BS90</f>
        <v>8</v>
      </c>
      <c r="CB64" s="111" t="str">
        <f>Montagem!CE90</f>
        <v/>
      </c>
      <c r="CC64" s="111" t="str">
        <f>Montagem!BT90</f>
        <v/>
      </c>
      <c r="CD64" s="111" t="str">
        <f>Montagem!CF90</f>
        <v/>
      </c>
      <c r="CE64" s="106" t="str">
        <f>IF(CD64="",CB64,CD64)</f>
        <v/>
      </c>
      <c r="CF64" s="106" t="str">
        <f>IF(CB65="C",'Dados de Base'!$D$5*0.1,IF(CB65="E",5,IF(BZ64="",CE64,BZ64)))</f>
        <v/>
      </c>
      <c r="CG64" s="108"/>
      <c r="CH64" s="115" t="str">
        <f>IF(CT64="","",HYPERLINK(OFFSET(Biblioteca!$B$2,MATCH(CT64,Biblioteca!$A$3:$A$200,0),0),CT64))</f>
        <v/>
      </c>
      <c r="CK64" s="109" t="str">
        <f>Montagem!CN90</f>
        <v/>
      </c>
      <c r="CL64" s="110" t="str">
        <f>Montagem!CO90</f>
        <v/>
      </c>
      <c r="CM64" s="110" t="str">
        <f>Montagem!CP90</f>
        <v/>
      </c>
      <c r="CN64" s="110" t="str">
        <f>Montagem!CQ90</f>
        <v/>
      </c>
      <c r="CO64" s="110" t="str">
        <f>Montagem!CR90</f>
        <v/>
      </c>
      <c r="CP64" s="110" t="str">
        <f>Montagem!CS90</f>
        <v/>
      </c>
      <c r="CQ64" s="114"/>
      <c r="CR64" s="111">
        <f>Montagem!CH90</f>
        <v>1</v>
      </c>
      <c r="CS64" s="111" t="str">
        <f>Montagem!CT90</f>
        <v/>
      </c>
      <c r="CT64" s="111" t="str">
        <f>Montagem!CI90</f>
        <v/>
      </c>
      <c r="CU64" s="145" t="str">
        <f>Montagem!CU90</f>
        <v/>
      </c>
      <c r="CV64" s="106" t="str">
        <f>IF(CU64="",CS64,CU64)</f>
        <v/>
      </c>
      <c r="CW64" s="106" t="str">
        <f>IF(CS65="C",'Dados de Base'!$D$5*0.1,IF(CS65="E",5,IF(CQ64="",CV64,CQ64)))</f>
        <v/>
      </c>
      <c r="CX64" s="108"/>
      <c r="CY64" s="115" t="str">
        <f>IF(DK64="","",HYPERLINK(OFFSET(Biblioteca!$B$2,MATCH(DK64,Biblioteca!$A$3:$A$200,0),0),DK64))</f>
        <v/>
      </c>
      <c r="DB64" s="130" t="str">
        <f>Montagem!DC90</f>
        <v/>
      </c>
      <c r="DC64" s="131" t="str">
        <f>Montagem!DD90</f>
        <v/>
      </c>
      <c r="DD64" s="131" t="str">
        <f>Montagem!DE90</f>
        <v/>
      </c>
      <c r="DE64" s="131" t="str">
        <f>Montagem!DF90</f>
        <v/>
      </c>
      <c r="DF64" s="131" t="str">
        <f>Montagem!DG90</f>
        <v/>
      </c>
      <c r="DG64" s="131" t="str">
        <f>Montagem!DH90</f>
        <v/>
      </c>
      <c r="DH64" s="114"/>
      <c r="DI64" s="111">
        <f>Montagem!CW90</f>
        <v>1</v>
      </c>
      <c r="DJ64" s="111" t="str">
        <f>Montagem!DI90</f>
        <v/>
      </c>
      <c r="DK64" s="111" t="str">
        <f>Montagem!CX90</f>
        <v/>
      </c>
      <c r="DL64" s="111" t="str">
        <f>Montagem!DJ90</f>
        <v/>
      </c>
      <c r="DM64" s="106" t="str">
        <f>IF(DL64="",DJ64,DL64)</f>
        <v/>
      </c>
      <c r="DN64" s="106" t="str">
        <f>IF(DJ65="C",'Dados de Base'!$D$5*0.1,IF(DJ65="E",5,IF(DH64="",DM64,DH64)))</f>
        <v/>
      </c>
      <c r="DO64" s="108"/>
      <c r="DP64" s="106"/>
      <c r="DQ64" s="106"/>
      <c r="DR64" s="106"/>
      <c r="DS64" s="106"/>
      <c r="DT64" s="106"/>
      <c r="DU64" s="106"/>
      <c r="DV64" s="106"/>
      <c r="DW64" s="106"/>
      <c r="DX64" s="106"/>
      <c r="DY64" s="106"/>
    </row>
    <row r="65">
      <c r="A65" s="117" t="str">
        <f>IF(A64="","",IFS(L65="A",Montagem!$C$80,N65="T","Realizar a maior quantidade de repetições por "&amp;F64&amp;" segundos | ",N65="I",IF(M65="U","Manter a posição por "&amp;F64&amp;" segundos de um lado e trocar para o outro na sequência | ","Manter a posição por "&amp;F64&amp;" segundos | "),M65="A","Realizar alternadamente "&amp;F64&amp;" repetições cada lado | ",M65="U","Realizar "&amp;F64&amp;" repetições de um lado e trocar para o outro na sequência | ",L65="P",OFFSET(Biblioteca!$H$2,MATCH(M64,Biblioteca!$A$3:$A$200,0),0),TRUE,"")&amp;IF(N65="R","Ajuste a carga para que tenha "&amp;$K$2&amp;" repetições de reserva",""))</f>
        <v/>
      </c>
      <c r="E65" s="118" t="str">
        <f>IF(A64="","",IFS(L65="H","Carga Sugerida: "&amp;ROUNDUP(O64/2,0)&amp;" kg de cada lado (Total: "&amp;ROUNDUP(O64/2,0)*2&amp;" kg)",L65="C","Este exercício usa o Peso Corporal como carga",L65="E","Este exercício usa a resistência da banda elástica como carga",L65="O","Carga Sugerida: "&amp;INT(O64)&amp;" kg",TRUE,""))</f>
        <v/>
      </c>
      <c r="J65" s="66"/>
      <c r="K65" s="106">
        <f>K64</f>
        <v>11</v>
      </c>
      <c r="L65" s="120" t="str">
        <f>LEFT(O65)</f>
        <v/>
      </c>
      <c r="M65" s="121" t="str">
        <f>MID(O65,2,1)</f>
        <v/>
      </c>
      <c r="N65" s="122" t="str">
        <f>RIGHT(O65)</f>
        <v/>
      </c>
      <c r="O65" s="123" t="str">
        <f>IF(M64="","",OFFSET(Biblioteca!$I$2,MATCH(M64,Biblioteca!$A$3:$A$200,0),0))</f>
        <v/>
      </c>
      <c r="P65" s="124"/>
      <c r="Q65" s="125"/>
      <c r="R65" s="117" t="str">
        <f>IF(R64="","",IFS(AC65="A",Montagem!$D$80,AE65="T","Realizar a maior quantidade de repetições por "&amp;W64&amp;" segundos | ",AE65="I",IF(AD65="U","Manter a posição por "&amp;W64&amp;" segundos de um lado e trocar para o outro na sequência | ","Manter a posição por "&amp;W64&amp;" segundos | "),AD65="A","Realizar alternadamente "&amp;W64&amp;" repetições cada lado | ",AD65="U","Realizar "&amp;W64&amp;" repetições de um lado e trocar para o outro na sequência | ",AC65="P",OFFSET(Biblioteca!$H$2,MATCH(AD64,Biblioteca!$A$3:$A$200,0),0),TRUE,"")&amp;IF(AE65="R","Ajuste a carga para que tenha "&amp;$K$2&amp;" repetições de reserva",""))</f>
        <v/>
      </c>
      <c r="V65" s="118" t="str">
        <f>IF(R64="","",IFS(AC65="H","Carga Sugerida: "&amp;ROUNDUP(AF64/2,0)&amp;" kg de cada lado (Total: "&amp;ROUNDUP(AF64/2,0)*2&amp;" kg)",AC65="C","Este exercício usa o Peso Corporal como carga",AC65="E","Este exercício usa a resistência da banda elástica como carga",AC65="O","Carga Sugerida: "&amp;INT(AF64)&amp;" kg",TRUE,""))</f>
        <v/>
      </c>
      <c r="AA65" s="66"/>
      <c r="AB65" s="126">
        <f>AB64</f>
        <v>11</v>
      </c>
      <c r="AC65" s="120" t="str">
        <f>LEFT(AF65)</f>
        <v/>
      </c>
      <c r="AD65" s="121" t="str">
        <f>MID(AF65,2,1)</f>
        <v/>
      </c>
      <c r="AE65" s="122" t="str">
        <f>RIGHT(AF65)</f>
        <v/>
      </c>
      <c r="AF65" s="123" t="str">
        <f>IF(AD64="","",OFFSET(Biblioteca!$I$2,MATCH(AD64,Biblioteca!$A$3:$A$200,0),0))</f>
        <v/>
      </c>
      <c r="AG65" s="124"/>
      <c r="AH65" s="125"/>
      <c r="AI65" s="117" t="str">
        <f>IF(AI64="","",IFS(AT65="A",Montagem!$E$80,AV65="T","Realizar a maior quantidade de repetições por "&amp;AN64&amp;" segundos | ",AV65="I",IF(AU65="U","Manter a posição por "&amp;AN64&amp;" segundos de um lado e trocar para o outro na sequência | ","Manter a posição por "&amp;AN64&amp;" segundos | "),AU65="A","Realizar alternadamente "&amp;AN64&amp;" repetições cada lado | ",AU65="U","Realizar "&amp;AN64&amp;" repetições de um lado e trocar para o outro na sequência | ",AT65="P",OFFSET(Biblioteca!$H$2,MATCH(AU64,Biblioteca!$A$3:$A$200,0),0),TRUE,"")&amp;IF(AV65="R","Ajuste a carga para que tenha "&amp;$K$2&amp;" repetições de reserva",""))</f>
        <v/>
      </c>
      <c r="AM65" s="118" t="str">
        <f>IF(AI64="","",IFS(AT65="H","Carga Sugerida: "&amp;ROUNDUP(AW64/2,0)&amp;" kg de cada lado (Total: "&amp;ROUNDUP(AW64/2,0)*2&amp;" kg)",AT65="C","Este exercício usa o Peso Corporal como carga",AT65="E","Este exercício usa a resistência da banda elástica como carga",AT65="O","Carga Sugerida: "&amp;INT(AW64)&amp;" kg",TRUE,""))</f>
        <v/>
      </c>
      <c r="AR65" s="66"/>
      <c r="AS65" s="126">
        <f>AS64</f>
        <v>1</v>
      </c>
      <c r="AT65" s="120" t="str">
        <f>LEFT(AW65)</f>
        <v/>
      </c>
      <c r="AU65" s="121" t="str">
        <f>MID(AW65,2,1)</f>
        <v/>
      </c>
      <c r="AV65" s="122" t="str">
        <f>RIGHT(AW65)</f>
        <v/>
      </c>
      <c r="AW65" s="123" t="str">
        <f>IF(AU64="","",OFFSET(Biblioteca!$I$2,MATCH(AU64,Biblioteca!$A$3:$A$200,0),0))</f>
        <v/>
      </c>
      <c r="AX65" s="124"/>
      <c r="AY65" s="125"/>
      <c r="AZ65" s="117" t="str">
        <f>IF(AZ64="","",IFS(BK65="A",Montagem!$F$80,BM65="T","Realizar a maior quantidade de repetições por "&amp;BE64&amp;" segundos | ",BM65="I",IF(BL65="U","Manter a posição por "&amp;BE64&amp;" segundos de um lado e trocar para o outro na sequência | ","Manter a posição por "&amp;BE64&amp;" segundos | "),BL65="A","Realizar alternadamente "&amp;BE64&amp;" repetições cada lado | ",BL65="U","Realizar "&amp;BE64&amp;" repetições de um lado e trocar para o outro na sequência | ",BK65="P",OFFSET(Biblioteca!$H$2,MATCH(BL64,Biblioteca!$A$3:$A$200,0),0),TRUE,"")&amp;IF(BM65="R","Ajuste a carga para que tenha "&amp;$K$2&amp;" repetições de reserva",""))</f>
        <v/>
      </c>
      <c r="BD65" s="118" t="str">
        <f>IF(AZ64="","",IFS(BK65="H","Carga Sugerida: "&amp;ROUNDUP(BN64/2,0)&amp;" kg de cada lado (Total: "&amp;ROUNDUP(BN64/2,0)*2&amp;" kg)",BK65="C","Este exercício usa o Peso Corporal como carga",BK65="E","Este exercício usa a resistência da banda elástica como carga",BK65="O","Carga Sugerida: "&amp;INT(BN64)&amp;" kg",TRUE,""))</f>
        <v/>
      </c>
      <c r="BI65" s="66"/>
      <c r="BJ65" s="126">
        <f>BJ64</f>
        <v>7</v>
      </c>
      <c r="BK65" s="120" t="str">
        <f>LEFT(BN65)</f>
        <v/>
      </c>
      <c r="BL65" s="121" t="str">
        <f>MID(BN65,2,1)</f>
        <v/>
      </c>
      <c r="BM65" s="122" t="str">
        <f>RIGHT(BN65)</f>
        <v/>
      </c>
      <c r="BN65" s="123" t="str">
        <f>IF(BL64="","",OFFSET(Biblioteca!$I$2,MATCH(BL64,Biblioteca!$A$3:$A$200,0),0))</f>
        <v/>
      </c>
      <c r="BO65" s="124"/>
      <c r="BP65" s="125"/>
      <c r="BQ65" s="117" t="str">
        <f>IF(BQ64="","",IFS(CB65="A",Montagem!$G$80,CD65="T","Realizar a maior quantidade de repetições por "&amp;BV64&amp;" segundos | ",CD65="I",IF(CC65="U","Manter a posição por "&amp;BV64&amp;" segundos de um lado e trocar para o outro na sequência | ","Manter a posição por "&amp;BV64&amp;" segundos | "),CC65="A","Realizar alternadamente "&amp;BV64&amp;" repetições cada lado | ",CC65="U","Realizar "&amp;BV64&amp;" repetições de um lado e trocar para o outro na sequência | ",CB65="P",OFFSET(Biblioteca!$H$2,MATCH(CC64,Biblioteca!$A$3:$A$200,0),0),TRUE,"")&amp;IF(CD65="R","Ajuste a carga para que tenha "&amp;$K$2&amp;" repetições de reserva",""))</f>
        <v/>
      </c>
      <c r="BU65" s="118" t="str">
        <f>IF(BQ64="","",IFS(CB65="H","Carga Sugerida: "&amp;ROUNDUP(CE64/2,0)&amp;" kg de cada lado (Total: "&amp;ROUNDUP(CE64/2,0)*2&amp;" kg)",CB65="C","Este exercício usa o Peso Corporal como carga",CB65="E","Este exercício usa a resistência da banda elástica como carga",CB65="O","Carga Sugerida: "&amp;INT(CE64)&amp;" kg",TRUE,""))</f>
        <v/>
      </c>
      <c r="BZ65" s="66"/>
      <c r="CA65" s="126">
        <f>CA64</f>
        <v>8</v>
      </c>
      <c r="CB65" s="120" t="str">
        <f>LEFT(CE65)</f>
        <v/>
      </c>
      <c r="CC65" s="121" t="str">
        <f>MID(CE65,2,1)</f>
        <v/>
      </c>
      <c r="CD65" s="122" t="str">
        <f>RIGHT(CE65)</f>
        <v/>
      </c>
      <c r="CE65" s="123" t="str">
        <f>IF(CC64="","",OFFSET(Biblioteca!$I$2,MATCH(CC64,Biblioteca!$A$3:$A$200,0),0))</f>
        <v/>
      </c>
      <c r="CF65" s="124"/>
      <c r="CG65" s="125"/>
      <c r="CH65" s="117" t="str">
        <f>IF(CH64="","",IFS(CS65="A",Montagem!$H$80,CU65="T","Realizar a maior quantidade de repetições por "&amp;CM64&amp;" segundos | ",CU65="I",IF(CT65="U","Manter a posição por "&amp;CM64&amp;" segundos de um lado e trocar para o outro na sequência | ","Manter a posição por "&amp;CM64&amp;" segundos | "),CT65="A","Realizar alternadamente "&amp;CM64&amp;" repetições cada lado | ",CT65="U","Realizar "&amp;CM64&amp;" repetições de um lado e trocar para o outro na sequência | ",CS65="P",OFFSET(Biblioteca!$H$2,MATCH(CT64,Biblioteca!$A$3:$A$200,0),0),TRUE,"")&amp;IF(CU65="R","Ajuste a carga para que tenha "&amp;$K$2&amp;" repetições de reserva",""))</f>
        <v/>
      </c>
      <c r="CL65" s="118" t="str">
        <f>IF(CH64="","",IFS(CS65="H","Carga Sugerida: "&amp;ROUNDUP(CV64/2,0)&amp;" kg de cada lado (Total: "&amp;ROUNDUP(CV64/2,0)*2&amp;" kg)",CS65="C","Este exercício usa o Peso Corporal como carga",CS65="E","Este exercício usa a resistência da banda elástica como carga",CS65="O","Carga Sugerida: "&amp;INT(CV64)&amp;" kg",TRUE,""))</f>
        <v/>
      </c>
      <c r="CQ65" s="66"/>
      <c r="CR65" s="126">
        <f>CR64</f>
        <v>1</v>
      </c>
      <c r="CS65" s="120" t="str">
        <f>LEFT(CV65)</f>
        <v/>
      </c>
      <c r="CT65" s="121" t="str">
        <f>MID(CV65,2,1)</f>
        <v/>
      </c>
      <c r="CU65" s="122" t="str">
        <f>RIGHT(CV65)</f>
        <v/>
      </c>
      <c r="CV65" s="123" t="str">
        <f>IF(CT64="","",OFFSET(Biblioteca!$I$2,MATCH(CT64,Biblioteca!$A$3:$A$200,0),0))</f>
        <v/>
      </c>
      <c r="CW65" s="124"/>
      <c r="CX65" s="125"/>
      <c r="CY65" s="117" t="str">
        <f>IF(CY64="","",IFS(DJ65="A",Montagem!$I$80,DL65="T","Realizar a maior quantidade de repetições por "&amp;DD64&amp;" segundos | ",DL65="I",IF(DK65="U","Manter a posição por "&amp;DD64&amp;" segundos de um lado e trocar para o outro na sequência | ","Manter a posição por "&amp;DD64&amp;" segundos | "),DK65="A","Realizar alternadamente "&amp;DD64&amp;" repetições cada lado | ",DK65="U","Realizar "&amp;DD64&amp;" repetições de um lado e trocar para o outro na sequência | ",DJ65="P",OFFSET(Biblioteca!$H$2,MATCH(DK64,Biblioteca!$A$3:$A$200,0),0),TRUE,"")&amp;IF(DL65="R","Ajuste a carga para que tenha "&amp;$K$2&amp;" repetições de reserva",""))</f>
        <v/>
      </c>
      <c r="DC65" s="118" t="str">
        <f>IF(CY64="","",IFS(DJ65="H","Carga Sugerida: "&amp;ROUNDUP(DM64/2,0)&amp;" kg de cada lado (Total: "&amp;ROUNDUP(DM64/2,0)*2&amp;" kg)",DJ65="C","Este exercício usa o Peso Corporal como carga",DJ65="E","Este exercício usa a resistência da banda elástica como carga",DJ65="O","Carga Sugerida: "&amp;INT(DM64)&amp;" kg",TRUE,""))</f>
        <v/>
      </c>
      <c r="DH65" s="66"/>
      <c r="DI65" s="126">
        <f>DI64</f>
        <v>1</v>
      </c>
      <c r="DJ65" s="120" t="str">
        <f>LEFT(DM65)</f>
        <v/>
      </c>
      <c r="DK65" s="121" t="str">
        <f>MID(DM65,2,1)</f>
        <v/>
      </c>
      <c r="DL65" s="122" t="str">
        <f>RIGHT(DM65)</f>
        <v/>
      </c>
      <c r="DM65" s="123" t="str">
        <f>IF(DK64="","",OFFSET(Biblioteca!$I$2,MATCH(DK64,Biblioteca!$A$3:$A$200,0),0))</f>
        <v/>
      </c>
      <c r="DN65" s="124"/>
      <c r="DO65" s="125"/>
      <c r="DP65" s="142"/>
      <c r="DQ65" s="56"/>
      <c r="DR65" s="56"/>
      <c r="DS65" s="56"/>
      <c r="DT65" s="56"/>
      <c r="DU65" s="56"/>
      <c r="DV65" s="56"/>
      <c r="DW65" s="56"/>
      <c r="DX65" s="56"/>
      <c r="DY65" s="56"/>
    </row>
    <row r="66">
      <c r="A66" s="90" t="s">
        <v>48</v>
      </c>
      <c r="J66" s="66"/>
      <c r="K66" s="142"/>
      <c r="L66" s="138"/>
      <c r="M66" s="138"/>
      <c r="N66" s="138"/>
      <c r="O66" s="57" t="str">
        <f>IF(N66="",L66,N66)</f>
        <v/>
      </c>
      <c r="P66" s="57"/>
      <c r="Q66" s="153"/>
      <c r="R66" s="90" t="s">
        <v>48</v>
      </c>
      <c r="AA66" s="66"/>
      <c r="AB66" s="138"/>
      <c r="AC66" s="138"/>
      <c r="AD66" s="138"/>
      <c r="AE66" s="138"/>
      <c r="AF66" s="57" t="str">
        <f>IF(AE66="",AC66,AE66)</f>
        <v/>
      </c>
      <c r="AG66" s="57"/>
      <c r="AH66" s="153"/>
      <c r="AI66" s="90" t="s">
        <v>48</v>
      </c>
      <c r="AR66" s="66"/>
      <c r="AS66" s="138"/>
      <c r="AT66" s="138"/>
      <c r="AU66" s="138"/>
      <c r="AV66" s="138"/>
      <c r="AW66" s="57" t="str">
        <f>IF(AV66="",AT66,AV66)</f>
        <v/>
      </c>
      <c r="AX66" s="57"/>
      <c r="AY66" s="153"/>
      <c r="AZ66" s="90" t="s">
        <v>48</v>
      </c>
      <c r="BI66" s="66"/>
      <c r="BJ66" s="138"/>
      <c r="BK66" s="138"/>
      <c r="BL66" s="138"/>
      <c r="BM66" s="138"/>
      <c r="BN66" s="57" t="str">
        <f>IF(BM66="",BK66,BM66)</f>
        <v/>
      </c>
      <c r="BO66" s="57"/>
      <c r="BP66" s="153"/>
      <c r="BQ66" s="90" t="s">
        <v>48</v>
      </c>
      <c r="BZ66" s="66"/>
      <c r="CA66" s="138"/>
      <c r="CB66" s="138"/>
      <c r="CC66" s="138"/>
      <c r="CD66" s="138"/>
      <c r="CE66" s="57" t="str">
        <f>IF(CD66="",CB66,CD66)</f>
        <v/>
      </c>
      <c r="CF66" s="57"/>
      <c r="CG66" s="153"/>
      <c r="CH66" s="90" t="s">
        <v>48</v>
      </c>
      <c r="CQ66" s="66"/>
      <c r="CR66" s="138"/>
      <c r="CS66" s="138"/>
      <c r="CT66" s="138"/>
      <c r="CU66" s="138"/>
      <c r="CV66" s="57" t="str">
        <f>IF(CU66="",CS66,CU66)</f>
        <v/>
      </c>
      <c r="CW66" s="57"/>
      <c r="CX66" s="153"/>
      <c r="CY66" s="90" t="s">
        <v>48</v>
      </c>
      <c r="DH66" s="66"/>
      <c r="DI66" s="138"/>
      <c r="DJ66" s="138"/>
      <c r="DK66" s="138"/>
      <c r="DL66" s="138"/>
      <c r="DM66" s="57" t="str">
        <f>IF(DL66="",DJ66,DL66)</f>
        <v/>
      </c>
      <c r="DN66" s="57"/>
      <c r="DO66" s="153"/>
      <c r="DP66" s="142"/>
      <c r="DQ66" s="56"/>
      <c r="DR66" s="56"/>
      <c r="DS66" s="56"/>
      <c r="DT66" s="56"/>
      <c r="DU66" s="56"/>
      <c r="DV66" s="56"/>
      <c r="DW66" s="56"/>
      <c r="DX66" s="56"/>
      <c r="DY66" s="56"/>
    </row>
    <row r="67">
      <c r="A67" s="96" t="s">
        <v>31</v>
      </c>
      <c r="D67" s="97" t="s">
        <v>32</v>
      </c>
      <c r="E67" s="98" t="s">
        <v>33</v>
      </c>
      <c r="F67" s="98" t="s">
        <v>34</v>
      </c>
      <c r="G67" s="98" t="s">
        <v>35</v>
      </c>
      <c r="H67" s="98" t="s">
        <v>36</v>
      </c>
      <c r="I67" s="98" t="s">
        <v>37</v>
      </c>
      <c r="J67" s="99" t="s">
        <v>38</v>
      </c>
      <c r="K67" s="142" t="str">
        <f>K66</f>
        <v/>
      </c>
      <c r="L67" s="138"/>
      <c r="M67" s="138"/>
      <c r="N67" s="138"/>
      <c r="O67" s="138"/>
      <c r="P67" s="138"/>
      <c r="Q67" s="153"/>
      <c r="R67" s="96" t="s">
        <v>31</v>
      </c>
      <c r="U67" s="139" t="s">
        <v>32</v>
      </c>
      <c r="V67" s="140" t="s">
        <v>33</v>
      </c>
      <c r="W67" s="140" t="s">
        <v>34</v>
      </c>
      <c r="X67" s="140" t="s">
        <v>35</v>
      </c>
      <c r="Y67" s="140" t="s">
        <v>36</v>
      </c>
      <c r="Z67" s="140" t="s">
        <v>37</v>
      </c>
      <c r="AA67" s="141" t="s">
        <v>38</v>
      </c>
      <c r="AB67" s="138" t="str">
        <f>AB66</f>
        <v/>
      </c>
      <c r="AC67" s="138"/>
      <c r="AD67" s="138"/>
      <c r="AE67" s="138"/>
      <c r="AF67" s="138"/>
      <c r="AG67" s="138"/>
      <c r="AH67" s="153"/>
      <c r="AI67" s="96" t="s">
        <v>31</v>
      </c>
      <c r="AL67" s="139" t="s">
        <v>32</v>
      </c>
      <c r="AM67" s="140" t="s">
        <v>33</v>
      </c>
      <c r="AN67" s="140" t="s">
        <v>34</v>
      </c>
      <c r="AO67" s="140" t="s">
        <v>35</v>
      </c>
      <c r="AP67" s="140" t="s">
        <v>36</v>
      </c>
      <c r="AQ67" s="140" t="s">
        <v>37</v>
      </c>
      <c r="AR67" s="141" t="s">
        <v>38</v>
      </c>
      <c r="AS67" s="138"/>
      <c r="AT67" s="138"/>
      <c r="AU67" s="138"/>
      <c r="AV67" s="138"/>
      <c r="AW67" s="138"/>
      <c r="AX67" s="138"/>
      <c r="AY67" s="153"/>
      <c r="AZ67" s="96" t="s">
        <v>31</v>
      </c>
      <c r="BC67" s="139" t="s">
        <v>32</v>
      </c>
      <c r="BD67" s="140" t="s">
        <v>33</v>
      </c>
      <c r="BE67" s="140" t="s">
        <v>34</v>
      </c>
      <c r="BF67" s="140" t="s">
        <v>35</v>
      </c>
      <c r="BG67" s="140" t="s">
        <v>36</v>
      </c>
      <c r="BH67" s="140" t="s">
        <v>37</v>
      </c>
      <c r="BI67" s="141" t="s">
        <v>38</v>
      </c>
      <c r="BJ67" s="138"/>
      <c r="BK67" s="138"/>
      <c r="BL67" s="138"/>
      <c r="BM67" s="138"/>
      <c r="BN67" s="138"/>
      <c r="BO67" s="138"/>
      <c r="BP67" s="153"/>
      <c r="BQ67" s="96" t="s">
        <v>31</v>
      </c>
      <c r="BT67" s="139" t="s">
        <v>32</v>
      </c>
      <c r="BU67" s="140" t="s">
        <v>33</v>
      </c>
      <c r="BV67" s="140" t="s">
        <v>34</v>
      </c>
      <c r="BW67" s="140" t="s">
        <v>35</v>
      </c>
      <c r="BX67" s="140" t="s">
        <v>36</v>
      </c>
      <c r="BY67" s="140" t="s">
        <v>37</v>
      </c>
      <c r="BZ67" s="141" t="s">
        <v>38</v>
      </c>
      <c r="CA67" s="138"/>
      <c r="CB67" s="138"/>
      <c r="CC67" s="138"/>
      <c r="CD67" s="138"/>
      <c r="CE67" s="138"/>
      <c r="CF67" s="138"/>
      <c r="CG67" s="153"/>
      <c r="CH67" s="96" t="s">
        <v>31</v>
      </c>
      <c r="CK67" s="139" t="s">
        <v>32</v>
      </c>
      <c r="CL67" s="140" t="s">
        <v>33</v>
      </c>
      <c r="CM67" s="140" t="s">
        <v>34</v>
      </c>
      <c r="CN67" s="140" t="s">
        <v>35</v>
      </c>
      <c r="CO67" s="140" t="s">
        <v>36</v>
      </c>
      <c r="CP67" s="140" t="s">
        <v>37</v>
      </c>
      <c r="CQ67" s="141" t="s">
        <v>38</v>
      </c>
      <c r="CR67" s="138"/>
      <c r="CS67" s="138"/>
      <c r="CT67" s="138"/>
      <c r="CU67" s="138"/>
      <c r="CV67" s="138"/>
      <c r="CW67" s="138"/>
      <c r="CX67" s="153"/>
      <c r="CY67" s="96" t="s">
        <v>31</v>
      </c>
      <c r="DB67" s="139" t="s">
        <v>32</v>
      </c>
      <c r="DC67" s="140" t="s">
        <v>33</v>
      </c>
      <c r="DD67" s="140" t="s">
        <v>34</v>
      </c>
      <c r="DE67" s="140" t="s">
        <v>35</v>
      </c>
      <c r="DF67" s="140" t="s">
        <v>36</v>
      </c>
      <c r="DG67" s="140" t="s">
        <v>37</v>
      </c>
      <c r="DH67" s="141" t="s">
        <v>38</v>
      </c>
      <c r="DI67" s="138"/>
      <c r="DJ67" s="138"/>
      <c r="DK67" s="138"/>
      <c r="DL67" s="138"/>
      <c r="DM67" s="138"/>
      <c r="DN67" s="138"/>
      <c r="DO67" s="153"/>
      <c r="DP67" s="57"/>
      <c r="DQ67" s="56"/>
      <c r="DR67" s="56"/>
      <c r="DS67" s="56"/>
      <c r="DT67" s="56"/>
      <c r="DU67" s="56"/>
      <c r="DV67" s="56"/>
      <c r="DW67" s="56"/>
      <c r="DX67" s="56"/>
      <c r="DY67" s="56"/>
    </row>
    <row r="68">
      <c r="A68" s="115" t="str">
        <f>IF(M68="","",HYPERLINK(OFFSET(Biblioteca!$B$2,MATCH(M68,Biblioteca!$A$3:$A$200,0),0),M68))</f>
        <v/>
      </c>
      <c r="D68" s="103" t="str">
        <f>Montagem!Q92</f>
        <v/>
      </c>
      <c r="E68" s="104" t="str">
        <f>Montagem!R92</f>
        <v/>
      </c>
      <c r="F68" s="104" t="str">
        <f>Montagem!S92</f>
        <v/>
      </c>
      <c r="G68" s="104" t="str">
        <f>Montagem!T92</f>
        <v/>
      </c>
      <c r="H68" s="104" t="str">
        <f>Montagem!U92</f>
        <v/>
      </c>
      <c r="I68" s="104" t="str">
        <f>Montagem!V92</f>
        <v/>
      </c>
      <c r="J68" s="144"/>
      <c r="K68" s="106">
        <f>Montagem!K92</f>
        <v>1</v>
      </c>
      <c r="L68" s="111" t="str">
        <f>Montagem!W92</f>
        <v/>
      </c>
      <c r="M68" s="111" t="str">
        <f>Montagem!L92</f>
        <v/>
      </c>
      <c r="N68" s="111" t="str">
        <f>Montagem!X92</f>
        <v/>
      </c>
      <c r="O68" s="106" t="str">
        <f>IF(N68="",L68,N68)</f>
        <v/>
      </c>
      <c r="P68" s="106" t="str">
        <f>IF(L69="C",'Dados de Base'!$D$5*0.1,IF(L69="E",5,IF(J68="",O68,J68)))</f>
        <v/>
      </c>
      <c r="Q68" s="108"/>
      <c r="R68" s="115" t="str">
        <f>IF(AD68="","",HYPERLINK(OFFSET(Biblioteca!$B$2,MATCH(AD68,Biblioteca!$A$3:$A$200,0),0),AD68))</f>
        <v/>
      </c>
      <c r="U68" s="109" t="str">
        <f>Montagem!AF92</f>
        <v/>
      </c>
      <c r="V68" s="110" t="str">
        <f>Montagem!AG92</f>
        <v/>
      </c>
      <c r="W68" s="110" t="str">
        <f>Montagem!AH92</f>
        <v/>
      </c>
      <c r="X68" s="110" t="str">
        <f>Montagem!AI92</f>
        <v/>
      </c>
      <c r="Y68" s="110" t="str">
        <f>Montagem!AJ92</f>
        <v/>
      </c>
      <c r="Z68" s="110" t="str">
        <f>Montagem!AK92</f>
        <v/>
      </c>
      <c r="AA68" s="114"/>
      <c r="AB68" s="111">
        <f>Montagem!Z92</f>
        <v>1</v>
      </c>
      <c r="AC68" s="111" t="str">
        <f>Montagem!AL92</f>
        <v/>
      </c>
      <c r="AD68" s="129" t="str">
        <f>Montagem!AA92</f>
        <v/>
      </c>
      <c r="AE68" s="111" t="str">
        <f>Montagem!AM92</f>
        <v/>
      </c>
      <c r="AF68" s="106" t="str">
        <f>IF(AE68="",AC68,AE68)</f>
        <v/>
      </c>
      <c r="AG68" s="106" t="str">
        <f>IF(AC69="C",'Dados de Base'!$D$5*0.1,IF(AC69="E",5,IF(AA68="",AF68,AA68)))</f>
        <v/>
      </c>
      <c r="AH68" s="108"/>
      <c r="AI68" s="115" t="str">
        <f>IF(AU68="","",HYPERLINK(OFFSET(Biblioteca!$B$2,MATCH(AU68,Biblioteca!$A$3:$A$200,0),0),AU68))</f>
        <v/>
      </c>
      <c r="AL68" s="109" t="str">
        <f>Montagem!AU92</f>
        <v/>
      </c>
      <c r="AM68" s="110" t="str">
        <f>Montagem!AV92</f>
        <v/>
      </c>
      <c r="AN68" s="110" t="str">
        <f>Montagem!AW92</f>
        <v/>
      </c>
      <c r="AO68" s="110" t="str">
        <f>Montagem!AX92</f>
        <v/>
      </c>
      <c r="AP68" s="110" t="str">
        <f>Montagem!AY92</f>
        <v/>
      </c>
      <c r="AQ68" s="110" t="str">
        <f>Montagem!AZ92</f>
        <v/>
      </c>
      <c r="AR68" s="114"/>
      <c r="AS68" s="111">
        <f>Montagem!AO92</f>
        <v>1</v>
      </c>
      <c r="AT68" s="111" t="str">
        <f>Montagem!BA92</f>
        <v/>
      </c>
      <c r="AU68" s="111" t="str">
        <f>Montagem!AP92</f>
        <v/>
      </c>
      <c r="AV68" s="111" t="str">
        <f>Montagem!BB92</f>
        <v/>
      </c>
      <c r="AW68" s="106" t="str">
        <f>IF(AV68="",AT68,AV68)</f>
        <v/>
      </c>
      <c r="AX68" s="106" t="str">
        <f>IF(AT69="C",'Dados de Base'!$D$5*0.1,IF(AT69="E",5,IF(AR68="",AW68,AR68)))</f>
        <v/>
      </c>
      <c r="AY68" s="108"/>
      <c r="AZ68" s="115" t="str">
        <f>IF(BL68="","",HYPERLINK(OFFSET(Biblioteca!$B$2,MATCH(BL68,Biblioteca!$A$3:$A$200,0),0),BL68))</f>
        <v/>
      </c>
      <c r="BC68" s="109" t="str">
        <f>Montagem!BJ92</f>
        <v/>
      </c>
      <c r="BD68" s="110" t="str">
        <f>Montagem!BK92</f>
        <v/>
      </c>
      <c r="BE68" s="110" t="str">
        <f>Montagem!BL92</f>
        <v/>
      </c>
      <c r="BF68" s="110" t="str">
        <f>Montagem!BM92</f>
        <v/>
      </c>
      <c r="BG68" s="110" t="str">
        <f>Montagem!BN92</f>
        <v/>
      </c>
      <c r="BH68" s="110" t="str">
        <f>Montagem!BO92</f>
        <v/>
      </c>
      <c r="BI68" s="114"/>
      <c r="BJ68" s="111">
        <f>Montagem!BD92</f>
        <v>1</v>
      </c>
      <c r="BK68" s="111" t="str">
        <f>Montagem!BP92</f>
        <v/>
      </c>
      <c r="BL68" s="111" t="str">
        <f>Montagem!BE92</f>
        <v/>
      </c>
      <c r="BM68" s="111" t="str">
        <f>Montagem!BQ92</f>
        <v/>
      </c>
      <c r="BN68" s="106" t="str">
        <f>IF(BM68="",BK68,BM68)</f>
        <v/>
      </c>
      <c r="BO68" s="106" t="str">
        <f>IF(BK69="C",'Dados de Base'!$D$5*0.1,IF(BK69="E",5,IF(BI68="",BN68,BI68)))</f>
        <v/>
      </c>
      <c r="BP68" s="108"/>
      <c r="BQ68" s="115" t="str">
        <f>IF(CC68="","",HYPERLINK(OFFSET(Biblioteca!$B$2,MATCH(CC68,Biblioteca!$A$3:$A$200,0),0),CC68))</f>
        <v/>
      </c>
      <c r="BT68" s="109" t="str">
        <f>Montagem!BY92</f>
        <v/>
      </c>
      <c r="BU68" s="110" t="str">
        <f>Montagem!BZ92</f>
        <v/>
      </c>
      <c r="BV68" s="110" t="str">
        <f>Montagem!CA92</f>
        <v/>
      </c>
      <c r="BW68" s="110" t="str">
        <f>Montagem!CB92</f>
        <v/>
      </c>
      <c r="BX68" s="110" t="str">
        <f>Montagem!CC92</f>
        <v/>
      </c>
      <c r="BY68" s="110" t="str">
        <f>Montagem!CD92</f>
        <v/>
      </c>
      <c r="BZ68" s="114"/>
      <c r="CA68" s="111">
        <f>Montagem!BS92</f>
        <v>1</v>
      </c>
      <c r="CB68" s="111" t="str">
        <f>Montagem!CE92</f>
        <v/>
      </c>
      <c r="CC68" s="111" t="str">
        <f>Montagem!BT92</f>
        <v/>
      </c>
      <c r="CD68" s="111" t="str">
        <f>Montagem!CF92</f>
        <v/>
      </c>
      <c r="CE68" s="106" t="str">
        <f>IF(CD68="",CB68,CD68)</f>
        <v/>
      </c>
      <c r="CF68" s="106" t="str">
        <f>IF(CB69="C",'Dados de Base'!$D$5*0.1,IF(CB69="E",5,IF(BZ68="",CE68,BZ68)))</f>
        <v/>
      </c>
      <c r="CG68" s="108"/>
      <c r="CH68" s="115" t="str">
        <f>IF(CT68="","",HYPERLINK(OFFSET(Biblioteca!$B$2,MATCH(CT68,Biblioteca!$A$3:$A$200,0),0),CT68))</f>
        <v/>
      </c>
      <c r="CK68" s="109" t="str">
        <f>Montagem!CN92</f>
        <v/>
      </c>
      <c r="CL68" s="110" t="str">
        <f>Montagem!CO92</f>
        <v/>
      </c>
      <c r="CM68" s="110" t="str">
        <f>Montagem!CP92</f>
        <v/>
      </c>
      <c r="CN68" s="110" t="str">
        <f>Montagem!CQ92</f>
        <v/>
      </c>
      <c r="CO68" s="110" t="str">
        <f>Montagem!CR92</f>
        <v/>
      </c>
      <c r="CP68" s="110" t="str">
        <f>Montagem!CS92</f>
        <v/>
      </c>
      <c r="CQ68" s="114"/>
      <c r="CR68" s="111">
        <f>Montagem!CH92</f>
        <v>1</v>
      </c>
      <c r="CS68" s="111" t="str">
        <f>Montagem!CT92</f>
        <v/>
      </c>
      <c r="CT68" s="111" t="str">
        <f>Montagem!CI92</f>
        <v/>
      </c>
      <c r="CU68" s="145" t="str">
        <f>Montagem!CU92</f>
        <v/>
      </c>
      <c r="CV68" s="106" t="str">
        <f>IF(CU68="",CS68,CU68)</f>
        <v/>
      </c>
      <c r="CW68" s="106" t="str">
        <f>IF(CS69="C",'Dados de Base'!$D$5*0.1,IF(CS69="E",5,IF(CQ68="",CV68,CQ68)))</f>
        <v/>
      </c>
      <c r="CX68" s="108"/>
      <c r="CY68" s="115" t="str">
        <f>IF(DK68="","",HYPERLINK(OFFSET(Biblioteca!$B$2,MATCH(DK68,Biblioteca!$A$3:$A$200,0),0),DK68))</f>
        <v/>
      </c>
      <c r="DB68" s="130" t="str">
        <f>Montagem!DC92</f>
        <v/>
      </c>
      <c r="DC68" s="131" t="str">
        <f>Montagem!DD92</f>
        <v/>
      </c>
      <c r="DD68" s="131" t="str">
        <f>Montagem!DE92</f>
        <v/>
      </c>
      <c r="DE68" s="131" t="str">
        <f>Montagem!DF92</f>
        <v/>
      </c>
      <c r="DF68" s="131" t="str">
        <f>Montagem!DG92</f>
        <v/>
      </c>
      <c r="DG68" s="131" t="str">
        <f>Montagem!DH92</f>
        <v/>
      </c>
      <c r="DH68" s="114"/>
      <c r="DI68" s="111">
        <f>Montagem!CW92</f>
        <v>1</v>
      </c>
      <c r="DJ68" s="111" t="str">
        <f>Montagem!DI92</f>
        <v/>
      </c>
      <c r="DK68" s="111" t="str">
        <f>Montagem!CX92</f>
        <v/>
      </c>
      <c r="DL68" s="145" t="str">
        <f>Montagem!DJ92</f>
        <v/>
      </c>
      <c r="DM68" s="106" t="str">
        <f>IF(DL68="",DJ68,DL68)</f>
        <v/>
      </c>
      <c r="DN68" s="106" t="str">
        <f>IF(DJ69="C",'Dados de Base'!$D$5*0.1,IF(DJ69="E",5,IF(DH68="",DM68,DH68)))</f>
        <v/>
      </c>
      <c r="DO68" s="108"/>
      <c r="DP68" s="106"/>
      <c r="DQ68" s="106"/>
      <c r="DR68" s="106"/>
      <c r="DS68" s="106"/>
      <c r="DT68" s="106"/>
      <c r="DU68" s="106"/>
      <c r="DV68" s="106"/>
      <c r="DW68" s="106"/>
      <c r="DX68" s="106"/>
      <c r="DY68" s="106"/>
    </row>
    <row r="69">
      <c r="A69" s="117" t="str">
        <f>IF(A68="","",IFS(L69="A",Montagem!$C$80,N69="T","Realizar a maior quantidade de repetições por "&amp;F68&amp;" segundos | ",N69="I",IF(M69="U","Manter a posição por "&amp;F68&amp;" segundos de um lado e trocar para o outro na sequência | ","Manter a posição por "&amp;F68&amp;" segundos | "),M69="A","Realizar alternadamente "&amp;F68&amp;" repetições cada lado | ",M69="U","Realizar "&amp;F68&amp;" repetições de um lado e trocar para o outro na sequência | ",L69="P",OFFSET(Biblioteca!$H$2,MATCH(M68,Biblioteca!$A$3:$A$200,0),0),TRUE,""))</f>
        <v/>
      </c>
      <c r="E69" s="118" t="str">
        <f>IF(A68="","",IFS(L69="H","Carga Sugerida: "&amp;ROUNDUP(O68/2,0)&amp;" kg de cada lado (Total: "&amp;ROUNDUP(O68/2,0)*2&amp;" kg)",L69="C","Este exercício usa o Peso Corporal como carga",L69="E","Este exercício usa a resistência da banda elástica como carga",L69="O","Carga Sugerida: "&amp;INT(O68)&amp;" kg",TRUE,""))</f>
        <v/>
      </c>
      <c r="J69" s="66"/>
      <c r="K69" s="106">
        <f>K68</f>
        <v>1</v>
      </c>
      <c r="L69" s="120" t="str">
        <f>LEFT(O69)</f>
        <v/>
      </c>
      <c r="M69" s="121" t="str">
        <f>MID(O69,2,1)</f>
        <v/>
      </c>
      <c r="N69" s="122" t="str">
        <f>RIGHT(O69)</f>
        <v/>
      </c>
      <c r="O69" s="123" t="str">
        <f>IF(M68="","",OFFSET(Biblioteca!$I$2,MATCH(M68,Biblioteca!$A$3:$A$200,0),0))</f>
        <v/>
      </c>
      <c r="P69" s="124"/>
      <c r="Q69" s="125"/>
      <c r="R69" s="117" t="str">
        <f>IF(R68="","",IFS(AC69="A",Montagem!$D$80,AE69="T","Realizar a maior quantidade de repetições por "&amp;W68&amp;" segundos | ",AE69="I",IF(AD69="U","Manter a posição por "&amp;W68&amp;" segundos de um lado e trocar para o outro na sequência | ","Manter a posição por "&amp;W68&amp;" segundos | "),AD69="A","Realizar alternadamente "&amp;W68&amp;" repetições cada lado | ",AD69="U","Realizar "&amp;W68&amp;" repetições de um lado e trocar para o outro na sequência | ",AC69="P",OFFSET(Biblioteca!$H$2,MATCH(AD68,Biblioteca!$A$3:$A$200,0),0),TRUE,""))</f>
        <v/>
      </c>
      <c r="V69" s="118" t="str">
        <f>IF(R68="","",IFS(AC69="H","Carga Sugerida: "&amp;ROUNDUP(AF68/2,0)&amp;" kg de cada lado (Total: "&amp;ROUNDUP(AF68/2,0)*2&amp;" kg)",AC69="C","Este exercício usa o Peso Corporal como carga",AC69="E","Este exercício usa a resistência da banda elástica como carga",AC69="O","Carga Sugerida: "&amp;INT(AF68)&amp;" kg",TRUE,""))</f>
        <v/>
      </c>
      <c r="AA69" s="66"/>
      <c r="AB69" s="111">
        <f>AB68</f>
        <v>1</v>
      </c>
      <c r="AC69" s="120" t="str">
        <f>LEFT(AF69)</f>
        <v/>
      </c>
      <c r="AD69" s="121" t="str">
        <f>MID(AF69,2,1)</f>
        <v/>
      </c>
      <c r="AE69" s="122" t="str">
        <f>RIGHT(AF69)</f>
        <v/>
      </c>
      <c r="AF69" s="123" t="str">
        <f>IF(AD68="","",OFFSET(Biblioteca!$I$2,MATCH(AD68,Biblioteca!$A$3:$A$200,0),0))</f>
        <v/>
      </c>
      <c r="AG69" s="124"/>
      <c r="AH69" s="125"/>
      <c r="AI69" s="117" t="str">
        <f>IF(AI68="","",IFS(AT69="A",Montagem!$E$80,AV69="T","Realizar a maior quantidade de repetições por "&amp;AN68&amp;" segundos | ",AV69="I",IF(AU69="U","Manter a posição por "&amp;AN68&amp;" segundos de um lado e trocar para o outro na sequência | ","Manter a posição por "&amp;AN68&amp;" segundos | "),AU69="A","Realizar alternadamente "&amp;AN68&amp;" repetições cada lado | ",AU69="U","Realizar "&amp;AN68&amp;" repetições de um lado e trocar para o outro na sequência | ",AT69="P",OFFSET(Biblioteca!$H$2,MATCH(AU68,Biblioteca!$A$3:$A$200,0),0),TRUE,""))</f>
        <v/>
      </c>
      <c r="AM69" s="118" t="str">
        <f>IF(AI68="","",IFS(AT69="H","Carga Sugerida: "&amp;ROUNDUP(AW68/2,0)&amp;" kg de cada lado (Total: "&amp;ROUNDUP(AW68/2,0)*2&amp;" kg)",AT69="C","Este exercício usa o Peso Corporal como carga",AT69="E","Este exercício usa a resistência da banda elástica como carga",AT69="O","Carga Sugerida: "&amp;INT(AW68)&amp;" kg",TRUE,""))</f>
        <v/>
      </c>
      <c r="AR69" s="66"/>
      <c r="AS69" s="111">
        <f>AS68</f>
        <v>1</v>
      </c>
      <c r="AT69" s="120" t="str">
        <f>LEFT(AW69)</f>
        <v/>
      </c>
      <c r="AU69" s="121" t="str">
        <f>MID(AW69,2,1)</f>
        <v/>
      </c>
      <c r="AV69" s="122" t="str">
        <f>RIGHT(AW69)</f>
        <v/>
      </c>
      <c r="AW69" s="123" t="str">
        <f>IF(AU68="","",OFFSET(Biblioteca!$I$2,MATCH(AU68,Biblioteca!$A$3:$A$200,0),0))</f>
        <v/>
      </c>
      <c r="AX69" s="124"/>
      <c r="AY69" s="125"/>
      <c r="AZ69" s="117" t="str">
        <f>IF(AZ68="","",IFS(BK69="A",Montagem!$F$80,BM69="T","Realizar a maior quantidade de repetições por "&amp;BE68&amp;" segundos | ",BM69="I",IF(BL69="U","Manter a posição por "&amp;BE68&amp;" segundos de um lado e trocar para o outro na sequência | ","Manter a posição por "&amp;BE68&amp;" segundos | "),BL69="A","Realizar alternadamente "&amp;BE68&amp;" repetições cada lado | ",BL69="U","Realizar "&amp;BE68&amp;" repetições de um lado e trocar para o outro na sequência | ",BK69="P",OFFSET(Biblioteca!$H$2,MATCH(BL68,Biblioteca!$A$3:$A$200,0),0),TRUE,""))</f>
        <v/>
      </c>
      <c r="BD69" s="118" t="str">
        <f>IF(AZ68="","",IFS(BK69="H","Carga Sugerida: "&amp;ROUNDUP(BN68/2,0)&amp;" kg de cada lado (Total: "&amp;ROUNDUP(BN68/2,0)*2&amp;" kg)",BK69="C","Este exercício usa o Peso Corporal como carga",BK69="E","Este exercício usa a resistência da banda elástica como carga",BK69="O","Carga Sugerida: "&amp;INT(BN68)&amp;" kg",TRUE,""))</f>
        <v/>
      </c>
      <c r="BI69" s="66"/>
      <c r="BJ69" s="111">
        <f>BJ68</f>
        <v>1</v>
      </c>
      <c r="BK69" s="120" t="str">
        <f>LEFT(BN69)</f>
        <v/>
      </c>
      <c r="BL69" s="121" t="str">
        <f>MID(BN69,2,1)</f>
        <v/>
      </c>
      <c r="BM69" s="122" t="str">
        <f>RIGHT(BN69)</f>
        <v/>
      </c>
      <c r="BN69" s="123" t="str">
        <f>IF(BL68="","",OFFSET(Biblioteca!$I$2,MATCH(BL68,Biblioteca!$A$3:$A$200,0),0))</f>
        <v/>
      </c>
      <c r="BO69" s="124"/>
      <c r="BP69" s="125"/>
      <c r="BQ69" s="117" t="str">
        <f>IF(BQ68="","",IFS(CB69="A",Montagem!$G$80,CD69="T","Realizar a maior quantidade de repetições por "&amp;BV68&amp;" segundos | ",CD69="I",IF(CC69="U","Manter a posição por "&amp;BV68&amp;" segundos de um lado e trocar para o outro na sequência | ","Manter a posição por "&amp;BV68&amp;" segundos | "),CC69="A","Realizar alternadamente "&amp;BV68&amp;" repetições cada lado | ",CC69="U","Realizar "&amp;BV68&amp;" repetições de um lado e trocar para o outro na sequência | ",CB69="P",OFFSET(Biblioteca!$H$2,MATCH(CC68,Biblioteca!$A$3:$A$200,0),0),TRUE,""))</f>
        <v/>
      </c>
      <c r="BU69" s="118" t="str">
        <f>IF(BQ68="","",IFS(CB69="H","Carga Sugerida: "&amp;ROUNDUP(CE68/2,0)&amp;" kg de cada lado (Total: "&amp;ROUNDUP(CE68/2,0)*2&amp;" kg)",CB69="C","Este exercício usa o Peso Corporal como carga",CB69="E","Este exercício usa a resistência da banda elástica como carga",CB69="O","Carga Sugerida: "&amp;INT(CE68)&amp;" kg",TRUE,""))</f>
        <v/>
      </c>
      <c r="BZ69" s="66"/>
      <c r="CA69" s="111">
        <f>CA68</f>
        <v>1</v>
      </c>
      <c r="CB69" s="120" t="str">
        <f>LEFT(CE69)</f>
        <v/>
      </c>
      <c r="CC69" s="121" t="str">
        <f>MID(CE69,2,1)</f>
        <v/>
      </c>
      <c r="CD69" s="122" t="str">
        <f>RIGHT(CE69)</f>
        <v/>
      </c>
      <c r="CE69" s="123" t="str">
        <f>IF(CC68="","",OFFSET(Biblioteca!$I$2,MATCH(CC68,Biblioteca!$A$3:$A$200,0),0))</f>
        <v/>
      </c>
      <c r="CF69" s="124"/>
      <c r="CG69" s="125"/>
      <c r="CH69" s="117" t="str">
        <f>IF(CH68="","",IFS(CS69="A",Montagem!$H$80,CU69="T","Realizar a maior quantidade de repetições por "&amp;CM68&amp;" segundos | ",CU69="I",IF(CT69="U","Manter a posição por "&amp;CM68&amp;" segundos de um lado e trocar para o outro na sequência | ","Manter a posição por "&amp;CM68&amp;" segundos | "),CT69="A","Realizar alternadamente "&amp;CM68&amp;" repetições cada lado | ",CT69="U","Realizar "&amp;CM68&amp;" repetições de um lado e trocar para o outro na sequência | ",CS69="P",OFFSET(Biblioteca!$H$2,MATCH(CT68,Biblioteca!$A$3:$A$200,0),0),TRUE,""))</f>
        <v/>
      </c>
      <c r="CL69" s="118" t="str">
        <f>IF(CH68="","",IFS(CS69="H","Carga Sugerida: "&amp;ROUNDUP(CV68/2,0)&amp;" kg de cada lado (Total: "&amp;ROUNDUP(CV68/2,0)*2&amp;" kg)",CS69="C","Este exercício usa o Peso Corporal como carga",CS69="E","Este exercício usa a resistência da banda elástica como carga",CS69="O","Carga Sugerida: "&amp;INT(CV68)&amp;" kg",TRUE,""))</f>
        <v/>
      </c>
      <c r="CQ69" s="66"/>
      <c r="CR69" s="111">
        <f>CR68</f>
        <v>1</v>
      </c>
      <c r="CS69" s="120" t="str">
        <f>LEFT(CV69)</f>
        <v/>
      </c>
      <c r="CT69" s="121" t="str">
        <f>MID(CV69,2,1)</f>
        <v/>
      </c>
      <c r="CU69" s="122" t="str">
        <f>RIGHT(CV69)</f>
        <v/>
      </c>
      <c r="CV69" s="123" t="str">
        <f>IF(CT68="","",OFFSET(Biblioteca!$I$2,MATCH(CT68,Biblioteca!$A$3:$A$200,0),0))</f>
        <v/>
      </c>
      <c r="CW69" s="124"/>
      <c r="CX69" s="125"/>
      <c r="CY69" s="117" t="str">
        <f>IF(CY68="","",IFS(DJ69="A",Montagem!$I$80,DL69="T","Realizar a maior quantidade de repetições por "&amp;DD68&amp;" segundos | ",DL69="I",IF(DK69="U","Manter a posição por "&amp;DD68&amp;" segundos de um lado e trocar para o outro na sequência | ","Manter a posição por "&amp;DD68&amp;" segundos | "),DK69="A","Realizar alternadamente "&amp;DD68&amp;" repetições cada lado | ",DK69="U","Realizar "&amp;DD68&amp;" repetições de um lado e trocar para o outro na sequência | ",DJ69="P",OFFSET(Biblioteca!$H$2,MATCH(DK68,Biblioteca!$A$3:$A$200,0),0),TRUE,""))</f>
        <v/>
      </c>
      <c r="DC69" s="118" t="str">
        <f>IF(CY68="","",IFS(DJ69="H","Carga Sugerida: "&amp;ROUNDUP(DM68/2,0)&amp;" kg de cada lado (Total: "&amp;ROUNDUP(DM68/2,0)*2&amp;" kg)",DJ69="C","Este exercício usa o Peso Corporal como carga",DJ69="E","Este exercício usa a resistência da banda elástica como carga",DJ69="O","Carga Sugerida: "&amp;INT(DM68)&amp;" kg",TRUE,""))</f>
        <v/>
      </c>
      <c r="DH69" s="66"/>
      <c r="DI69" s="111">
        <f>DI68</f>
        <v>1</v>
      </c>
      <c r="DJ69" s="120" t="str">
        <f>LEFT(DM69)</f>
        <v/>
      </c>
      <c r="DK69" s="121" t="str">
        <f>MID(DM69,2,1)</f>
        <v/>
      </c>
      <c r="DL69" s="122" t="str">
        <f>RIGHT(DM69)</f>
        <v/>
      </c>
      <c r="DM69" s="123" t="str">
        <f>IF(DK68="","",OFFSET(Biblioteca!$I$2,MATCH(DK68,Biblioteca!$A$3:$A$200,0),0))</f>
        <v/>
      </c>
      <c r="DN69" s="124"/>
      <c r="DO69" s="125"/>
      <c r="DP69" s="57"/>
      <c r="DQ69" s="56"/>
      <c r="DR69" s="56"/>
      <c r="DS69" s="56"/>
      <c r="DT69" s="56"/>
      <c r="DU69" s="56"/>
      <c r="DV69" s="56"/>
      <c r="DW69" s="56"/>
      <c r="DX69" s="56"/>
      <c r="DY69" s="56"/>
    </row>
    <row r="70">
      <c r="A70" s="115" t="str">
        <f>IF(M70="","",HYPERLINK(OFFSET(Biblioteca!$B$2,MATCH(M70,Biblioteca!$A$3:$A$200,0),0),M70))</f>
        <v/>
      </c>
      <c r="D70" s="103" t="str">
        <f>Montagem!Q93</f>
        <v/>
      </c>
      <c r="E70" s="104" t="str">
        <f>Montagem!R93</f>
        <v/>
      </c>
      <c r="F70" s="104" t="str">
        <f>Montagem!S93</f>
        <v/>
      </c>
      <c r="G70" s="104" t="str">
        <f>Montagem!T93</f>
        <v/>
      </c>
      <c r="H70" s="104" t="str">
        <f>Montagem!U93</f>
        <v/>
      </c>
      <c r="I70" s="104" t="str">
        <f>Montagem!V93</f>
        <v/>
      </c>
      <c r="J70" s="144"/>
      <c r="K70" s="106">
        <f>Montagem!K93</f>
        <v>1</v>
      </c>
      <c r="L70" s="111" t="str">
        <f>Montagem!W93</f>
        <v/>
      </c>
      <c r="M70" s="111" t="str">
        <f>Montagem!L93</f>
        <v/>
      </c>
      <c r="N70" s="111" t="str">
        <f>Montagem!X93</f>
        <v/>
      </c>
      <c r="O70" s="106" t="str">
        <f>IF(N70="",L70,N70)</f>
        <v/>
      </c>
      <c r="P70" s="106" t="str">
        <f>IF(L71="C",'Dados de Base'!$D$5*0.1,IF(L71="E",5,IF(J70="",O70,J70)))</f>
        <v/>
      </c>
      <c r="Q70" s="108"/>
      <c r="R70" s="115" t="str">
        <f>IF(AD70="","",HYPERLINK(OFFSET(Biblioteca!$B$2,MATCH(AD70,Biblioteca!$A$3:$A$200,0),0),AD70))</f>
        <v/>
      </c>
      <c r="U70" s="109" t="str">
        <f>Montagem!AF93</f>
        <v/>
      </c>
      <c r="V70" s="110" t="str">
        <f>Montagem!AG93</f>
        <v/>
      </c>
      <c r="W70" s="110" t="str">
        <f>Montagem!AH93</f>
        <v/>
      </c>
      <c r="X70" s="110" t="str">
        <f>Montagem!AI93</f>
        <v/>
      </c>
      <c r="Y70" s="110" t="str">
        <f>Montagem!AJ93</f>
        <v/>
      </c>
      <c r="Z70" s="110" t="str">
        <f>Montagem!AK93</f>
        <v/>
      </c>
      <c r="AA70" s="114"/>
      <c r="AB70" s="111">
        <f>Montagem!Z93</f>
        <v>1</v>
      </c>
      <c r="AC70" s="111" t="str">
        <f>Montagem!AL93</f>
        <v/>
      </c>
      <c r="AD70" s="129" t="str">
        <f>Montagem!AA93</f>
        <v/>
      </c>
      <c r="AE70" s="111" t="str">
        <f>Montagem!AM93</f>
        <v/>
      </c>
      <c r="AF70" s="106" t="str">
        <f>IF(AE70="",AC70,AE70)</f>
        <v/>
      </c>
      <c r="AG70" s="106" t="str">
        <f>IF(AC71="C",'Dados de Base'!$D$5*0.1,IF(AC71="E",5,IF(AA70="",AF70,AA70)))</f>
        <v/>
      </c>
      <c r="AH70" s="108"/>
      <c r="AI70" s="115" t="str">
        <f>IF(AU70="","",HYPERLINK(OFFSET(Biblioteca!$B$2,MATCH(AU70,Biblioteca!$A$3:$A$200,0),0),AU70))</f>
        <v/>
      </c>
      <c r="AL70" s="109" t="str">
        <f>Montagem!AU93</f>
        <v/>
      </c>
      <c r="AM70" s="110" t="str">
        <f>Montagem!AV93</f>
        <v/>
      </c>
      <c r="AN70" s="110" t="str">
        <f>Montagem!AW93</f>
        <v/>
      </c>
      <c r="AO70" s="110" t="str">
        <f>Montagem!AX93</f>
        <v/>
      </c>
      <c r="AP70" s="110" t="str">
        <f>Montagem!AY93</f>
        <v/>
      </c>
      <c r="AQ70" s="110" t="str">
        <f>Montagem!AZ93</f>
        <v/>
      </c>
      <c r="AR70" s="114"/>
      <c r="AS70" s="111">
        <f>Montagem!AO93</f>
        <v>1</v>
      </c>
      <c r="AT70" s="111" t="str">
        <f>Montagem!BA93</f>
        <v/>
      </c>
      <c r="AU70" s="111" t="str">
        <f>Montagem!AP93</f>
        <v/>
      </c>
      <c r="AV70" s="111" t="str">
        <f>Montagem!BB93</f>
        <v/>
      </c>
      <c r="AW70" s="106" t="str">
        <f>IF(AV70="",AT70,AV70)</f>
        <v/>
      </c>
      <c r="AX70" s="106" t="str">
        <f>IF(AT71="C",'Dados de Base'!$D$5*0.1,IF(AT71="E",5,IF(AR70="",AW70,AR70)))</f>
        <v/>
      </c>
      <c r="AY70" s="108"/>
      <c r="AZ70" s="115" t="str">
        <f>IF(BL70="","",HYPERLINK(OFFSET(Biblioteca!$B$2,MATCH(BL70,Biblioteca!$A$3:$A$200,0),0),BL70))</f>
        <v/>
      </c>
      <c r="BC70" s="109" t="str">
        <f>Montagem!BJ93</f>
        <v/>
      </c>
      <c r="BD70" s="110" t="str">
        <f>Montagem!BK93</f>
        <v/>
      </c>
      <c r="BE70" s="110" t="str">
        <f>Montagem!BL93</f>
        <v/>
      </c>
      <c r="BF70" s="110" t="str">
        <f>Montagem!BM93</f>
        <v/>
      </c>
      <c r="BG70" s="110" t="str">
        <f>Montagem!BN93</f>
        <v/>
      </c>
      <c r="BH70" s="110" t="str">
        <f>Montagem!BO93</f>
        <v/>
      </c>
      <c r="BI70" s="114"/>
      <c r="BJ70" s="111">
        <f>Montagem!BD93</f>
        <v>1</v>
      </c>
      <c r="BK70" s="111" t="str">
        <f>Montagem!BP93</f>
        <v/>
      </c>
      <c r="BL70" s="111" t="str">
        <f>Montagem!BE93</f>
        <v/>
      </c>
      <c r="BM70" s="111" t="str">
        <f>Montagem!BQ93</f>
        <v/>
      </c>
      <c r="BN70" s="106" t="str">
        <f>IF(BM70="",BK70,BM70)</f>
        <v/>
      </c>
      <c r="BO70" s="106" t="str">
        <f>IF(BK71="C",'Dados de Base'!$D$5*0.1,IF(BK71="E",5,IF(BI70="",BN70,BI70)))</f>
        <v/>
      </c>
      <c r="BP70" s="108"/>
      <c r="BQ70" s="115" t="str">
        <f>IF(CC70="","",HYPERLINK(OFFSET(Biblioteca!$B$2,MATCH(CC70,Biblioteca!$A$3:$A$200,0),0),CC70))</f>
        <v/>
      </c>
      <c r="BT70" s="109" t="str">
        <f>Montagem!BY93</f>
        <v/>
      </c>
      <c r="BU70" s="110" t="str">
        <f>Montagem!BZ93</f>
        <v/>
      </c>
      <c r="BV70" s="110" t="str">
        <f>Montagem!CA93</f>
        <v/>
      </c>
      <c r="BW70" s="110" t="str">
        <f>Montagem!CB93</f>
        <v/>
      </c>
      <c r="BX70" s="110" t="str">
        <f>Montagem!CC93</f>
        <v/>
      </c>
      <c r="BY70" s="110" t="str">
        <f>Montagem!CD93</f>
        <v/>
      </c>
      <c r="BZ70" s="114"/>
      <c r="CA70" s="111">
        <f>Montagem!BS93</f>
        <v>1</v>
      </c>
      <c r="CB70" s="111" t="str">
        <f>Montagem!CE93</f>
        <v/>
      </c>
      <c r="CC70" s="111" t="str">
        <f>Montagem!BT93</f>
        <v/>
      </c>
      <c r="CD70" s="111" t="str">
        <f>Montagem!CF93</f>
        <v/>
      </c>
      <c r="CE70" s="106" t="str">
        <f>IF(CD70="",CB70,CD70)</f>
        <v/>
      </c>
      <c r="CF70" s="106" t="str">
        <f>IF(CB71="C",'Dados de Base'!$D$5*0.1,IF(CB71="E",5,IF(BZ70="",CE70,BZ70)))</f>
        <v/>
      </c>
      <c r="CG70" s="108"/>
      <c r="CH70" s="115" t="str">
        <f>IF(CT70="","",HYPERLINK(OFFSET(Biblioteca!$B$2,MATCH(CT70,Biblioteca!$A$3:$A$200,0),0),CT70))</f>
        <v/>
      </c>
      <c r="CK70" s="109" t="str">
        <f>Montagem!CN93</f>
        <v/>
      </c>
      <c r="CL70" s="110" t="str">
        <f>Montagem!CO93</f>
        <v/>
      </c>
      <c r="CM70" s="110" t="str">
        <f>Montagem!CP93</f>
        <v/>
      </c>
      <c r="CN70" s="110" t="str">
        <f>Montagem!CQ93</f>
        <v/>
      </c>
      <c r="CO70" s="110" t="str">
        <f>Montagem!CR93</f>
        <v/>
      </c>
      <c r="CP70" s="110" t="str">
        <f>Montagem!CS93</f>
        <v/>
      </c>
      <c r="CQ70" s="114"/>
      <c r="CR70" s="111">
        <f>Montagem!CH93</f>
        <v>1</v>
      </c>
      <c r="CS70" s="111" t="str">
        <f>Montagem!CT93</f>
        <v/>
      </c>
      <c r="CT70" s="111" t="str">
        <f>Montagem!CI93</f>
        <v/>
      </c>
      <c r="CU70" s="145" t="str">
        <f>Montagem!CU93</f>
        <v/>
      </c>
      <c r="CV70" s="106" t="str">
        <f>IF(CU70="",CS70,CU70)</f>
        <v/>
      </c>
      <c r="CW70" s="106" t="str">
        <f>IF(CS71="C",'Dados de Base'!$D$5*0.1,IF(CS71="E",5,IF(CQ70="",CV70,CQ70)))</f>
        <v/>
      </c>
      <c r="CX70" s="108"/>
      <c r="CY70" s="115" t="str">
        <f>IF(DK70="","",HYPERLINK(OFFSET(Biblioteca!$B$2,MATCH(DK70,Biblioteca!$A$3:$A$200,0),0),DK70))</f>
        <v/>
      </c>
      <c r="DB70" s="130" t="str">
        <f>Montagem!DC93</f>
        <v/>
      </c>
      <c r="DC70" s="131" t="str">
        <f>Montagem!DD93</f>
        <v/>
      </c>
      <c r="DD70" s="131" t="str">
        <f>Montagem!DE93</f>
        <v/>
      </c>
      <c r="DE70" s="131" t="str">
        <f>Montagem!DF93</f>
        <v/>
      </c>
      <c r="DF70" s="131" t="str">
        <f>Montagem!DG93</f>
        <v/>
      </c>
      <c r="DG70" s="131" t="str">
        <f>Montagem!DH93</f>
        <v/>
      </c>
      <c r="DH70" s="114"/>
      <c r="DI70" s="111">
        <f>Montagem!CW93</f>
        <v>1</v>
      </c>
      <c r="DJ70" s="111" t="str">
        <f>Montagem!DI93</f>
        <v/>
      </c>
      <c r="DK70" s="111" t="str">
        <f>Montagem!CX93</f>
        <v/>
      </c>
      <c r="DL70" s="145" t="str">
        <f>Montagem!DJ93</f>
        <v/>
      </c>
      <c r="DM70" s="106" t="str">
        <f>IF(DL70="",DJ70,DL70)</f>
        <v/>
      </c>
      <c r="DN70" s="106" t="str">
        <f>IF(DJ71="C",'Dados de Base'!$D$5*0.1,IF(DJ71="E",5,IF(DH70="",DM70,DH70)))</f>
        <v/>
      </c>
      <c r="DO70" s="108"/>
      <c r="DP70" s="106"/>
      <c r="DQ70" s="106"/>
      <c r="DR70" s="106"/>
      <c r="DS70" s="106"/>
      <c r="DT70" s="106"/>
      <c r="DU70" s="106"/>
      <c r="DV70" s="106"/>
      <c r="DW70" s="106"/>
      <c r="DX70" s="106"/>
      <c r="DY70" s="106"/>
    </row>
    <row r="71">
      <c r="A71" s="117" t="str">
        <f>IF(A70="","",IFS(L71="A",Montagem!$C$80,N71="T","Realizar a maior quantidade de repetições por "&amp;F70&amp;" segundos | ",N71="I",IF(M71="U","Manter a posição por "&amp;F70&amp;" segundos de um lado e trocar para o outro na sequência | ","Manter a posição por "&amp;F70&amp;" segundos | "),M71="A","Realizar alternadamente "&amp;F70&amp;" repetições cada lado | ",M71="U","Realizar "&amp;F70&amp;" repetições de um lado e trocar para o outro na sequência | ",L71="P",OFFSET(Biblioteca!$H$2,MATCH(M70,Biblioteca!$A$3:$A$200,0),0),TRUE,""))</f>
        <v/>
      </c>
      <c r="E71" s="118" t="str">
        <f>IF(A70="","",IFS(L71="H","Carga Sugerida: "&amp;ROUNDUP(O70/2,0)&amp;" kg de cada lado (Total: "&amp;ROUNDUP(O70/2,0)*2&amp;" kg)",L71="C","Este exercício usa o Peso Corporal como carga",L71="E","Este exercício usa a resistência da banda elástica como carga",L71="O","Carga Sugerida: "&amp;INT(O70)&amp;" kg",TRUE,""))</f>
        <v/>
      </c>
      <c r="J71" s="66"/>
      <c r="K71" s="106">
        <f>K70</f>
        <v>1</v>
      </c>
      <c r="L71" s="120" t="str">
        <f>LEFT(O71)</f>
        <v/>
      </c>
      <c r="M71" s="121" t="str">
        <f>MID(O71,2,1)</f>
        <v/>
      </c>
      <c r="N71" s="122" t="str">
        <f>RIGHT(O71)</f>
        <v/>
      </c>
      <c r="O71" s="123" t="str">
        <f>IF(M70="","",OFFSET(Biblioteca!$I$2,MATCH(M70,Biblioteca!$A$3:$A$200,0),0))</f>
        <v/>
      </c>
      <c r="P71" s="124"/>
      <c r="Q71" s="125"/>
      <c r="R71" s="117" t="str">
        <f>IF(R70="","",IFS(AC71="A",Montagem!$D$80,AE71="T","Realizar a maior quantidade de repetições por "&amp;W70&amp;" segundos | ",AE71="I",IF(AD71="U","Manter a posição por "&amp;W70&amp;" segundos de um lado e trocar para o outro na sequência | ","Manter a posição por "&amp;W70&amp;" segundos | "),AD71="A","Realizar alternadamente "&amp;W70&amp;" repetições cada lado | ",AD71="U","Realizar "&amp;W70&amp;" repetições de um lado e trocar para o outro na sequência | ",AC71="P",OFFSET(Biblioteca!$H$2,MATCH(AD70,Biblioteca!$A$3:$A$200,0),0),TRUE,""))</f>
        <v/>
      </c>
      <c r="V71" s="118" t="str">
        <f>IF(R70="","",IFS(AC71="H","Carga Sugerida: "&amp;ROUNDUP(AF70/2,0)&amp;" kg de cada lado (Total: "&amp;ROUNDUP(AF70/2,0)*2&amp;" kg)",AC71="C","Este exercício usa o Peso Corporal como carga",AC71="E","Este exercício usa a resistência da banda elástica como carga",AC71="O","Carga Sugerida: "&amp;INT(AF70)&amp;" kg",TRUE,""))</f>
        <v/>
      </c>
      <c r="AA71" s="66"/>
      <c r="AB71" s="111">
        <f>AB70</f>
        <v>1</v>
      </c>
      <c r="AC71" s="120" t="str">
        <f>LEFT(AF71)</f>
        <v/>
      </c>
      <c r="AD71" s="121" t="str">
        <f>MID(AF71,2,1)</f>
        <v/>
      </c>
      <c r="AE71" s="122" t="str">
        <f>RIGHT(AF71)</f>
        <v/>
      </c>
      <c r="AF71" s="123" t="str">
        <f>IF(AD70="","",OFFSET(Biblioteca!$I$2,MATCH(AD70,Biblioteca!$A$3:$A$200,0),0))</f>
        <v/>
      </c>
      <c r="AG71" s="124"/>
      <c r="AH71" s="125"/>
      <c r="AI71" s="117" t="str">
        <f>IF(AI70="","",IFS(AT71="A",Montagem!$E$80,AV71="T","Realizar a maior quantidade de repetições por "&amp;AN70&amp;" segundos | ",AV71="I",IF(AU71="U","Manter a posição por "&amp;AN70&amp;" segundos de um lado e trocar para o outro na sequência | ","Manter a posição por "&amp;AN70&amp;" segundos | "),AU71="A","Realizar alternadamente "&amp;AN70&amp;" repetições cada lado | ",AU71="U","Realizar "&amp;AN70&amp;" repetições de um lado e trocar para o outro na sequência | ",AT71="P",OFFSET(Biblioteca!$H$2,MATCH(AU70,Biblioteca!$A$3:$A$200,0),0),TRUE,""))</f>
        <v/>
      </c>
      <c r="AM71" s="118" t="str">
        <f>IF(AI70="","",IFS(AT71="H","Carga Sugerida: "&amp;ROUNDUP(AW70/2,0)&amp;" kg de cada lado (Total: "&amp;ROUNDUP(AW70/2,0)*2&amp;" kg)",AT71="C","Este exercício usa o Peso Corporal como carga",AT71="E","Este exercício usa a resistência da banda elástica como carga",AT71="O","Carga Sugerida: "&amp;INT(AW70)&amp;" kg",TRUE,""))</f>
        <v/>
      </c>
      <c r="AR71" s="66"/>
      <c r="AS71" s="111">
        <f>AS70</f>
        <v>1</v>
      </c>
      <c r="AT71" s="120" t="str">
        <f>LEFT(AW71)</f>
        <v/>
      </c>
      <c r="AU71" s="121" t="str">
        <f>MID(AW71,2,1)</f>
        <v/>
      </c>
      <c r="AV71" s="122" t="str">
        <f>RIGHT(AW71)</f>
        <v/>
      </c>
      <c r="AW71" s="123" t="str">
        <f>IF(AU70="","",OFFSET(Biblioteca!$I$2,MATCH(AU70,Biblioteca!$A$3:$A$200,0),0))</f>
        <v/>
      </c>
      <c r="AX71" s="124"/>
      <c r="AY71" s="125"/>
      <c r="AZ71" s="117" t="str">
        <f>IF(AZ70="","",IFS(BK71="A",Montagem!$F$80,BM71="T","Realizar a maior quantidade de repetições por "&amp;BE70&amp;" segundos | ",BM71="I",IF(BL71="U","Manter a posição por "&amp;BE70&amp;" segundos de um lado e trocar para o outro na sequência | ","Manter a posição por "&amp;BE70&amp;" segundos | "),BL71="A","Realizar alternadamente "&amp;BE70&amp;" repetições cada lado | ",BL71="U","Realizar "&amp;BE70&amp;" repetições de um lado e trocar para o outro na sequência | ",BK71="P",OFFSET(Biblioteca!$H$2,MATCH(BL70,Biblioteca!$A$3:$A$200,0),0),TRUE,""))</f>
        <v/>
      </c>
      <c r="BD71" s="118" t="str">
        <f>IF(AZ70="","",IFS(BK71="H","Carga Sugerida: "&amp;ROUNDUP(BN70/2,0)&amp;" kg de cada lado (Total: "&amp;ROUNDUP(BN70/2,0)*2&amp;" kg)",BK71="C","Este exercício usa o Peso Corporal como carga",BK71="E","Este exercício usa a resistência da banda elástica como carga",BK71="O","Carga Sugerida: "&amp;INT(BN70)&amp;" kg",TRUE,""))</f>
        <v/>
      </c>
      <c r="BI71" s="66"/>
      <c r="BJ71" s="111">
        <f>BJ70</f>
        <v>1</v>
      </c>
      <c r="BK71" s="120" t="str">
        <f>LEFT(BN71)</f>
        <v/>
      </c>
      <c r="BL71" s="121" t="str">
        <f>MID(BN71,2,1)</f>
        <v/>
      </c>
      <c r="BM71" s="122" t="str">
        <f>RIGHT(BN71)</f>
        <v/>
      </c>
      <c r="BN71" s="123" t="str">
        <f>IF(BL70="","",OFFSET(Biblioteca!$I$2,MATCH(BL70,Biblioteca!$A$3:$A$200,0),0))</f>
        <v/>
      </c>
      <c r="BO71" s="124"/>
      <c r="BP71" s="125"/>
      <c r="BQ71" s="117" t="str">
        <f>IF(BQ70="","",IFS(CB71="A",Montagem!$G$80,CD71="T","Realizar a maior quantidade de repetições por "&amp;BV70&amp;" segundos | ",CD71="I",IF(CC71="U","Manter a posição por "&amp;BV70&amp;" segundos de um lado e trocar para o outro na sequência | ","Manter a posição por "&amp;BV70&amp;" segundos | "),CC71="A","Realizar alternadamente "&amp;BV70&amp;" repetições cada lado | ",CC71="U","Realizar "&amp;BV70&amp;" repetições de um lado e trocar para o outro na sequência | ",CB71="P",OFFSET(Biblioteca!$H$2,MATCH(CC70,Biblioteca!$A$3:$A$200,0),0),TRUE,""))</f>
        <v/>
      </c>
      <c r="BU71" s="118" t="str">
        <f>IF(BQ70="","",IFS(CB71="H","Carga Sugerida: "&amp;ROUNDUP(CE70/2,0)&amp;" kg de cada lado (Total: "&amp;ROUNDUP(CE70/2,0)*2&amp;" kg)",CB71="C","Este exercício usa o Peso Corporal como carga",CB71="E","Este exercício usa a resistência da banda elástica como carga",CB71="O","Carga Sugerida: "&amp;INT(CE70)&amp;" kg",TRUE,""))</f>
        <v/>
      </c>
      <c r="BZ71" s="66"/>
      <c r="CA71" s="111">
        <f>CA70</f>
        <v>1</v>
      </c>
      <c r="CB71" s="120" t="str">
        <f>LEFT(CE71)</f>
        <v/>
      </c>
      <c r="CC71" s="121" t="str">
        <f>MID(CE71,2,1)</f>
        <v/>
      </c>
      <c r="CD71" s="122" t="str">
        <f>RIGHT(CE71)</f>
        <v/>
      </c>
      <c r="CE71" s="123" t="str">
        <f>IF(CC70="","",OFFSET(Biblioteca!$I$2,MATCH(CC70,Biblioteca!$A$3:$A$200,0),0))</f>
        <v/>
      </c>
      <c r="CF71" s="124"/>
      <c r="CG71" s="125"/>
      <c r="CH71" s="117" t="str">
        <f>IF(CH70="","",IFS(CS71="A",Montagem!$H$80,CU71="T","Realizar a maior quantidade de repetições por "&amp;CM70&amp;" segundos | ",CU71="I",IF(CT71="U","Manter a posição por "&amp;CM70&amp;" segundos de um lado e trocar para o outro na sequência | ","Manter a posição por "&amp;CM70&amp;" segundos | "),CT71="A","Realizar alternadamente "&amp;CM70&amp;" repetições cada lado | ",CT71="U","Realizar "&amp;CM70&amp;" repetições de um lado e trocar para o outro na sequência | ",CS71="P",OFFSET(Biblioteca!$H$2,MATCH(CT70,Biblioteca!$A$3:$A$200,0),0),TRUE,""))</f>
        <v/>
      </c>
      <c r="CL71" s="118" t="str">
        <f>IF(CH70="","",IFS(CS71="H","Carga Sugerida: "&amp;ROUNDUP(CV70/2,0)&amp;" kg de cada lado (Total: "&amp;ROUNDUP(CV70/2,0)*2&amp;" kg)",CS71="C","Este exercício usa o Peso Corporal como carga",CS71="E","Este exercício usa a resistência da banda elástica como carga",CS71="O","Carga Sugerida: "&amp;INT(CV70)&amp;" kg",TRUE,""))</f>
        <v/>
      </c>
      <c r="CQ71" s="66"/>
      <c r="CR71" s="111">
        <f>CR70</f>
        <v>1</v>
      </c>
      <c r="CS71" s="120" t="str">
        <f>LEFT(CV71)</f>
        <v/>
      </c>
      <c r="CT71" s="121" t="str">
        <f>MID(CV71,2,1)</f>
        <v/>
      </c>
      <c r="CU71" s="122" t="str">
        <f>RIGHT(CV71)</f>
        <v/>
      </c>
      <c r="CV71" s="123" t="str">
        <f>IF(CT70="","",OFFSET(Biblioteca!$I$2,MATCH(CT70,Biblioteca!$A$3:$A$200,0),0))</f>
        <v/>
      </c>
      <c r="CW71" s="124"/>
      <c r="CX71" s="125"/>
      <c r="CY71" s="117" t="str">
        <f>IF(CY70="","",IFS(DJ71="A",Montagem!$I$80,DL71="T","Realizar a maior quantidade de repetições por "&amp;DD70&amp;" segundos | ",DL71="I",IF(DK71="U","Manter a posição por "&amp;DD70&amp;" segundos de um lado e trocar para o outro na sequência | ","Manter a posição por "&amp;DD70&amp;" segundos | "),DK71="A","Realizar alternadamente "&amp;DD70&amp;" repetições cada lado | ",DK71="U","Realizar "&amp;DD70&amp;" repetições de um lado e trocar para o outro na sequência | ",DJ71="P",OFFSET(Biblioteca!$H$2,MATCH(DK70,Biblioteca!$A$3:$A$200,0),0),TRUE,""))</f>
        <v/>
      </c>
      <c r="DC71" s="118" t="str">
        <f>IF(CY70="","",IFS(DJ71="H","Carga Sugerida: "&amp;ROUNDUP(DM70/2,0)&amp;" kg de cada lado (Total: "&amp;ROUNDUP(DM70/2,0)*2&amp;" kg)",DJ71="C","Este exercício usa o Peso Corporal como carga",DJ71="E","Este exercício usa a resistência da banda elástica como carga",DJ71="O","Carga Sugerida: "&amp;INT(DM70)&amp;" kg",TRUE,""))</f>
        <v/>
      </c>
      <c r="DH71" s="66"/>
      <c r="DI71" s="111">
        <f>DI70</f>
        <v>1</v>
      </c>
      <c r="DJ71" s="120" t="str">
        <f>LEFT(DM71)</f>
        <v/>
      </c>
      <c r="DK71" s="121" t="str">
        <f>MID(DM71,2,1)</f>
        <v/>
      </c>
      <c r="DL71" s="122" t="str">
        <f>RIGHT(DM71)</f>
        <v/>
      </c>
      <c r="DM71" s="123" t="str">
        <f>IF(DK70="","",OFFSET(Biblioteca!$I$2,MATCH(DK70,Biblioteca!$A$3:$A$200,0),0))</f>
        <v/>
      </c>
      <c r="DN71" s="124"/>
      <c r="DO71" s="125"/>
      <c r="DP71" s="57"/>
      <c r="DQ71" s="56"/>
      <c r="DR71" s="56"/>
      <c r="DS71" s="56"/>
      <c r="DT71" s="56"/>
      <c r="DU71" s="56"/>
      <c r="DV71" s="56"/>
      <c r="DW71" s="56"/>
      <c r="DX71" s="56"/>
      <c r="DY71" s="56"/>
    </row>
    <row r="72">
      <c r="A72" s="115" t="str">
        <f>IF(M72="","",HYPERLINK(OFFSET(Biblioteca!$B$2,MATCH(M72,Biblioteca!$A$3:$A$200,0),0),M72))</f>
        <v/>
      </c>
      <c r="D72" s="103" t="str">
        <f>Montagem!Q94</f>
        <v/>
      </c>
      <c r="E72" s="104" t="str">
        <f>Montagem!R94</f>
        <v/>
      </c>
      <c r="F72" s="104" t="str">
        <f>Montagem!S94</f>
        <v/>
      </c>
      <c r="G72" s="104" t="str">
        <f>Montagem!T94</f>
        <v/>
      </c>
      <c r="H72" s="104" t="str">
        <f>Montagem!U94</f>
        <v/>
      </c>
      <c r="I72" s="104" t="str">
        <f>Montagem!V94</f>
        <v/>
      </c>
      <c r="J72" s="144"/>
      <c r="K72" s="106">
        <f>Montagem!K94</f>
        <v>1</v>
      </c>
      <c r="L72" s="111" t="str">
        <f>Montagem!W94</f>
        <v/>
      </c>
      <c r="M72" s="111" t="str">
        <f>Montagem!L94</f>
        <v/>
      </c>
      <c r="N72" s="111" t="str">
        <f>Montagem!X94</f>
        <v/>
      </c>
      <c r="O72" s="106" t="str">
        <f>IF(N72="",L72,N72)</f>
        <v/>
      </c>
      <c r="P72" s="106" t="str">
        <f>IF(L73="C",'Dados de Base'!$D$5*0.1,IF(L73="E",5,IF(J72="",O72,J72)))</f>
        <v/>
      </c>
      <c r="Q72" s="108"/>
      <c r="R72" s="115" t="str">
        <f>IF(AD72="","",HYPERLINK(OFFSET(Biblioteca!$B$2,MATCH(AD72,Biblioteca!$A$3:$A$200,0),0),AD72))</f>
        <v/>
      </c>
      <c r="U72" s="109" t="str">
        <f>Montagem!AF94</f>
        <v/>
      </c>
      <c r="V72" s="110" t="str">
        <f>Montagem!AG94</f>
        <v/>
      </c>
      <c r="W72" s="110" t="str">
        <f>Montagem!AH94</f>
        <v/>
      </c>
      <c r="X72" s="110" t="str">
        <f>Montagem!AI94</f>
        <v/>
      </c>
      <c r="Y72" s="110" t="str">
        <f>Montagem!AJ94</f>
        <v/>
      </c>
      <c r="Z72" s="110" t="str">
        <f>Montagem!AK94</f>
        <v/>
      </c>
      <c r="AA72" s="114"/>
      <c r="AB72" s="111">
        <f>Montagem!Z94</f>
        <v>1</v>
      </c>
      <c r="AC72" s="111" t="str">
        <f>Montagem!AL94</f>
        <v/>
      </c>
      <c r="AD72" s="129" t="str">
        <f>Montagem!AA94</f>
        <v/>
      </c>
      <c r="AE72" s="111" t="str">
        <f>Montagem!AM94</f>
        <v/>
      </c>
      <c r="AF72" s="106" t="str">
        <f>IF(AE72="",AC72,AE72)</f>
        <v/>
      </c>
      <c r="AG72" s="106" t="str">
        <f>IF(AC73="C",'Dados de Base'!$D$5*0.1,IF(AC73="E",5,IF(AA72="",AF72,AA72)))</f>
        <v/>
      </c>
      <c r="AH72" s="108"/>
      <c r="AI72" s="115" t="str">
        <f>IF(AU72="","",HYPERLINK(OFFSET(Biblioteca!$B$2,MATCH(AU72,Biblioteca!$A$3:$A$200,0),0),AU72))</f>
        <v/>
      </c>
      <c r="AL72" s="109" t="str">
        <f>Montagem!AU94</f>
        <v/>
      </c>
      <c r="AM72" s="110" t="str">
        <f>Montagem!AV94</f>
        <v/>
      </c>
      <c r="AN72" s="110" t="str">
        <f>Montagem!AW94</f>
        <v/>
      </c>
      <c r="AO72" s="110" t="str">
        <f>Montagem!AX94</f>
        <v/>
      </c>
      <c r="AP72" s="110" t="str">
        <f>Montagem!AY94</f>
        <v/>
      </c>
      <c r="AQ72" s="110" t="str">
        <f>Montagem!AZ94</f>
        <v/>
      </c>
      <c r="AR72" s="114"/>
      <c r="AS72" s="111">
        <f>Montagem!AO94</f>
        <v>1</v>
      </c>
      <c r="AT72" s="111" t="str">
        <f>Montagem!BA94</f>
        <v/>
      </c>
      <c r="AU72" s="111" t="str">
        <f>Montagem!AP94</f>
        <v/>
      </c>
      <c r="AV72" s="111" t="str">
        <f>Montagem!BB94</f>
        <v/>
      </c>
      <c r="AW72" s="106" t="str">
        <f>IF(AV72="",AT72,AV72)</f>
        <v/>
      </c>
      <c r="AX72" s="106" t="str">
        <f>IF(AT73="C",'Dados de Base'!$D$5*0.1,IF(AT73="E",5,IF(AR72="",AW72,AR72)))</f>
        <v/>
      </c>
      <c r="AY72" s="108"/>
      <c r="AZ72" s="115" t="str">
        <f>IF(BL72="","",HYPERLINK(OFFSET(Biblioteca!$B$2,MATCH(BL72,Biblioteca!$A$3:$A$200,0),0),BL72))</f>
        <v/>
      </c>
      <c r="BC72" s="109" t="str">
        <f>Montagem!BJ94</f>
        <v/>
      </c>
      <c r="BD72" s="110" t="str">
        <f>Montagem!BK94</f>
        <v/>
      </c>
      <c r="BE72" s="110" t="str">
        <f>Montagem!BL94</f>
        <v/>
      </c>
      <c r="BF72" s="110" t="str">
        <f>Montagem!BM94</f>
        <v/>
      </c>
      <c r="BG72" s="110" t="str">
        <f>Montagem!BN94</f>
        <v/>
      </c>
      <c r="BH72" s="110" t="str">
        <f>Montagem!BO94</f>
        <v/>
      </c>
      <c r="BI72" s="114"/>
      <c r="BJ72" s="111">
        <f>Montagem!BD94</f>
        <v>1</v>
      </c>
      <c r="BK72" s="111" t="str">
        <f>Montagem!BP94</f>
        <v/>
      </c>
      <c r="BL72" s="111" t="str">
        <f>Montagem!BE94</f>
        <v/>
      </c>
      <c r="BM72" s="111" t="str">
        <f>Montagem!BQ94</f>
        <v/>
      </c>
      <c r="BN72" s="106" t="str">
        <f>IF(BM72="",BK72,BM72)</f>
        <v/>
      </c>
      <c r="BO72" s="106" t="str">
        <f>IF(BK73="C",'Dados de Base'!$D$5*0.1,IF(BK73="E",5,IF(BI72="",BN72,BI72)))</f>
        <v/>
      </c>
      <c r="BP72" s="108"/>
      <c r="BQ72" s="115" t="str">
        <f>IF(CC72="","",HYPERLINK(OFFSET(Biblioteca!$B$2,MATCH(CC72,Biblioteca!$A$3:$A$200,0),0),CC72))</f>
        <v/>
      </c>
      <c r="BT72" s="109" t="str">
        <f>Montagem!BY94</f>
        <v/>
      </c>
      <c r="BU72" s="110" t="str">
        <f>Montagem!BZ94</f>
        <v/>
      </c>
      <c r="BV72" s="110" t="str">
        <f>Montagem!CA94</f>
        <v/>
      </c>
      <c r="BW72" s="110" t="str">
        <f>Montagem!CB94</f>
        <v/>
      </c>
      <c r="BX72" s="110" t="str">
        <f>Montagem!CC94</f>
        <v/>
      </c>
      <c r="BY72" s="110" t="str">
        <f>Montagem!CD94</f>
        <v/>
      </c>
      <c r="BZ72" s="114"/>
      <c r="CA72" s="111">
        <f>Montagem!BS94</f>
        <v>1</v>
      </c>
      <c r="CB72" s="111" t="str">
        <f>Montagem!CE94</f>
        <v/>
      </c>
      <c r="CC72" s="111" t="str">
        <f>Montagem!BT94</f>
        <v/>
      </c>
      <c r="CD72" s="111" t="str">
        <f>Montagem!CF94</f>
        <v/>
      </c>
      <c r="CE72" s="106" t="str">
        <f>IF(CD72="",CB72,CD72)</f>
        <v/>
      </c>
      <c r="CF72" s="106" t="str">
        <f>IF(CB73="C",'Dados de Base'!$D$5*0.1,IF(CB73="E",5,IF(BZ72="",CE72,BZ72)))</f>
        <v/>
      </c>
      <c r="CG72" s="108"/>
      <c r="CH72" s="115" t="str">
        <f>IF(CT72="","",HYPERLINK(OFFSET(Biblioteca!$B$2,MATCH(CT72,Biblioteca!$A$3:$A$200,0),0),CT72))</f>
        <v/>
      </c>
      <c r="CK72" s="109" t="str">
        <f>Montagem!CN94</f>
        <v/>
      </c>
      <c r="CL72" s="110" t="str">
        <f>Montagem!CO94</f>
        <v/>
      </c>
      <c r="CM72" s="110" t="str">
        <f>Montagem!CP94</f>
        <v/>
      </c>
      <c r="CN72" s="110" t="str">
        <f>Montagem!CQ94</f>
        <v/>
      </c>
      <c r="CO72" s="110" t="str">
        <f>Montagem!CR94</f>
        <v/>
      </c>
      <c r="CP72" s="110" t="str">
        <f>Montagem!CS94</f>
        <v/>
      </c>
      <c r="CQ72" s="114"/>
      <c r="CR72" s="111">
        <f>Montagem!CH94</f>
        <v>1</v>
      </c>
      <c r="CS72" s="111" t="str">
        <f>Montagem!CT94</f>
        <v/>
      </c>
      <c r="CT72" s="111" t="str">
        <f>Montagem!CI94</f>
        <v/>
      </c>
      <c r="CU72" s="145" t="str">
        <f>Montagem!CU94</f>
        <v/>
      </c>
      <c r="CV72" s="106" t="str">
        <f>IF(CU72="",CS72,CU72)</f>
        <v/>
      </c>
      <c r="CW72" s="106" t="str">
        <f>IF(CS73="C",'Dados de Base'!$D$5*0.1,IF(CS73="E",5,IF(CQ72="",CV72,CQ72)))</f>
        <v/>
      </c>
      <c r="CX72" s="108"/>
      <c r="CY72" s="115" t="str">
        <f>IF(DK72="","",HYPERLINK(OFFSET(Biblioteca!$B$2,MATCH(DK72,Biblioteca!$A$3:$A$200,0),0),DK72))</f>
        <v/>
      </c>
      <c r="DB72" s="130" t="str">
        <f>Montagem!DC94</f>
        <v/>
      </c>
      <c r="DC72" s="131" t="str">
        <f>Montagem!DD94</f>
        <v/>
      </c>
      <c r="DD72" s="131" t="str">
        <f>Montagem!DE94</f>
        <v/>
      </c>
      <c r="DE72" s="131" t="str">
        <f>Montagem!DF94</f>
        <v/>
      </c>
      <c r="DF72" s="131" t="str">
        <f>Montagem!DG94</f>
        <v/>
      </c>
      <c r="DG72" s="131" t="str">
        <f>Montagem!DH94</f>
        <v/>
      </c>
      <c r="DH72" s="114"/>
      <c r="DI72" s="111">
        <f>Montagem!CW94</f>
        <v>1</v>
      </c>
      <c r="DJ72" s="111" t="str">
        <f>Montagem!DI94</f>
        <v/>
      </c>
      <c r="DK72" s="111" t="str">
        <f>Montagem!CX94</f>
        <v/>
      </c>
      <c r="DL72" s="145" t="str">
        <f>Montagem!DJ94</f>
        <v/>
      </c>
      <c r="DM72" s="106" t="str">
        <f>IF(DL72="",DJ72,DL72)</f>
        <v/>
      </c>
      <c r="DN72" s="106" t="str">
        <f>IF(DJ73="C",'Dados de Base'!$D$5*0.1,IF(DJ73="E",5,IF(DH72="",DM72,DH72)))</f>
        <v/>
      </c>
      <c r="DO72" s="108"/>
      <c r="DP72" s="106"/>
      <c r="DQ72" s="106"/>
      <c r="DR72" s="106"/>
      <c r="DS72" s="106"/>
      <c r="DT72" s="106"/>
      <c r="DU72" s="106"/>
      <c r="DV72" s="106"/>
      <c r="DW72" s="106"/>
      <c r="DX72" s="106"/>
      <c r="DY72" s="106"/>
    </row>
    <row r="73">
      <c r="A73" s="117" t="str">
        <f>IF(A72="","",IFS(L73="A",Montagem!$C$80,N73="T","Realizar a maior quantidade de repetições por "&amp;F72&amp;" segundos | ",N73="I",IF(M73="U","Manter a posição por "&amp;F72&amp;" segundos de um lado e trocar para o outro na sequência | ","Manter a posição por "&amp;F72&amp;" segundos | "),M73="A","Realizar alternadamente "&amp;F72&amp;" repetições cada lado | ",M73="U","Realizar "&amp;F72&amp;" repetições de um lado e trocar para o outro na sequência | ",L73="P",OFFSET(Biblioteca!$H$2,MATCH(M72,Biblioteca!$A$3:$A$200,0),0),TRUE,""))</f>
        <v/>
      </c>
      <c r="E73" s="118" t="str">
        <f>IF(A72="","",IFS(L73="H","Carga Sugerida: "&amp;ROUNDUP(O72/2,0)&amp;" kg de cada lado (Total: "&amp;ROUNDUP(O72/2,0)*2&amp;" kg)",L73="C","Este exercício usa o Peso Corporal como carga",L73="E","Este exercício usa a resistência da banda elástica como carga",L73="O","Carga Sugerida: "&amp;INT(O72)&amp;" kg",TRUE,""))</f>
        <v/>
      </c>
      <c r="J73" s="66"/>
      <c r="K73" s="106">
        <f>K72</f>
        <v>1</v>
      </c>
      <c r="L73" s="120" t="str">
        <f>LEFT(O73)</f>
        <v/>
      </c>
      <c r="M73" s="121" t="str">
        <f>MID(O73,2,1)</f>
        <v/>
      </c>
      <c r="N73" s="122" t="str">
        <f>RIGHT(O73)</f>
        <v/>
      </c>
      <c r="O73" s="123" t="str">
        <f>IF(M72="","",OFFSET(Biblioteca!$I$2,MATCH(M72,Biblioteca!$A$3:$A$200,0),0))</f>
        <v/>
      </c>
      <c r="P73" s="124"/>
      <c r="Q73" s="125"/>
      <c r="R73" s="117" t="str">
        <f>IF(R72="","",IFS(AC73="A",Montagem!$D$80,AE73="T","Realizar a maior quantidade de repetições por "&amp;W72&amp;" segundos | ",AE73="I",IF(AD73="U","Manter a posição por "&amp;W72&amp;" segundos de um lado e trocar para o outro na sequência | ","Manter a posição por "&amp;W72&amp;" segundos | "),AD73="A","Realizar alternadamente "&amp;W72&amp;" repetições cada lado | ",AD73="U","Realizar "&amp;W72&amp;" repetições de um lado e trocar para o outro na sequência | ",AC73="P",OFFSET(Biblioteca!$H$2,MATCH(AD72,Biblioteca!$A$3:$A$200,0),0),TRUE,""))</f>
        <v/>
      </c>
      <c r="V73" s="118" t="str">
        <f>IF(R72="","",IFS(AC73="H","Carga Sugerida: "&amp;ROUNDUP(AF72/2,0)&amp;" kg de cada lado (Total: "&amp;ROUNDUP(AF72/2,0)*2&amp;" kg)",AC73="C","Este exercício usa o Peso Corporal como carga",AC73="E","Este exercício usa a resistência da banda elástica como carga",AC73="O","Carga Sugerida: "&amp;INT(AF72)&amp;" kg",TRUE,""))</f>
        <v/>
      </c>
      <c r="AA73" s="66"/>
      <c r="AB73" s="111">
        <f>AB72</f>
        <v>1</v>
      </c>
      <c r="AC73" s="120" t="str">
        <f>LEFT(AF73)</f>
        <v/>
      </c>
      <c r="AD73" s="121" t="str">
        <f>MID(AF73,2,1)</f>
        <v/>
      </c>
      <c r="AE73" s="122" t="str">
        <f>RIGHT(AF73)</f>
        <v/>
      </c>
      <c r="AF73" s="123" t="str">
        <f>IF(AD72="","",OFFSET(Biblioteca!$I$2,MATCH(AD72,Biblioteca!$A$3:$A$200,0),0))</f>
        <v/>
      </c>
      <c r="AG73" s="124"/>
      <c r="AH73" s="125"/>
      <c r="AI73" s="117" t="str">
        <f>IF(AI72="","",IFS(AT73="A",Montagem!$E$80,AV73="T","Realizar a maior quantidade de repetições por "&amp;AN72&amp;" segundos | ",AV73="I",IF(AU73="U","Manter a posição por "&amp;AN72&amp;" segundos de um lado e trocar para o outro na sequência | ","Manter a posição por "&amp;AN72&amp;" segundos | "),AU73="A","Realizar alternadamente "&amp;AN72&amp;" repetições cada lado | ",AU73="U","Realizar "&amp;AN72&amp;" repetições de um lado e trocar para o outro na sequência | ",AT73="P",OFFSET(Biblioteca!$H$2,MATCH(AU72,Biblioteca!$A$3:$A$200,0),0),TRUE,""))</f>
        <v/>
      </c>
      <c r="AM73" s="118" t="str">
        <f>IF(AI72="","",IFS(AT73="H","Carga Sugerida: "&amp;ROUNDUP(AW72/2,0)&amp;" kg de cada lado (Total: "&amp;ROUNDUP(AW72/2,0)*2&amp;" kg)",AT73="C","Este exercício usa o Peso Corporal como carga",AT73="E","Este exercício usa a resistência da banda elástica como carga",AT73="O","Carga Sugerida: "&amp;INT(AW72)&amp;" kg",TRUE,""))</f>
        <v/>
      </c>
      <c r="AR73" s="66"/>
      <c r="AS73" s="111">
        <f>AS72</f>
        <v>1</v>
      </c>
      <c r="AT73" s="120" t="str">
        <f>LEFT(AW73)</f>
        <v/>
      </c>
      <c r="AU73" s="121" t="str">
        <f>MID(AW73,2,1)</f>
        <v/>
      </c>
      <c r="AV73" s="122" t="str">
        <f>RIGHT(AW73)</f>
        <v/>
      </c>
      <c r="AW73" s="123" t="str">
        <f>IF(AU72="","",OFFSET(Biblioteca!$I$2,MATCH(AU72,Biblioteca!$A$3:$A$200,0),0))</f>
        <v/>
      </c>
      <c r="AX73" s="124"/>
      <c r="AY73" s="125"/>
      <c r="AZ73" s="117" t="str">
        <f>IF(AZ72="","",IFS(BK73="A",Montagem!$F$80,BM73="T","Realizar a maior quantidade de repetições por "&amp;BE72&amp;" segundos | ",BM73="I",IF(BL73="U","Manter a posição por "&amp;BE72&amp;" segundos de um lado e trocar para o outro na sequência | ","Manter a posição por "&amp;BE72&amp;" segundos | "),BL73="A","Realizar alternadamente "&amp;BE72&amp;" repetições cada lado | ",BL73="U","Realizar "&amp;BE72&amp;" repetições de um lado e trocar para o outro na sequência | ",BK73="P",OFFSET(Biblioteca!$H$2,MATCH(BL72,Biblioteca!$A$3:$A$200,0),0),TRUE,""))</f>
        <v/>
      </c>
      <c r="BD73" s="118" t="str">
        <f>IF(AZ72="","",IFS(BK73="H","Carga Sugerida: "&amp;ROUNDUP(BN72/2,0)&amp;" kg de cada lado (Total: "&amp;ROUNDUP(BN72/2,0)*2&amp;" kg)",BK73="C","Este exercício usa o Peso Corporal como carga",BK73="E","Este exercício usa a resistência da banda elástica como carga",BK73="O","Carga Sugerida: "&amp;INT(BN72)&amp;" kg",TRUE,""))</f>
        <v/>
      </c>
      <c r="BI73" s="66"/>
      <c r="BJ73" s="111">
        <f>BJ72</f>
        <v>1</v>
      </c>
      <c r="BK73" s="120" t="str">
        <f>LEFT(BN73)</f>
        <v/>
      </c>
      <c r="BL73" s="121" t="str">
        <f>MID(BN73,2,1)</f>
        <v/>
      </c>
      <c r="BM73" s="122" t="str">
        <f>RIGHT(BN73)</f>
        <v/>
      </c>
      <c r="BN73" s="123" t="str">
        <f>IF(BL72="","",OFFSET(Biblioteca!$I$2,MATCH(BL72,Biblioteca!$A$3:$A$200,0),0))</f>
        <v/>
      </c>
      <c r="BO73" s="124"/>
      <c r="BP73" s="125"/>
      <c r="BQ73" s="117" t="str">
        <f>IF(BQ72="","",IFS(CB73="A",Montagem!$G$80,CD73="T","Realizar a maior quantidade de repetições por "&amp;BV72&amp;" segundos | ",CD73="I",IF(CC73="U","Manter a posição por "&amp;BV72&amp;" segundos de um lado e trocar para o outro na sequência | ","Manter a posição por "&amp;BV72&amp;" segundos | "),CC73="A","Realizar alternadamente "&amp;BV72&amp;" repetições cada lado | ",CC73="U","Realizar "&amp;BV72&amp;" repetições de um lado e trocar para o outro na sequência | ",CB73="P",OFFSET(Biblioteca!$H$2,MATCH(CC72,Biblioteca!$A$3:$A$200,0),0),TRUE,""))</f>
        <v/>
      </c>
      <c r="BU73" s="118" t="str">
        <f>IF(BQ72="","",IFS(CB73="H","Carga Sugerida: "&amp;ROUNDUP(CE72/2,0)&amp;" kg de cada lado (Total: "&amp;ROUNDUP(CE72/2,0)*2&amp;" kg)",CB73="C","Este exercício usa o Peso Corporal como carga",CB73="E","Este exercício usa a resistência da banda elástica como carga",CB73="O","Carga Sugerida: "&amp;INT(CE72)&amp;" kg",TRUE,""))</f>
        <v/>
      </c>
      <c r="BZ73" s="66"/>
      <c r="CA73" s="111">
        <f>CA72</f>
        <v>1</v>
      </c>
      <c r="CB73" s="120" t="str">
        <f>LEFT(CE73)</f>
        <v/>
      </c>
      <c r="CC73" s="121" t="str">
        <f>MID(CE73,2,1)</f>
        <v/>
      </c>
      <c r="CD73" s="122" t="str">
        <f>RIGHT(CE73)</f>
        <v/>
      </c>
      <c r="CE73" s="123" t="str">
        <f>IF(CC72="","",OFFSET(Biblioteca!$I$2,MATCH(CC72,Biblioteca!$A$3:$A$200,0),0))</f>
        <v/>
      </c>
      <c r="CF73" s="124"/>
      <c r="CG73" s="125"/>
      <c r="CH73" s="117" t="str">
        <f>IF(CH72="","",IFS(CS73="A",Montagem!$H$80,CU73="T","Realizar a maior quantidade de repetições por "&amp;CM72&amp;" segundos | ",CU73="I",IF(CT73="U","Manter a posição por "&amp;CM72&amp;" segundos de um lado e trocar para o outro na sequência | ","Manter a posição por "&amp;CM72&amp;" segundos | "),CT73="A","Realizar alternadamente "&amp;CM72&amp;" repetições cada lado | ",CT73="U","Realizar "&amp;CM72&amp;" repetições de um lado e trocar para o outro na sequência | ",CS73="P",OFFSET(Biblioteca!$H$2,MATCH(CT72,Biblioteca!$A$3:$A$200,0),0),TRUE,""))</f>
        <v/>
      </c>
      <c r="CL73" s="118" t="str">
        <f>IF(CH72="","",IFS(CS73="H","Carga Sugerida: "&amp;ROUNDUP(CV72/2,0)&amp;" kg de cada lado (Total: "&amp;ROUNDUP(CV72/2,0)*2&amp;" kg)",CS73="C","Este exercício usa o Peso Corporal como carga",CS73="E","Este exercício usa a resistência da banda elástica como carga",CS73="O","Carga Sugerida: "&amp;INT(CV72)&amp;" kg",TRUE,""))</f>
        <v/>
      </c>
      <c r="CQ73" s="66"/>
      <c r="CR73" s="111">
        <f>CR72</f>
        <v>1</v>
      </c>
      <c r="CS73" s="120" t="str">
        <f>LEFT(CV73)</f>
        <v/>
      </c>
      <c r="CT73" s="121" t="str">
        <f>MID(CV73,2,1)</f>
        <v/>
      </c>
      <c r="CU73" s="122" t="str">
        <f>RIGHT(CV73)</f>
        <v/>
      </c>
      <c r="CV73" s="123" t="str">
        <f>IF(CT72="","",OFFSET(Biblioteca!$I$2,MATCH(CT72,Biblioteca!$A$3:$A$200,0),0))</f>
        <v/>
      </c>
      <c r="CW73" s="124"/>
      <c r="CX73" s="125"/>
      <c r="CY73" s="117" t="str">
        <f>IF(CY72="","",IFS(DJ73="A",Montagem!$I$80,DL73="T","Realizar a maior quantidade de repetições por "&amp;DD72&amp;" segundos | ",DL73="I",IF(DK73="U","Manter a posição por "&amp;DD72&amp;" segundos de um lado e trocar para o outro na sequência | ","Manter a posição por "&amp;DD72&amp;" segundos | "),DK73="A","Realizar alternadamente "&amp;DD72&amp;" repetições cada lado | ",DK73="U","Realizar "&amp;DD72&amp;" repetições de um lado e trocar para o outro na sequência | ",DJ73="P",OFFSET(Biblioteca!$H$2,MATCH(DK72,Biblioteca!$A$3:$A$200,0),0),TRUE,""))</f>
        <v/>
      </c>
      <c r="DC73" s="118" t="str">
        <f>IF(CY72="","",IFS(DJ73="H","Carga Sugerida: "&amp;ROUNDUP(DM72/2,0)&amp;" kg de cada lado (Total: "&amp;ROUNDUP(DM72/2,0)*2&amp;" kg)",DJ73="C","Este exercício usa o Peso Corporal como carga",DJ73="E","Este exercício usa a resistência da banda elástica como carga",DJ73="O","Carga Sugerida: "&amp;INT(DM72)&amp;" kg",TRUE,""))</f>
        <v/>
      </c>
      <c r="DH73" s="66"/>
      <c r="DI73" s="111">
        <f>DI72</f>
        <v>1</v>
      </c>
      <c r="DJ73" s="120" t="str">
        <f>LEFT(DM73)</f>
        <v/>
      </c>
      <c r="DK73" s="121" t="str">
        <f>MID(DM73,2,1)</f>
        <v/>
      </c>
      <c r="DL73" s="122" t="str">
        <f>RIGHT(DM73)</f>
        <v/>
      </c>
      <c r="DM73" s="123" t="str">
        <f>IF(DK72="","",OFFSET(Biblioteca!$I$2,MATCH(DK72,Biblioteca!$A$3:$A$200,0),0))</f>
        <v/>
      </c>
      <c r="DN73" s="124"/>
      <c r="DO73" s="125"/>
      <c r="DP73" s="57"/>
      <c r="DQ73" s="56"/>
      <c r="DR73" s="56"/>
      <c r="DS73" s="56"/>
      <c r="DT73" s="56"/>
      <c r="DU73" s="56"/>
      <c r="DV73" s="56"/>
      <c r="DW73" s="56"/>
      <c r="DX73" s="56"/>
      <c r="DY73" s="56"/>
    </row>
    <row r="74">
      <c r="A74" s="154" t="s">
        <v>49</v>
      </c>
      <c r="B74" s="155"/>
      <c r="C74" s="155"/>
      <c r="D74" s="155"/>
      <c r="E74" s="155"/>
      <c r="F74" s="155"/>
      <c r="G74" s="155"/>
      <c r="H74" s="155"/>
      <c r="I74" s="155"/>
      <c r="J74" s="156"/>
      <c r="K74" s="57"/>
      <c r="L74" s="57"/>
      <c r="M74" s="57"/>
      <c r="N74" s="57"/>
      <c r="O74" s="57"/>
      <c r="P74" s="57"/>
      <c r="Q74" s="58"/>
      <c r="R74" s="154" t="s">
        <v>49</v>
      </c>
      <c r="S74" s="155"/>
      <c r="T74" s="155"/>
      <c r="U74" s="155"/>
      <c r="V74" s="155"/>
      <c r="W74" s="155"/>
      <c r="X74" s="155"/>
      <c r="Y74" s="155"/>
      <c r="Z74" s="155"/>
      <c r="AA74" s="156"/>
      <c r="AB74" s="57"/>
      <c r="AC74" s="57"/>
      <c r="AD74" s="57"/>
      <c r="AE74" s="57"/>
      <c r="AF74" s="57"/>
      <c r="AG74" s="57"/>
      <c r="AH74" s="58"/>
      <c r="AI74" s="154" t="s">
        <v>49</v>
      </c>
      <c r="AJ74" s="155"/>
      <c r="AK74" s="155"/>
      <c r="AL74" s="155"/>
      <c r="AM74" s="155"/>
      <c r="AN74" s="155"/>
      <c r="AO74" s="155"/>
      <c r="AP74" s="155"/>
      <c r="AQ74" s="155"/>
      <c r="AR74" s="156"/>
      <c r="AS74" s="57"/>
      <c r="AT74" s="57"/>
      <c r="AU74" s="57"/>
      <c r="AV74" s="57"/>
      <c r="AW74" s="57"/>
      <c r="AX74" s="57"/>
      <c r="AY74" s="58"/>
      <c r="AZ74" s="154" t="s">
        <v>49</v>
      </c>
      <c r="BA74" s="155"/>
      <c r="BB74" s="155"/>
      <c r="BC74" s="155"/>
      <c r="BD74" s="155"/>
      <c r="BE74" s="155"/>
      <c r="BF74" s="155"/>
      <c r="BG74" s="155"/>
      <c r="BH74" s="155"/>
      <c r="BI74" s="156"/>
      <c r="BJ74" s="57"/>
      <c r="BK74" s="57"/>
      <c r="BL74" s="57"/>
      <c r="BM74" s="57"/>
      <c r="BN74" s="57"/>
      <c r="BO74" s="57"/>
      <c r="BP74" s="58"/>
      <c r="BQ74" s="154" t="s">
        <v>49</v>
      </c>
      <c r="BR74" s="155"/>
      <c r="BS74" s="155"/>
      <c r="BT74" s="155"/>
      <c r="BU74" s="155"/>
      <c r="BV74" s="155"/>
      <c r="BW74" s="155"/>
      <c r="BX74" s="155"/>
      <c r="BY74" s="155"/>
      <c r="BZ74" s="156"/>
      <c r="CA74" s="57"/>
      <c r="CB74" s="57"/>
      <c r="CC74" s="57"/>
      <c r="CD74" s="57"/>
      <c r="CE74" s="57"/>
      <c r="CF74" s="57"/>
      <c r="CG74" s="58"/>
      <c r="CH74" s="154" t="s">
        <v>49</v>
      </c>
      <c r="CI74" s="155"/>
      <c r="CJ74" s="155"/>
      <c r="CK74" s="155"/>
      <c r="CL74" s="155"/>
      <c r="CM74" s="155"/>
      <c r="CN74" s="155"/>
      <c r="CO74" s="155"/>
      <c r="CP74" s="155"/>
      <c r="CQ74" s="156"/>
      <c r="CR74" s="57"/>
      <c r="CS74" s="57"/>
      <c r="CT74" s="57"/>
      <c r="CU74" s="57"/>
      <c r="CV74" s="57"/>
      <c r="CW74" s="57"/>
      <c r="CX74" s="58"/>
      <c r="CY74" s="154" t="s">
        <v>49</v>
      </c>
      <c r="CZ74" s="155"/>
      <c r="DA74" s="155"/>
      <c r="DB74" s="155"/>
      <c r="DC74" s="155"/>
      <c r="DD74" s="155"/>
      <c r="DE74" s="155"/>
      <c r="DF74" s="155"/>
      <c r="DG74" s="155"/>
      <c r="DH74" s="156"/>
      <c r="DI74" s="57"/>
      <c r="DJ74" s="57"/>
      <c r="DK74" s="57"/>
      <c r="DL74" s="57"/>
      <c r="DM74" s="57"/>
      <c r="DN74" s="57"/>
      <c r="DO74" s="58"/>
      <c r="DP74" s="57"/>
      <c r="DQ74" s="56"/>
      <c r="DR74" s="56"/>
      <c r="DS74" s="56"/>
      <c r="DT74" s="56"/>
      <c r="DU74" s="56"/>
      <c r="DV74" s="56"/>
      <c r="DW74" s="56"/>
      <c r="DX74" s="56"/>
      <c r="DY74" s="56"/>
    </row>
    <row r="75">
      <c r="A75" s="159"/>
      <c r="J75" s="66"/>
      <c r="K75" s="158"/>
      <c r="L75" s="158"/>
      <c r="M75" s="158"/>
      <c r="N75" s="158"/>
      <c r="O75" s="158"/>
      <c r="P75" s="158"/>
      <c r="Q75" s="158"/>
      <c r="R75" s="159"/>
      <c r="AA75" s="66"/>
      <c r="AB75" s="158"/>
      <c r="AC75" s="158"/>
      <c r="AD75" s="158"/>
      <c r="AE75" s="158"/>
      <c r="AF75" s="158"/>
      <c r="AG75" s="158"/>
      <c r="AH75" s="158"/>
      <c r="AI75" s="159"/>
      <c r="AR75" s="66"/>
      <c r="AS75" s="158"/>
      <c r="AT75" s="158"/>
      <c r="AU75" s="158"/>
      <c r="AV75" s="158"/>
      <c r="AW75" s="158"/>
      <c r="AX75" s="158"/>
      <c r="AY75" s="158"/>
      <c r="AZ75" s="160"/>
      <c r="BI75" s="66"/>
      <c r="BJ75" s="158"/>
      <c r="BK75" s="158"/>
      <c r="BL75" s="158"/>
      <c r="BM75" s="158"/>
      <c r="BN75" s="158"/>
      <c r="BO75" s="158"/>
      <c r="BP75" s="158"/>
      <c r="BQ75" s="160"/>
      <c r="BZ75" s="66"/>
      <c r="CA75" s="158"/>
      <c r="CB75" s="158"/>
      <c r="CC75" s="158"/>
      <c r="CD75" s="158"/>
      <c r="CE75" s="158"/>
      <c r="CF75" s="158"/>
      <c r="CG75" s="158"/>
      <c r="CH75" s="159"/>
      <c r="CQ75" s="66"/>
      <c r="CR75" s="158"/>
      <c r="CS75" s="158"/>
      <c r="CT75" s="158"/>
      <c r="CU75" s="158"/>
      <c r="CV75" s="158"/>
      <c r="CW75" s="158"/>
      <c r="CX75" s="158"/>
      <c r="CY75" s="159"/>
      <c r="DH75" s="66"/>
      <c r="DI75" s="57"/>
      <c r="DJ75" s="57"/>
      <c r="DK75" s="57"/>
      <c r="DL75" s="57"/>
      <c r="DM75" s="57"/>
      <c r="DN75" s="57"/>
      <c r="DO75" s="58"/>
      <c r="DP75" s="57"/>
      <c r="DQ75" s="56"/>
      <c r="DR75" s="56"/>
      <c r="DS75" s="56"/>
      <c r="DT75" s="56"/>
      <c r="DU75" s="56"/>
      <c r="DV75" s="56"/>
      <c r="DW75" s="56"/>
      <c r="DX75" s="56"/>
      <c r="DY75" s="56"/>
    </row>
    <row r="76">
      <c r="A76" s="159"/>
      <c r="J76" s="66"/>
      <c r="K76" s="158"/>
      <c r="L76" s="158"/>
      <c r="M76" s="158"/>
      <c r="N76" s="158"/>
      <c r="O76" s="158"/>
      <c r="P76" s="158"/>
      <c r="Q76" s="158"/>
      <c r="R76" s="159"/>
      <c r="AA76" s="66"/>
      <c r="AB76" s="158"/>
      <c r="AC76" s="158"/>
      <c r="AD76" s="158"/>
      <c r="AE76" s="158"/>
      <c r="AF76" s="158"/>
      <c r="AG76" s="158"/>
      <c r="AH76" s="158"/>
      <c r="AI76" s="159"/>
      <c r="AR76" s="66"/>
      <c r="AS76" s="158"/>
      <c r="AT76" s="158"/>
      <c r="AU76" s="158"/>
      <c r="AV76" s="158"/>
      <c r="AW76" s="158"/>
      <c r="AX76" s="158"/>
      <c r="AY76" s="158"/>
      <c r="AZ76" s="160"/>
      <c r="BI76" s="66"/>
      <c r="BJ76" s="158"/>
      <c r="BK76" s="158"/>
      <c r="BL76" s="158"/>
      <c r="BM76" s="158"/>
      <c r="BN76" s="158"/>
      <c r="BO76" s="158"/>
      <c r="BP76" s="158"/>
      <c r="BQ76" s="160"/>
      <c r="BZ76" s="66"/>
      <c r="CA76" s="158"/>
      <c r="CB76" s="158"/>
      <c r="CC76" s="158"/>
      <c r="CD76" s="158"/>
      <c r="CE76" s="158"/>
      <c r="CF76" s="158"/>
      <c r="CG76" s="158"/>
      <c r="CH76" s="159"/>
      <c r="CQ76" s="66"/>
      <c r="CR76" s="158"/>
      <c r="CS76" s="158"/>
      <c r="CT76" s="158"/>
      <c r="CU76" s="158"/>
      <c r="CV76" s="158"/>
      <c r="CW76" s="158"/>
      <c r="CX76" s="158"/>
      <c r="CY76" s="159"/>
      <c r="DH76" s="66"/>
      <c r="DI76" s="57"/>
      <c r="DJ76" s="57"/>
      <c r="DK76" s="57"/>
      <c r="DL76" s="57"/>
      <c r="DM76" s="57"/>
      <c r="DN76" s="57"/>
      <c r="DO76" s="58"/>
      <c r="DP76" s="57"/>
      <c r="DQ76" s="56"/>
      <c r="DR76" s="56"/>
      <c r="DS76" s="56"/>
      <c r="DT76" s="56"/>
      <c r="DU76" s="56"/>
      <c r="DV76" s="56"/>
      <c r="DW76" s="56"/>
      <c r="DX76" s="56"/>
      <c r="DY76" s="56"/>
    </row>
    <row r="77">
      <c r="A77" s="159"/>
      <c r="J77" s="66"/>
      <c r="K77" s="158"/>
      <c r="L77" s="158"/>
      <c r="M77" s="158"/>
      <c r="N77" s="158"/>
      <c r="O77" s="158"/>
      <c r="P77" s="158"/>
      <c r="Q77" s="158"/>
      <c r="R77" s="159"/>
      <c r="AA77" s="66"/>
      <c r="AB77" s="158"/>
      <c r="AC77" s="158"/>
      <c r="AD77" s="158"/>
      <c r="AE77" s="158"/>
      <c r="AF77" s="158"/>
      <c r="AG77" s="158"/>
      <c r="AH77" s="158"/>
      <c r="AI77" s="159"/>
      <c r="AR77" s="66"/>
      <c r="AS77" s="158"/>
      <c r="AT77" s="158"/>
      <c r="AU77" s="158"/>
      <c r="AV77" s="158"/>
      <c r="AW77" s="158"/>
      <c r="AX77" s="158"/>
      <c r="AY77" s="158"/>
      <c r="AZ77" s="160"/>
      <c r="BI77" s="66"/>
      <c r="BJ77" s="158"/>
      <c r="BK77" s="158"/>
      <c r="BL77" s="158"/>
      <c r="BM77" s="158"/>
      <c r="BN77" s="158"/>
      <c r="BO77" s="158"/>
      <c r="BP77" s="158"/>
      <c r="BQ77" s="160"/>
      <c r="BZ77" s="66"/>
      <c r="CA77" s="158"/>
      <c r="CB77" s="158"/>
      <c r="CC77" s="158"/>
      <c r="CD77" s="158"/>
      <c r="CE77" s="158"/>
      <c r="CF77" s="158"/>
      <c r="CG77" s="158"/>
      <c r="CH77" s="159"/>
      <c r="CQ77" s="66"/>
      <c r="CR77" s="158"/>
      <c r="CS77" s="158"/>
      <c r="CT77" s="158"/>
      <c r="CU77" s="158"/>
      <c r="CV77" s="158"/>
      <c r="CW77" s="158"/>
      <c r="CX77" s="158"/>
      <c r="CY77" s="159"/>
      <c r="DH77" s="66"/>
      <c r="DI77" s="57"/>
      <c r="DJ77" s="57"/>
      <c r="DK77" s="57"/>
      <c r="DL77" s="57"/>
      <c r="DM77" s="57"/>
      <c r="DN77" s="57"/>
      <c r="DO77" s="58"/>
      <c r="DP77" s="57"/>
      <c r="DQ77" s="56"/>
      <c r="DR77" s="56"/>
      <c r="DS77" s="56"/>
      <c r="DT77" s="56"/>
      <c r="DU77" s="56"/>
      <c r="DV77" s="56"/>
      <c r="DW77" s="56"/>
      <c r="DX77" s="56"/>
      <c r="DY77" s="56"/>
    </row>
    <row r="78">
      <c r="A78" s="159"/>
      <c r="J78" s="66"/>
      <c r="K78" s="158"/>
      <c r="L78" s="158"/>
      <c r="M78" s="158"/>
      <c r="N78" s="158"/>
      <c r="O78" s="158"/>
      <c r="P78" s="158"/>
      <c r="Q78" s="158"/>
      <c r="R78" s="159"/>
      <c r="AA78" s="66"/>
      <c r="AB78" s="158"/>
      <c r="AC78" s="158"/>
      <c r="AD78" s="158"/>
      <c r="AE78" s="158"/>
      <c r="AF78" s="158"/>
      <c r="AG78" s="158"/>
      <c r="AH78" s="158"/>
      <c r="AI78" s="159"/>
      <c r="AR78" s="66"/>
      <c r="AS78" s="158"/>
      <c r="AT78" s="158"/>
      <c r="AU78" s="158"/>
      <c r="AV78" s="158"/>
      <c r="AW78" s="158"/>
      <c r="AX78" s="158"/>
      <c r="AY78" s="158"/>
      <c r="AZ78" s="160"/>
      <c r="BI78" s="66"/>
      <c r="BJ78" s="158"/>
      <c r="BK78" s="158"/>
      <c r="BL78" s="158"/>
      <c r="BM78" s="158"/>
      <c r="BN78" s="158"/>
      <c r="BO78" s="158"/>
      <c r="BP78" s="158"/>
      <c r="BQ78" s="160"/>
      <c r="BZ78" s="66"/>
      <c r="CA78" s="158"/>
      <c r="CB78" s="158"/>
      <c r="CC78" s="158"/>
      <c r="CD78" s="158"/>
      <c r="CE78" s="158"/>
      <c r="CF78" s="158"/>
      <c r="CG78" s="158"/>
      <c r="CH78" s="159"/>
      <c r="CQ78" s="66"/>
      <c r="CR78" s="158"/>
      <c r="CS78" s="158"/>
      <c r="CT78" s="158"/>
      <c r="CU78" s="158"/>
      <c r="CV78" s="158"/>
      <c r="CW78" s="158"/>
      <c r="CX78" s="158"/>
      <c r="CY78" s="159"/>
      <c r="DH78" s="66"/>
      <c r="DI78" s="57"/>
      <c r="DJ78" s="57"/>
      <c r="DK78" s="57"/>
      <c r="DL78" s="57"/>
      <c r="DM78" s="57"/>
      <c r="DN78" s="57"/>
      <c r="DO78" s="58"/>
      <c r="DP78" s="57"/>
      <c r="DQ78" s="56"/>
      <c r="DR78" s="56"/>
      <c r="DS78" s="56"/>
      <c r="DT78" s="56"/>
      <c r="DU78" s="56"/>
      <c r="DV78" s="56"/>
      <c r="DW78" s="56"/>
      <c r="DX78" s="56"/>
      <c r="DY78" s="56"/>
    </row>
    <row r="79">
      <c r="A79" s="165"/>
      <c r="B79" s="163"/>
      <c r="C79" s="163"/>
      <c r="D79" s="163"/>
      <c r="E79" s="163"/>
      <c r="F79" s="163"/>
      <c r="G79" s="163"/>
      <c r="H79" s="163"/>
      <c r="I79" s="163"/>
      <c r="J79" s="164"/>
      <c r="K79" s="158"/>
      <c r="L79" s="158"/>
      <c r="M79" s="158"/>
      <c r="N79" s="158"/>
      <c r="O79" s="158"/>
      <c r="P79" s="158"/>
      <c r="Q79" s="158"/>
      <c r="R79" s="165"/>
      <c r="S79" s="163"/>
      <c r="T79" s="163"/>
      <c r="U79" s="163"/>
      <c r="V79" s="163"/>
      <c r="W79" s="163"/>
      <c r="X79" s="163"/>
      <c r="Y79" s="163"/>
      <c r="Z79" s="163"/>
      <c r="AA79" s="164"/>
      <c r="AB79" s="158"/>
      <c r="AC79" s="158"/>
      <c r="AD79" s="158"/>
      <c r="AE79" s="158"/>
      <c r="AF79" s="158"/>
      <c r="AG79" s="158"/>
      <c r="AH79" s="158"/>
      <c r="AI79" s="165"/>
      <c r="AJ79" s="163"/>
      <c r="AK79" s="163"/>
      <c r="AL79" s="163"/>
      <c r="AM79" s="163"/>
      <c r="AN79" s="163"/>
      <c r="AO79" s="163"/>
      <c r="AP79" s="163"/>
      <c r="AQ79" s="163"/>
      <c r="AR79" s="164"/>
      <c r="AS79" s="158"/>
      <c r="AT79" s="158"/>
      <c r="AU79" s="158"/>
      <c r="AV79" s="158"/>
      <c r="AW79" s="158"/>
      <c r="AX79" s="158"/>
      <c r="AY79" s="158"/>
      <c r="AZ79" s="166"/>
      <c r="BA79" s="163"/>
      <c r="BB79" s="163"/>
      <c r="BC79" s="163"/>
      <c r="BD79" s="163"/>
      <c r="BE79" s="163"/>
      <c r="BF79" s="163"/>
      <c r="BG79" s="163"/>
      <c r="BH79" s="163"/>
      <c r="BI79" s="164"/>
      <c r="BJ79" s="158"/>
      <c r="BK79" s="158"/>
      <c r="BL79" s="158"/>
      <c r="BM79" s="158"/>
      <c r="BN79" s="158"/>
      <c r="BO79" s="158"/>
      <c r="BP79" s="158"/>
      <c r="BQ79" s="165"/>
      <c r="BR79" s="163"/>
      <c r="BS79" s="163"/>
      <c r="BT79" s="163"/>
      <c r="BU79" s="163"/>
      <c r="BV79" s="163"/>
      <c r="BW79" s="163"/>
      <c r="BX79" s="163"/>
      <c r="BY79" s="163"/>
      <c r="BZ79" s="164"/>
      <c r="CA79" s="158"/>
      <c r="CB79" s="158"/>
      <c r="CC79" s="158"/>
      <c r="CD79" s="158"/>
      <c r="CE79" s="158"/>
      <c r="CF79" s="158"/>
      <c r="CG79" s="158"/>
      <c r="CH79" s="165"/>
      <c r="CI79" s="163"/>
      <c r="CJ79" s="163"/>
      <c r="CK79" s="163"/>
      <c r="CL79" s="163"/>
      <c r="CM79" s="163"/>
      <c r="CN79" s="163"/>
      <c r="CO79" s="163"/>
      <c r="CP79" s="163"/>
      <c r="CQ79" s="164"/>
      <c r="CR79" s="158"/>
      <c r="CS79" s="158"/>
      <c r="CT79" s="158"/>
      <c r="CU79" s="158"/>
      <c r="CV79" s="158"/>
      <c r="CW79" s="158"/>
      <c r="CX79" s="158"/>
      <c r="CY79" s="165"/>
      <c r="CZ79" s="163"/>
      <c r="DA79" s="163"/>
      <c r="DB79" s="163"/>
      <c r="DC79" s="163"/>
      <c r="DD79" s="163"/>
      <c r="DE79" s="163"/>
      <c r="DF79" s="163"/>
      <c r="DG79" s="163"/>
      <c r="DH79" s="164"/>
      <c r="DI79" s="57"/>
      <c r="DJ79" s="57"/>
      <c r="DK79" s="57"/>
      <c r="DL79" s="57"/>
      <c r="DM79" s="57"/>
      <c r="DN79" s="57"/>
      <c r="DO79" s="58"/>
      <c r="DP79" s="57"/>
      <c r="DQ79" s="56"/>
      <c r="DR79" s="56"/>
      <c r="DS79" s="56"/>
      <c r="DT79" s="56"/>
      <c r="DU79" s="56"/>
      <c r="DV79" s="56"/>
      <c r="DW79" s="56"/>
      <c r="DX79" s="56"/>
      <c r="DY79" s="56"/>
    </row>
    <row r="80">
      <c r="A80" s="167" t="s">
        <v>50</v>
      </c>
      <c r="B80" s="168"/>
      <c r="C80" s="168"/>
      <c r="D80" s="169" t="s">
        <v>56</v>
      </c>
      <c r="E80" s="168"/>
      <c r="F80" s="168"/>
      <c r="G80" s="168"/>
      <c r="H80" s="168"/>
      <c r="I80" s="168"/>
      <c r="J80" s="170"/>
      <c r="K80" s="106" t="str">
        <f>Montagem!X96</f>
        <v/>
      </c>
      <c r="L80" s="106">
        <f>MAX(M80,K80)</f>
        <v>3</v>
      </c>
      <c r="M80" s="214">
        <f>LEFT(D80,2)+0</f>
        <v>3</v>
      </c>
      <c r="N80" s="57"/>
      <c r="O80" s="57"/>
      <c r="P80" s="57"/>
      <c r="Q80" s="58"/>
      <c r="R80" s="167" t="s">
        <v>50</v>
      </c>
      <c r="S80" s="168"/>
      <c r="T80" s="168"/>
      <c r="U80" s="169" t="s">
        <v>56</v>
      </c>
      <c r="V80" s="168"/>
      <c r="W80" s="168"/>
      <c r="X80" s="168"/>
      <c r="Y80" s="168"/>
      <c r="Z80" s="168"/>
      <c r="AA80" s="170"/>
      <c r="AB80" s="106" t="str">
        <f>Montagem!AM96</f>
        <v/>
      </c>
      <c r="AC80" s="106">
        <f>MAX(AD80,AB80)</f>
        <v>3</v>
      </c>
      <c r="AD80" s="214">
        <f>LEFT(U80,2)+0</f>
        <v>3</v>
      </c>
      <c r="AE80" s="57"/>
      <c r="AF80" s="57"/>
      <c r="AG80" s="57"/>
      <c r="AH80" s="58"/>
      <c r="AI80" s="167" t="s">
        <v>50</v>
      </c>
      <c r="AJ80" s="168"/>
      <c r="AK80" s="168"/>
      <c r="AL80" s="169" t="s">
        <v>56</v>
      </c>
      <c r="AM80" s="168"/>
      <c r="AN80" s="168"/>
      <c r="AO80" s="168"/>
      <c r="AP80" s="168"/>
      <c r="AQ80" s="168"/>
      <c r="AR80" s="170"/>
      <c r="AS80" s="106" t="str">
        <f>Montagem!BB96</f>
        <v/>
      </c>
      <c r="AT80" s="106">
        <f>MAX(AU80,AS80)</f>
        <v>3</v>
      </c>
      <c r="AU80" s="214">
        <f>LEFT(AL80,2)+0</f>
        <v>3</v>
      </c>
      <c r="AV80" s="57"/>
      <c r="AW80" s="57"/>
      <c r="AX80" s="57"/>
      <c r="AY80" s="58"/>
      <c r="AZ80" s="167" t="s">
        <v>50</v>
      </c>
      <c r="BA80" s="168"/>
      <c r="BB80" s="168"/>
      <c r="BC80" s="169"/>
      <c r="BD80" s="168"/>
      <c r="BE80" s="168"/>
      <c r="BF80" s="168"/>
      <c r="BG80" s="168"/>
      <c r="BH80" s="168"/>
      <c r="BI80" s="170"/>
      <c r="BJ80" s="106" t="str">
        <f>Montagem!BQ96</f>
        <v/>
      </c>
      <c r="BK80" s="106">
        <f>MAX(BL80,BJ80)</f>
        <v>0</v>
      </c>
      <c r="BL80" s="214">
        <f>LEFT(BC80,2)+0</f>
        <v>0</v>
      </c>
      <c r="BM80" s="57"/>
      <c r="BN80" s="57"/>
      <c r="BO80" s="57"/>
      <c r="BP80" s="58"/>
      <c r="BQ80" s="167" t="s">
        <v>50</v>
      </c>
      <c r="BR80" s="168"/>
      <c r="BS80" s="168"/>
      <c r="BT80" s="169"/>
      <c r="BU80" s="168"/>
      <c r="BV80" s="168"/>
      <c r="BW80" s="168"/>
      <c r="BX80" s="168"/>
      <c r="BY80" s="168"/>
      <c r="BZ80" s="170"/>
      <c r="CA80" s="106" t="str">
        <f>Montagem!CF96</f>
        <v/>
      </c>
      <c r="CB80" s="106">
        <f>MAX(CC80,CA80)</f>
        <v>0</v>
      </c>
      <c r="CC80" s="214">
        <f>LEFT(BT80,2)+0</f>
        <v>0</v>
      </c>
      <c r="CD80" s="57"/>
      <c r="CE80" s="57"/>
      <c r="CF80" s="57"/>
      <c r="CG80" s="58"/>
      <c r="CH80" s="167" t="s">
        <v>50</v>
      </c>
      <c r="CI80" s="168"/>
      <c r="CJ80" s="168"/>
      <c r="CK80" s="169"/>
      <c r="CL80" s="168"/>
      <c r="CM80" s="168"/>
      <c r="CN80" s="168"/>
      <c r="CO80" s="168"/>
      <c r="CP80" s="168"/>
      <c r="CQ80" s="170"/>
      <c r="CR80" s="106" t="str">
        <f>Montagem!CU96</f>
        <v/>
      </c>
      <c r="CS80" s="106">
        <f>MAX(CT80,CR80)</f>
        <v>0</v>
      </c>
      <c r="CT80" s="214">
        <f>LEFT(CK80,2)+0</f>
        <v>0</v>
      </c>
      <c r="CU80" s="57"/>
      <c r="CV80" s="57"/>
      <c r="CW80" s="57"/>
      <c r="CX80" s="58"/>
      <c r="CY80" s="167" t="s">
        <v>50</v>
      </c>
      <c r="CZ80" s="168"/>
      <c r="DA80" s="168"/>
      <c r="DB80" s="169"/>
      <c r="DC80" s="168"/>
      <c r="DD80" s="168"/>
      <c r="DE80" s="168"/>
      <c r="DF80" s="168"/>
      <c r="DG80" s="168"/>
      <c r="DH80" s="170"/>
      <c r="DI80" s="106" t="str">
        <f>Montagem!DJ96</f>
        <v/>
      </c>
      <c r="DJ80" s="106">
        <f>MAX(DK80,DI80)</f>
        <v>0</v>
      </c>
      <c r="DK80" s="214">
        <f>LEFT(DB80,2)+0</f>
        <v>0</v>
      </c>
      <c r="DL80" s="57"/>
      <c r="DM80" s="57"/>
      <c r="DN80" s="57"/>
      <c r="DO80" s="58"/>
      <c r="DP80" s="57"/>
      <c r="DQ80" s="56"/>
      <c r="DR80" s="56"/>
      <c r="DS80" s="56"/>
      <c r="DT80" s="56"/>
      <c r="DU80" s="56"/>
      <c r="DV80" s="56"/>
      <c r="DW80" s="56"/>
      <c r="DX80" s="56"/>
      <c r="DY80" s="56"/>
    </row>
    <row r="81">
      <c r="A81" s="171" t="s">
        <v>51</v>
      </c>
      <c r="J81" s="66"/>
      <c r="K81" s="57"/>
      <c r="L81" s="57"/>
      <c r="M81" s="57"/>
      <c r="N81" s="57"/>
      <c r="O81" s="57"/>
      <c r="P81" s="57"/>
      <c r="Q81" s="58"/>
      <c r="R81" s="171" t="s">
        <v>51</v>
      </c>
      <c r="AA81" s="66"/>
      <c r="AB81" s="57"/>
      <c r="AC81" s="57"/>
      <c r="AD81" s="57"/>
      <c r="AE81" s="57"/>
      <c r="AF81" s="57"/>
      <c r="AG81" s="57"/>
      <c r="AH81" s="58"/>
      <c r="AI81" s="171" t="s">
        <v>51</v>
      </c>
      <c r="AR81" s="66"/>
      <c r="AS81" s="57"/>
      <c r="AT81" s="57"/>
      <c r="AU81" s="57"/>
      <c r="AV81" s="57"/>
      <c r="AW81" s="57"/>
      <c r="AX81" s="57"/>
      <c r="AY81" s="58"/>
      <c r="AZ81" s="171" t="s">
        <v>51</v>
      </c>
      <c r="BI81" s="66"/>
      <c r="BJ81" s="57"/>
      <c r="BK81" s="57"/>
      <c r="BL81" s="57"/>
      <c r="BM81" s="57"/>
      <c r="BN81" s="57"/>
      <c r="BO81" s="57"/>
      <c r="BP81" s="58"/>
      <c r="BQ81" s="171" t="s">
        <v>51</v>
      </c>
      <c r="BZ81" s="66"/>
      <c r="CA81" s="57"/>
      <c r="CB81" s="57"/>
      <c r="CC81" s="57"/>
      <c r="CD81" s="57"/>
      <c r="CE81" s="57"/>
      <c r="CF81" s="57"/>
      <c r="CG81" s="58"/>
      <c r="CH81" s="171" t="s">
        <v>51</v>
      </c>
      <c r="CQ81" s="66"/>
      <c r="CR81" s="57"/>
      <c r="CS81" s="57"/>
      <c r="CT81" s="57"/>
      <c r="CU81" s="57"/>
      <c r="CV81" s="57"/>
      <c r="CW81" s="57"/>
      <c r="CX81" s="58"/>
      <c r="CY81" s="171" t="s">
        <v>51</v>
      </c>
      <c r="DH81" s="66"/>
      <c r="DI81" s="57"/>
      <c r="DJ81" s="57"/>
      <c r="DK81" s="57"/>
      <c r="DL81" s="57"/>
      <c r="DM81" s="57"/>
      <c r="DN81" s="57"/>
      <c r="DO81" s="58"/>
      <c r="DP81" s="57"/>
      <c r="DQ81" s="56"/>
      <c r="DR81" s="56"/>
      <c r="DS81" s="56"/>
      <c r="DT81" s="56"/>
      <c r="DU81" s="56"/>
      <c r="DV81" s="56"/>
      <c r="DW81" s="56"/>
      <c r="DX81" s="56"/>
      <c r="DY81" s="56"/>
    </row>
    <row r="82">
      <c r="A82" s="172" t="s">
        <v>52</v>
      </c>
      <c r="B82" s="173"/>
      <c r="C82" s="174" t="s">
        <v>53</v>
      </c>
      <c r="D82" s="173"/>
      <c r="E82" s="174" t="s">
        <v>54</v>
      </c>
      <c r="F82" s="175"/>
      <c r="G82" s="176"/>
      <c r="H82" s="175"/>
      <c r="I82" s="175"/>
      <c r="J82" s="177"/>
      <c r="K82" s="57"/>
      <c r="L82" s="57"/>
      <c r="M82" s="57"/>
      <c r="N82" s="57"/>
      <c r="O82" s="57"/>
      <c r="P82" s="57"/>
      <c r="Q82" s="58"/>
      <c r="R82" s="172" t="s">
        <v>52</v>
      </c>
      <c r="S82" s="178"/>
      <c r="T82" s="174" t="s">
        <v>53</v>
      </c>
      <c r="U82" s="179"/>
      <c r="V82" s="174" t="s">
        <v>54</v>
      </c>
      <c r="W82" s="175"/>
      <c r="X82" s="180"/>
      <c r="Y82" s="175"/>
      <c r="Z82" s="175"/>
      <c r="AA82" s="177"/>
      <c r="AB82" s="57"/>
      <c r="AC82" s="57"/>
      <c r="AD82" s="57"/>
      <c r="AE82" s="57"/>
      <c r="AF82" s="57"/>
      <c r="AG82" s="57"/>
      <c r="AH82" s="58"/>
      <c r="AI82" s="172" t="s">
        <v>52</v>
      </c>
      <c r="AJ82" s="178">
        <v>0.0502662037037037</v>
      </c>
      <c r="AK82" s="174" t="s">
        <v>53</v>
      </c>
      <c r="AL82" s="179">
        <v>15.0</v>
      </c>
      <c r="AM82" s="174" t="s">
        <v>54</v>
      </c>
      <c r="AN82" s="175"/>
      <c r="AO82" s="180">
        <v>150.0</v>
      </c>
      <c r="AP82" s="175"/>
      <c r="AQ82" s="175"/>
      <c r="AR82" s="177"/>
      <c r="AS82" s="57"/>
      <c r="AT82" s="57"/>
      <c r="AU82" s="57"/>
      <c r="AV82" s="57"/>
      <c r="AW82" s="57"/>
      <c r="AX82" s="57"/>
      <c r="AY82" s="58"/>
      <c r="AZ82" s="172" t="s">
        <v>52</v>
      </c>
      <c r="BA82" s="181"/>
      <c r="BB82" s="174" t="s">
        <v>53</v>
      </c>
      <c r="BC82" s="181"/>
      <c r="BD82" s="174" t="s">
        <v>54</v>
      </c>
      <c r="BE82" s="175"/>
      <c r="BF82" s="182"/>
      <c r="BG82" s="175"/>
      <c r="BH82" s="175"/>
      <c r="BI82" s="177"/>
      <c r="BJ82" s="57"/>
      <c r="BK82" s="57"/>
      <c r="BL82" s="57"/>
      <c r="BM82" s="57"/>
      <c r="BN82" s="57"/>
      <c r="BO82" s="57"/>
      <c r="BP82" s="58"/>
      <c r="BQ82" s="172" t="s">
        <v>52</v>
      </c>
      <c r="BR82" s="181"/>
      <c r="BS82" s="174" t="s">
        <v>53</v>
      </c>
      <c r="BT82" s="181"/>
      <c r="BU82" s="174" t="s">
        <v>54</v>
      </c>
      <c r="BV82" s="175"/>
      <c r="BW82" s="182"/>
      <c r="BX82" s="175"/>
      <c r="BY82" s="175"/>
      <c r="BZ82" s="177"/>
      <c r="CA82" s="57"/>
      <c r="CB82" s="57"/>
      <c r="CC82" s="57"/>
      <c r="CD82" s="57"/>
      <c r="CE82" s="57"/>
      <c r="CF82" s="57"/>
      <c r="CG82" s="58"/>
      <c r="CH82" s="172" t="s">
        <v>52</v>
      </c>
      <c r="CI82" s="178"/>
      <c r="CJ82" s="174" t="s">
        <v>53</v>
      </c>
      <c r="CK82" s="179"/>
      <c r="CL82" s="174" t="s">
        <v>54</v>
      </c>
      <c r="CM82" s="175"/>
      <c r="CN82" s="180"/>
      <c r="CO82" s="175"/>
      <c r="CP82" s="175"/>
      <c r="CQ82" s="177"/>
      <c r="CR82" s="57"/>
      <c r="CS82" s="57"/>
      <c r="CT82" s="57"/>
      <c r="CU82" s="57"/>
      <c r="CV82" s="57"/>
      <c r="CW82" s="57"/>
      <c r="CX82" s="58"/>
      <c r="CY82" s="172" t="s">
        <v>52</v>
      </c>
      <c r="CZ82" s="181"/>
      <c r="DA82" s="174" t="s">
        <v>53</v>
      </c>
      <c r="DB82" s="181"/>
      <c r="DC82" s="174" t="s">
        <v>54</v>
      </c>
      <c r="DD82" s="175"/>
      <c r="DE82" s="182"/>
      <c r="DF82" s="175"/>
      <c r="DG82" s="175"/>
      <c r="DH82" s="177"/>
      <c r="DI82" s="57"/>
      <c r="DJ82" s="57"/>
      <c r="DK82" s="57"/>
      <c r="DL82" s="57"/>
      <c r="DM82" s="57"/>
      <c r="DN82" s="57"/>
      <c r="DO82" s="58"/>
      <c r="DP82" s="57"/>
      <c r="DQ82" s="56"/>
      <c r="DR82" s="56"/>
      <c r="DS82" s="56"/>
      <c r="DT82" s="56"/>
      <c r="DU82" s="56"/>
      <c r="DV82" s="56"/>
      <c r="DW82" s="56"/>
      <c r="DX82" s="56"/>
      <c r="DY82" s="56"/>
    </row>
    <row r="83">
      <c r="A83" s="189" t="str">
        <f>IF(L80=0,"","Você conseguiu! Foram levantadas ")</f>
        <v>Você conseguiu! Foram levantadas </v>
      </c>
      <c r="E83" s="184">
        <f>IF(L80=0,"",SUM(E16*F16*P16,E18*F18*P18,E20*F20*P20,E22*F22*P22,E26*F26*P26,E28*F28*P28,E30*F30*P30,E32*F32*P32,E34*F34*P34,E36*F36*P36,E38*F38*P38,E40*F40*P40,E42*F42*P42,E44*F44*P44,E46*F46*P46,E48*F48*P48,E50*F50*P50,E52*F52*P52,E54*F54*P54,E56*F56*P56,E58*F58*P58,E60*F60*P60,E62*F62*P62,E64*F64*P64,E68*F68*P68,E70*F70*P70,E72*F72*P72)/1000)</f>
        <v>8.263</v>
      </c>
      <c r="G83" s="185" t="str">
        <f>IF(L80=0,"","toneladas")</f>
        <v>toneladas</v>
      </c>
      <c r="J83" s="66"/>
      <c r="K83" s="186"/>
      <c r="L83" s="187"/>
      <c r="M83" s="187"/>
      <c r="N83" s="187"/>
      <c r="O83" s="187"/>
      <c r="P83" s="187"/>
      <c r="Q83" s="188"/>
      <c r="R83" s="189" t="str">
        <f>IF(AC80=0,"","Você conseguiu! Foram levantadas ")</f>
        <v>Você conseguiu! Foram levantadas </v>
      </c>
      <c r="V83" s="184">
        <f>IF(AC80=0,"",SUM(V16*W16*AG16,V18*W18*AG18,V20*W20*AG20,V22*W22*AG22,V26*W26*AG26,V28*W28*AG28,V30*W30*AG30,V32*W32*AG32,V34*W34*AG34,V36*W36*AG36,V38*W38*AG38,V40*W40*AG40,V42*W42*AG42,V44*W44*AG44,V46*W46*AG46,V48*W48*AG48,V50*W50*AG50,V52*W52*AG52,V54*W54*AG54,V56*W56*AG56,V58*W58*AG58,V60*W60*AG60,V62*W62*AG62,V64*W64*AG64,V68*W68*AG68,V70*W70*AG70,V72*W72*AG72)/1000)</f>
        <v>29.2935</v>
      </c>
      <c r="X83" s="185" t="str">
        <f>IF(AC80=0,"","toneladas")</f>
        <v>toneladas</v>
      </c>
      <c r="AA83" s="66"/>
      <c r="AB83" s="186"/>
      <c r="AC83" s="187"/>
      <c r="AD83" s="187"/>
      <c r="AE83" s="187"/>
      <c r="AF83" s="187"/>
      <c r="AG83" s="187"/>
      <c r="AH83" s="188"/>
      <c r="AI83" s="189" t="str">
        <f>IF(AT80=0,"","Você conseguiu! Foram levantadas ")</f>
        <v>Você conseguiu! Foram levantadas </v>
      </c>
      <c r="AM83" s="184">
        <f>IF(AT80=0,"",SUM(AM16*AN16*AX16,AM18*AN18*AX18,AM20*AN20*AX20,AM22*AN22*AX22,AM26*AN26*AX26,AM28*AN28*AX28,AM30*AN30*AX30,AM32*AN32*AX32,AM34*AN34*AX34,AM36*AN36*AX36,AM38*AN38*AX38,AM40*AN40*AX40,AM42*AN42*AX42,AM44*AN44*AX44,AM46*AN46*AX46,AM48*AN48*AX48,AM50*AN50*AX50,AM52*AN52*AX52,AM54*AN54*AX54,AM56*AN56*AX56,AM58*AN58*AX58,AM60*AN60*AX60,AM62*AN62*AX62,AM64*AN64*AX64,AM68*AN68*AX68,AM70*AN70*AX70,AM72*AN72*AX72)/1000)</f>
        <v>0.567</v>
      </c>
      <c r="AO83" s="185" t="str">
        <f>IF(AT80=0,"","toneladas")</f>
        <v>toneladas</v>
      </c>
      <c r="AR83" s="66"/>
      <c r="AS83" s="186"/>
      <c r="AT83" s="187"/>
      <c r="AU83" s="187"/>
      <c r="AV83" s="187"/>
      <c r="AW83" s="187"/>
      <c r="AX83" s="187"/>
      <c r="AY83" s="188"/>
      <c r="AZ83" s="189" t="str">
        <f>IF(BK80=0,"","Você conseguiu! Foram levantadas ")</f>
        <v/>
      </c>
      <c r="BD83" s="184" t="str">
        <f>IF(BK80=0,"",SUM(BD16*BE16*BO16,BD18*BE18*BO18,BD20*BE20*BO20,BD22*BE22*BO22,BD26*BE26*BO26,BD28*BE28*BO28,BD30*BE30*BO30,BD32*BE32*BO32,BD34*BE34*BO34,BD36*BE36*BO36,BD38*BE38*BO38,BD40*BE40*BO40,BD42*BE42*BO42,BD44*BE44*BO44,BD46*BE46*BO46,BD48*BE48*BO48,BD50*BE50*BO50,BD52*BE52*BO52,BD54*BE54*BO54,BD56*BE56*BO56,BD58*BE58*BO58,BD60*BE60*BO60,BD62*BE62*BO62,BD64*BE64*BO64,BD68*BE68*BO68,BD70*BE70*BO70,BD72*BE72*BO72)/1000)</f>
        <v/>
      </c>
      <c r="BF83" s="185" t="str">
        <f>IF(BK80=0,"","toneladas")</f>
        <v/>
      </c>
      <c r="BI83" s="66"/>
      <c r="BJ83" s="186"/>
      <c r="BK83" s="187"/>
      <c r="BL83" s="187"/>
      <c r="BM83" s="187"/>
      <c r="BN83" s="187"/>
      <c r="BO83" s="187"/>
      <c r="BP83" s="188"/>
      <c r="BQ83" s="189" t="str">
        <f>IF(CB80=0,"","Você conseguiu! Foram levantadas ")</f>
        <v/>
      </c>
      <c r="BU83" s="184" t="str">
        <f>IF(CB80=0,"",SUM(BU16*BV16*CF16,BU18*BV18*CF18,BU20*BV20*CF20,BU22*BV22*CF22,BU26*BV26*CF26,BU28*BV28*CF28,BU30*BV30*CF30,BU32*BV32*CF32,BU34*BV34*CF34,BU36*BV36*CF36,BU38*BV38*CF38,BU40*BV40*CF40,BU42*BV42*CF42,BU44*BV44*CF44,BU46*BV46*CF46,BU48*BV48*CF48,BU50*BV50*CF50,BU52*BV52*CF52,BU54*BV54*CF54,BU56*BV56*CF56,BU58*BV58*CF58,BU60*BV60*CF60,BU62*BV62*CF62,BU64*BV64*CF64,BU68*BV68*CF68,BU70*BV70*CF70,BU72*BV72*CF72)/1000)</f>
        <v/>
      </c>
      <c r="BW83" s="185" t="str">
        <f>IF(CB80=0,"","toneladas")</f>
        <v/>
      </c>
      <c r="BZ83" s="66"/>
      <c r="CA83" s="186"/>
      <c r="CB83" s="187"/>
      <c r="CC83" s="187"/>
      <c r="CD83" s="187"/>
      <c r="CE83" s="187"/>
      <c r="CF83" s="187"/>
      <c r="CG83" s="188"/>
      <c r="CH83" s="189" t="str">
        <f>IF(CS80=0,"","Você conseguiu! Foram levantadas ")</f>
        <v/>
      </c>
      <c r="CL83" s="184" t="str">
        <f>IF(CS80=0,"",SUM(CL16*CM16*CW16,CL18*CM18*CW18,CL20*CM20*CW20,CL22*CM22*CW22,CL26*CM26*CW26,CL28*CM28*CW28,CL30*CM30*CW30,CL32*CM32*CW32,CL34*CM34*CW34,CL36*CM36*CW36,CL38*CM38*CW38,CL40*CM40*CW40,CL42*CM42*CW42,CL44*CM44*CW44,CL46*CM46*CW46,CL48*CM48*CW48,CL50*CM50*CW50,CL52*CM52*CW52,CL54*CM54*CW54,CL56*CM56*CW56,CL58*CM58*CW58,CL60*CM60*CW60,CL62*CM62*CW62,CL64*CM64*CW64,CL68*CM68*CW68,CL70*CM70*CW70,CL72*CM72*CW72)/1000)</f>
        <v/>
      </c>
      <c r="CN83" s="185" t="str">
        <f>IF(CS80=0,"","toneladas")</f>
        <v/>
      </c>
      <c r="CQ83" s="66"/>
      <c r="CR83" s="186"/>
      <c r="CS83" s="187"/>
      <c r="CT83" s="187"/>
      <c r="CU83" s="187"/>
      <c r="CV83" s="187"/>
      <c r="CW83" s="187"/>
      <c r="CX83" s="188"/>
      <c r="CY83" s="189" t="str">
        <f>IF(DJ80=0,"","Você conseguiu! Foram levantadas ")</f>
        <v/>
      </c>
      <c r="DC83" s="184" t="str">
        <f>IF(DJ80=0,"",SUM(DC16*DD16*DN16,DC18*DD18*DN18,DC20*DD20*DN20,DC22*DD22*DN22,DC26*DD26*DN26,DC28*DD28*DN28,DC30*DD30*DN30,DC32*DD32*DN32,DC34*DD34*DN34,DC36*DD36*DN36,DC38*DD38*DN38,DC40*DD40*DN40,DC42*DD42*DN42,DC44*DD44*DN44,DC46*DD46*DN46,DC48*DD48*DN48,DC50*DD50*DN50,DC52*DD52*DN52,DC54*DD54*DN54,DC56*DD56*DN56,DC58*DD58*DN58,DC60*DD60*DN60,DC62*DD62*DN62,DC64*DD64*DN64,DC68*DD68*DN68,DC70*DD70*DN70,DC72*DD72*DN72)/1000)</f>
        <v/>
      </c>
      <c r="DE83" s="185" t="str">
        <f>IF(DJ80=0,"","toneladas")</f>
        <v/>
      </c>
      <c r="DH83" s="66"/>
      <c r="DI83" s="186"/>
      <c r="DJ83" s="187"/>
      <c r="DK83" s="187"/>
      <c r="DL83" s="187"/>
      <c r="DM83" s="187"/>
      <c r="DN83" s="187"/>
      <c r="DO83" s="188"/>
      <c r="DP83" s="186"/>
      <c r="DQ83" s="186"/>
      <c r="DR83" s="186"/>
      <c r="DS83" s="186"/>
      <c r="DT83" s="186"/>
      <c r="DU83" s="186"/>
      <c r="DV83" s="186"/>
      <c r="DW83" s="186"/>
      <c r="DX83" s="186"/>
      <c r="DY83" s="186"/>
    </row>
    <row r="84">
      <c r="A84" s="193" t="str">
        <f>IF(L80=0,"","nesta sessão!")</f>
        <v>nesta sessão!</v>
      </c>
      <c r="C84" s="57"/>
      <c r="D84" s="57"/>
      <c r="E84" s="137"/>
      <c r="F84" s="137"/>
      <c r="G84" s="137"/>
      <c r="H84" s="57"/>
      <c r="I84" s="57"/>
      <c r="J84" s="191"/>
      <c r="K84" s="57"/>
      <c r="L84" s="192"/>
      <c r="M84" s="192"/>
      <c r="N84" s="192"/>
      <c r="O84" s="192"/>
      <c r="P84" s="192"/>
      <c r="Q84" s="58"/>
      <c r="R84" s="193" t="str">
        <f>IF(AC80=0,"","nesta sessão!")</f>
        <v>nesta sessão!</v>
      </c>
      <c r="T84" s="57"/>
      <c r="U84" s="57"/>
      <c r="V84" s="137"/>
      <c r="W84" s="137"/>
      <c r="X84" s="137"/>
      <c r="Y84" s="57"/>
      <c r="Z84" s="57"/>
      <c r="AA84" s="191"/>
      <c r="AB84" s="57"/>
      <c r="AC84" s="192"/>
      <c r="AD84" s="192"/>
      <c r="AE84" s="192"/>
      <c r="AF84" s="192"/>
      <c r="AG84" s="192"/>
      <c r="AH84" s="58"/>
      <c r="AI84" s="193" t="str">
        <f>IF(AT80=0,"","nesta sessão!")</f>
        <v>nesta sessão!</v>
      </c>
      <c r="AK84" s="57"/>
      <c r="AL84" s="57"/>
      <c r="AM84" s="137"/>
      <c r="AN84" s="137"/>
      <c r="AO84" s="137"/>
      <c r="AP84" s="57"/>
      <c r="AQ84" s="57"/>
      <c r="AR84" s="191"/>
      <c r="AS84" s="57"/>
      <c r="AT84" s="192"/>
      <c r="AU84" s="192"/>
      <c r="AV84" s="192"/>
      <c r="AW84" s="192"/>
      <c r="AX84" s="192"/>
      <c r="AY84" s="58"/>
      <c r="AZ84" s="193" t="str">
        <f>IF(BK80=0,"","nesta sessão!")</f>
        <v/>
      </c>
      <c r="BB84" s="57"/>
      <c r="BC84" s="57"/>
      <c r="BD84" s="137"/>
      <c r="BE84" s="137"/>
      <c r="BF84" s="137"/>
      <c r="BG84" s="57"/>
      <c r="BH84" s="57"/>
      <c r="BI84" s="191"/>
      <c r="BJ84" s="57"/>
      <c r="BK84" s="192"/>
      <c r="BL84" s="192"/>
      <c r="BM84" s="192"/>
      <c r="BN84" s="192"/>
      <c r="BO84" s="192"/>
      <c r="BP84" s="58"/>
      <c r="BQ84" s="193" t="str">
        <f>IF(CB80=0,"","nesta sessão!")</f>
        <v/>
      </c>
      <c r="BS84" s="57"/>
      <c r="BT84" s="57"/>
      <c r="BU84" s="137"/>
      <c r="BV84" s="137"/>
      <c r="BW84" s="137"/>
      <c r="BX84" s="57"/>
      <c r="BY84" s="57"/>
      <c r="BZ84" s="191"/>
      <c r="CA84" s="57"/>
      <c r="CB84" s="192"/>
      <c r="CC84" s="192"/>
      <c r="CD84" s="192"/>
      <c r="CE84" s="192"/>
      <c r="CF84" s="192"/>
      <c r="CG84" s="58"/>
      <c r="CH84" s="193" t="str">
        <f>IF(CS80=0,"","nesta sessão!")</f>
        <v/>
      </c>
      <c r="CJ84" s="57"/>
      <c r="CK84" s="57"/>
      <c r="CL84" s="137"/>
      <c r="CM84" s="137"/>
      <c r="CN84" s="137"/>
      <c r="CO84" s="57"/>
      <c r="CP84" s="57"/>
      <c r="CQ84" s="191"/>
      <c r="CR84" s="57"/>
      <c r="CS84" s="192"/>
      <c r="CT84" s="192"/>
      <c r="CU84" s="192"/>
      <c r="CV84" s="192"/>
      <c r="CW84" s="192"/>
      <c r="CX84" s="58"/>
      <c r="CY84" s="193" t="str">
        <f>IF(DJ80=0,"","nesta sessão!")</f>
        <v/>
      </c>
      <c r="DA84" s="57"/>
      <c r="DB84" s="57"/>
      <c r="DC84" s="137"/>
      <c r="DD84" s="137"/>
      <c r="DE84" s="137"/>
      <c r="DF84" s="57"/>
      <c r="DG84" s="57"/>
      <c r="DH84" s="191"/>
      <c r="DI84" s="57"/>
      <c r="DJ84" s="192"/>
      <c r="DK84" s="192"/>
      <c r="DL84" s="192"/>
      <c r="DM84" s="192"/>
      <c r="DN84" s="192"/>
      <c r="DO84" s="58"/>
      <c r="DP84" s="57"/>
      <c r="DQ84" s="56"/>
      <c r="DR84" s="56"/>
      <c r="DS84" s="56"/>
      <c r="DT84" s="56"/>
      <c r="DU84" s="56"/>
      <c r="DV84" s="56"/>
      <c r="DW84" s="56"/>
      <c r="DX84" s="56"/>
      <c r="DY84" s="56"/>
    </row>
    <row r="85">
      <c r="A85" s="197" t="str">
        <f>IF(L80=0,"","Seu progresso semanal:")</f>
        <v>Seu progresso semanal:</v>
      </c>
      <c r="D85" s="195" t="str">
        <f>IFS(K3=0,"Missão cumprida! Parabéns!!!",K3=1,"Falta pouco, Você consegue!",TRUE,"Muito bem! Continue assim!")</f>
        <v>Muito bem! Continue assim!</v>
      </c>
      <c r="J85" s="66"/>
      <c r="K85" s="57"/>
      <c r="L85" s="192"/>
      <c r="M85" s="192"/>
      <c r="N85" s="196"/>
      <c r="O85" s="196"/>
      <c r="P85" s="196"/>
      <c r="Q85" s="58"/>
      <c r="R85" s="197" t="str">
        <f>IF(AC80=0,"","Seu progresso semanal:")</f>
        <v>Seu progresso semanal:</v>
      </c>
      <c r="U85" s="195" t="str">
        <f>IFS(AB3=0,"Missão cumprida! Parabéns!!!",AB3=1,"Falta pouco, Você consegue!",TRUE,"Muito bem! Continue assim!")</f>
        <v>Missão cumprida! Parabéns!!!</v>
      </c>
      <c r="AA85" s="66"/>
      <c r="AB85" s="57"/>
      <c r="AC85" s="192"/>
      <c r="AD85" s="192"/>
      <c r="AE85" s="196"/>
      <c r="AF85" s="196"/>
      <c r="AG85" s="196"/>
      <c r="AH85" s="58"/>
      <c r="AI85" s="197" t="str">
        <f>IF(AT80=0,"","Seu progresso semanal:")</f>
        <v>Seu progresso semanal:</v>
      </c>
      <c r="AL85" s="195" t="str">
        <f>IFS(AS3=0,"Missão cumprida! Parabéns!!!",AS3=1,"Falta pouco, Você consegue!",TRUE,"Muito bem! Continue assim!")</f>
        <v>Missão cumprida! Parabéns!!!</v>
      </c>
      <c r="AR85" s="66"/>
      <c r="AS85" s="57"/>
      <c r="AT85" s="192"/>
      <c r="AU85" s="192"/>
      <c r="AV85" s="196"/>
      <c r="AW85" s="196"/>
      <c r="AX85" s="196"/>
      <c r="AY85" s="58"/>
      <c r="AZ85" s="197" t="str">
        <f>IF(BK80=0,"","Seu progresso semanal:")</f>
        <v/>
      </c>
      <c r="BC85" s="195" t="str">
        <f>IFS(BJ3=0,"Missão cumprida! Parabéns!!!",BJ3=1,"Falta pouco, Você consegue!",TRUE,"Muito bem! Continue assim!")</f>
        <v>Missão cumprida! Parabéns!!!</v>
      </c>
      <c r="BI85" s="66"/>
      <c r="BJ85" s="57"/>
      <c r="BK85" s="192"/>
      <c r="BL85" s="192"/>
      <c r="BM85" s="196"/>
      <c r="BN85" s="196"/>
      <c r="BO85" s="196"/>
      <c r="BP85" s="58"/>
      <c r="BQ85" s="197" t="str">
        <f>IF(CB80=0,"","Seu progresso semanal:")</f>
        <v/>
      </c>
      <c r="BT85" s="195" t="str">
        <f>IFS(CA3=0,"Missão cumprida! Parabéns!!!",CA3=1,"Falta pouco, Você consegue!",TRUE,"Muito bem! Continue assim!")</f>
        <v>Missão cumprida! Parabéns!!!</v>
      </c>
      <c r="BZ85" s="66"/>
      <c r="CA85" s="57"/>
      <c r="CB85" s="192"/>
      <c r="CC85" s="192"/>
      <c r="CD85" s="196"/>
      <c r="CE85" s="196"/>
      <c r="CF85" s="196"/>
      <c r="CG85" s="58"/>
      <c r="CH85" s="197" t="str">
        <f>IF(CS80=0,"","Seu progresso semanal:")</f>
        <v/>
      </c>
      <c r="CK85" s="195" t="str">
        <f>IFS(CR3=0,"Missão cumprida! Parabéns!!!",CR3=1,"Falta pouco, Você consegue!",TRUE,"Muito bem! Continue assim!")</f>
        <v>Missão cumprida! Parabéns!!!</v>
      </c>
      <c r="CQ85" s="66"/>
      <c r="CR85" s="57"/>
      <c r="CS85" s="192"/>
      <c r="CT85" s="192"/>
      <c r="CU85" s="196"/>
      <c r="CV85" s="196"/>
      <c r="CW85" s="196"/>
      <c r="CX85" s="58"/>
      <c r="CY85" s="197" t="str">
        <f>IF(DJ80=0,"","Seu progresso semanal:")</f>
        <v/>
      </c>
      <c r="DB85" s="195" t="str">
        <f>IFS(DI3=0,"Missão cumprida! Parabéns!!!",DI3=1,"Falta pouco, Você consegue!",TRUE,"Muito bem! Continue assim!")</f>
        <v>Missão cumprida! Parabéns!!!</v>
      </c>
      <c r="DH85" s="66"/>
      <c r="DI85" s="57"/>
      <c r="DJ85" s="192"/>
      <c r="DK85" s="192"/>
      <c r="DL85" s="196"/>
      <c r="DM85" s="196"/>
      <c r="DN85" s="196"/>
      <c r="DO85" s="58"/>
      <c r="DP85" s="57"/>
      <c r="DQ85" s="56"/>
      <c r="DR85" s="56"/>
      <c r="DS85" s="56"/>
      <c r="DT85" s="56"/>
      <c r="DU85" s="56"/>
      <c r="DV85" s="56"/>
      <c r="DW85" s="56"/>
      <c r="DX85" s="56"/>
      <c r="DY85" s="56"/>
    </row>
    <row r="86">
      <c r="A86" s="198"/>
      <c r="B86" s="149"/>
      <c r="C86" s="149"/>
      <c r="D86" s="57"/>
      <c r="E86" s="137"/>
      <c r="G86" s="137"/>
      <c r="J86" s="191"/>
      <c r="K86" s="57"/>
      <c r="L86" s="196"/>
      <c r="M86" s="196"/>
      <c r="N86" s="196"/>
      <c r="O86" s="196"/>
      <c r="P86" s="196"/>
      <c r="Q86" s="58"/>
      <c r="R86" s="198"/>
      <c r="S86" s="149"/>
      <c r="T86" s="149"/>
      <c r="U86" s="57"/>
      <c r="V86" s="137"/>
      <c r="X86" s="137"/>
      <c r="AA86" s="191"/>
      <c r="AB86" s="57"/>
      <c r="AC86" s="196"/>
      <c r="AD86" s="196"/>
      <c r="AE86" s="196"/>
      <c r="AF86" s="196"/>
      <c r="AG86" s="196"/>
      <c r="AH86" s="58"/>
      <c r="AI86" s="198"/>
      <c r="AJ86" s="149"/>
      <c r="AK86" s="149"/>
      <c r="AL86" s="57"/>
      <c r="AM86" s="137"/>
      <c r="AO86" s="137"/>
      <c r="AR86" s="191"/>
      <c r="AS86" s="57"/>
      <c r="AT86" s="196"/>
      <c r="AU86" s="196"/>
      <c r="AV86" s="196"/>
      <c r="AW86" s="196"/>
      <c r="AX86" s="196"/>
      <c r="AY86" s="58"/>
      <c r="AZ86" s="198"/>
      <c r="BA86" s="149"/>
      <c r="BB86" s="149"/>
      <c r="BC86" s="57"/>
      <c r="BD86" s="137"/>
      <c r="BF86" s="137"/>
      <c r="BI86" s="191"/>
      <c r="BJ86" s="57"/>
      <c r="BK86" s="196"/>
      <c r="BL86" s="196"/>
      <c r="BM86" s="196"/>
      <c r="BN86" s="196"/>
      <c r="BO86" s="196"/>
      <c r="BP86" s="58"/>
      <c r="BQ86" s="198"/>
      <c r="BR86" s="149"/>
      <c r="BS86" s="149"/>
      <c r="BT86" s="57"/>
      <c r="BU86" s="137"/>
      <c r="BW86" s="137"/>
      <c r="BZ86" s="191"/>
      <c r="CA86" s="57"/>
      <c r="CB86" s="196"/>
      <c r="CC86" s="196"/>
      <c r="CD86" s="196"/>
      <c r="CE86" s="196"/>
      <c r="CF86" s="196"/>
      <c r="CG86" s="58"/>
      <c r="CH86" s="198"/>
      <c r="CI86" s="149"/>
      <c r="CJ86" s="149"/>
      <c r="CK86" s="57"/>
      <c r="CL86" s="137"/>
      <c r="CN86" s="137"/>
      <c r="CQ86" s="191"/>
      <c r="CR86" s="57"/>
      <c r="CS86" s="196"/>
      <c r="CT86" s="196"/>
      <c r="CU86" s="196"/>
      <c r="CV86" s="196"/>
      <c r="CW86" s="196"/>
      <c r="CX86" s="58"/>
      <c r="CY86" s="198"/>
      <c r="CZ86" s="149"/>
      <c r="DA86" s="149"/>
      <c r="DB86" s="57"/>
      <c r="DC86" s="137"/>
      <c r="DE86" s="137"/>
      <c r="DH86" s="191"/>
      <c r="DI86" s="57"/>
      <c r="DJ86" s="196"/>
      <c r="DK86" s="196"/>
      <c r="DL86" s="196"/>
      <c r="DM86" s="196"/>
      <c r="DN86" s="196"/>
      <c r="DO86" s="58"/>
      <c r="DP86" s="57"/>
      <c r="DQ86" s="56"/>
      <c r="DR86" s="56"/>
      <c r="DS86" s="56"/>
      <c r="DT86" s="56"/>
      <c r="DU86" s="56"/>
      <c r="DV86" s="56"/>
      <c r="DW86" s="56"/>
      <c r="DX86" s="56"/>
      <c r="DY86" s="56"/>
    </row>
    <row r="87">
      <c r="A87" s="199" t="str">
        <f>IF(L80=0,"",$DQ$18&amp;" de "&amp;J2)</f>
        <v>3 de 6</v>
      </c>
      <c r="B87" s="200" t="str">
        <f>IF($J$2=2,$DQ$18/$J$2,"")</f>
        <v/>
      </c>
      <c r="C87" s="200" t="str">
        <f>IF($J$2=3,$DQ$18/$J$2,"")</f>
        <v/>
      </c>
      <c r="D87" s="200" t="str">
        <f>IF($J$2=4,$DQ$18/$J$2,"")</f>
        <v/>
      </c>
      <c r="E87" s="200" t="str">
        <f>IF($J$2=5,$DQ$18/$J$2,"")</f>
        <v/>
      </c>
      <c r="G87" s="200">
        <f>IF($J$2=6,$DQ$18/$J$2,"")</f>
        <v>0.5</v>
      </c>
      <c r="J87" s="202" t="str">
        <f>IF($J$2=7,$DQ$18/$J$2,"")</f>
        <v/>
      </c>
      <c r="K87" s="57"/>
      <c r="L87" s="196"/>
      <c r="M87" s="196"/>
      <c r="N87" s="196"/>
      <c r="O87" s="196"/>
      <c r="P87" s="196"/>
      <c r="Q87" s="58"/>
      <c r="R87" s="199" t="str">
        <f>IF(AC80=0,"",$DQ$18&amp;" de "&amp;AA2)</f>
        <v>3 de 6</v>
      </c>
      <c r="S87" s="200" t="str">
        <f>IF($J$2=2,$DQ$18/$J$2,"")</f>
        <v/>
      </c>
      <c r="T87" s="200" t="str">
        <f>IF($J$2=3,$DQ$18/$J$2,"")</f>
        <v/>
      </c>
      <c r="U87" s="200" t="str">
        <f>IF($J$2=4,$DQ$18/$J$2,"")</f>
        <v/>
      </c>
      <c r="V87" s="200" t="str">
        <f>IF($J$2=5,$DQ$18/$J$2,"")</f>
        <v/>
      </c>
      <c r="X87" s="200">
        <f>IF($J$2=6,$DQ$18/$J$2,"")</f>
        <v>0.5</v>
      </c>
      <c r="AA87" s="202" t="str">
        <f>IF($J$2=7,$DQ$18/$J$2,"")</f>
        <v/>
      </c>
      <c r="AB87" s="57"/>
      <c r="AC87" s="196"/>
      <c r="AD87" s="196"/>
      <c r="AE87" s="196"/>
      <c r="AF87" s="196"/>
      <c r="AG87" s="196"/>
      <c r="AH87" s="58"/>
      <c r="AI87" s="199" t="str">
        <f>IF(AT80=0,"",$DQ$18&amp;" de "&amp;AR2)</f>
        <v>3 de 6</v>
      </c>
      <c r="AJ87" s="200" t="str">
        <f>IF($J$2=2,$DQ$18/$J$2,"")</f>
        <v/>
      </c>
      <c r="AK87" s="200" t="str">
        <f>IF($J$2=3,$DQ$18/$J$2,"")</f>
        <v/>
      </c>
      <c r="AL87" s="200" t="str">
        <f>IF($J$2=4,$DQ$18/$J$2,"")</f>
        <v/>
      </c>
      <c r="AM87" s="200" t="str">
        <f>IF($J$2=5,$DQ$18/$J$2,"")</f>
        <v/>
      </c>
      <c r="AO87" s="200">
        <f>IF($J$2=6,$DQ$18/$J$2,"")</f>
        <v>0.5</v>
      </c>
      <c r="AR87" s="202" t="str">
        <f>IF($J$2=7,$DQ$18/$J$2,"")</f>
        <v/>
      </c>
      <c r="AS87" s="57"/>
      <c r="AT87" s="196"/>
      <c r="AU87" s="196"/>
      <c r="AV87" s="196"/>
      <c r="AW87" s="196"/>
      <c r="AX87" s="196"/>
      <c r="AY87" s="58"/>
      <c r="AZ87" s="199" t="str">
        <f>IF(BK80=0,"",$DQ$18&amp;" de "&amp;BI2)</f>
        <v/>
      </c>
      <c r="BA87" s="200" t="str">
        <f>IF($J$2=2,$DQ$18/$J$2,"")</f>
        <v/>
      </c>
      <c r="BB87" s="200" t="str">
        <f>IF($J$2=3,$DQ$18/$J$2,"")</f>
        <v/>
      </c>
      <c r="BC87" s="200" t="str">
        <f>IF($J$2=4,$DQ$18/$J$2,"")</f>
        <v/>
      </c>
      <c r="BD87" s="200" t="str">
        <f>IF($J$2=5,$DQ$18/$J$2,"")</f>
        <v/>
      </c>
      <c r="BF87" s="200">
        <f>IF($J$2=6,$DQ$18/$J$2,"")</f>
        <v>0.5</v>
      </c>
      <c r="BI87" s="202" t="str">
        <f>IF($J$2=7,$DQ$18/$J$2,"")</f>
        <v/>
      </c>
      <c r="BJ87" s="57"/>
      <c r="BK87" s="196"/>
      <c r="BL87" s="196"/>
      <c r="BM87" s="196"/>
      <c r="BN87" s="196"/>
      <c r="BO87" s="196"/>
      <c r="BP87" s="58"/>
      <c r="BQ87" s="199" t="str">
        <f>IF(CB80=0,"",$DQ$18&amp;" de "&amp;BZ2)</f>
        <v/>
      </c>
      <c r="BR87" s="200" t="str">
        <f>IF($J$2=2,$DQ$18/$J$2,"")</f>
        <v/>
      </c>
      <c r="BS87" s="200" t="str">
        <f>IF($J$2=3,$DQ$18/$J$2,"")</f>
        <v/>
      </c>
      <c r="BT87" s="200" t="str">
        <f>IF($J$2=4,$DQ$18/$J$2,"")</f>
        <v/>
      </c>
      <c r="BU87" s="200" t="str">
        <f>IF($J$2=5,$DQ$18/$J$2,"")</f>
        <v/>
      </c>
      <c r="BW87" s="200">
        <f>IF($J$2=6,$DQ$18/$J$2,"")</f>
        <v>0.5</v>
      </c>
      <c r="BZ87" s="202" t="str">
        <f>IF($J$2=7,$DQ$18/$J$2,"")</f>
        <v/>
      </c>
      <c r="CA87" s="57"/>
      <c r="CB87" s="196"/>
      <c r="CC87" s="196"/>
      <c r="CD87" s="196"/>
      <c r="CE87" s="196"/>
      <c r="CF87" s="196"/>
      <c r="CG87" s="58"/>
      <c r="CH87" s="199" t="str">
        <f>IF(CS80=0,"",$DQ$18&amp;" de "&amp;CQ2)</f>
        <v/>
      </c>
      <c r="CI87" s="200" t="str">
        <f>IF($J$2=2,$DQ$18/$J$2,"")</f>
        <v/>
      </c>
      <c r="CJ87" s="200" t="str">
        <f>IF($J$2=3,$DQ$18/$J$2,"")</f>
        <v/>
      </c>
      <c r="CK87" s="200" t="str">
        <f>IF($J$2=4,$DQ$18/$J$2,"")</f>
        <v/>
      </c>
      <c r="CL87" s="200" t="str">
        <f>IF($J$2=5,$DQ$18/$J$2,"")</f>
        <v/>
      </c>
      <c r="CN87" s="200">
        <f>IF($J$2=6,$DQ$18/$J$2,"")</f>
        <v>0.5</v>
      </c>
      <c r="CQ87" s="202" t="str">
        <f>IF($J$2=7,$DQ$18/$J$2,"")</f>
        <v/>
      </c>
      <c r="CR87" s="57"/>
      <c r="CS87" s="196"/>
      <c r="CT87" s="196"/>
      <c r="CU87" s="196"/>
      <c r="CV87" s="196"/>
      <c r="CW87" s="196"/>
      <c r="CX87" s="58"/>
      <c r="CY87" s="199" t="str">
        <f>IF(DJ80=0,"",$DQ$18&amp;" de "&amp;DH2)</f>
        <v/>
      </c>
      <c r="CZ87" s="200" t="str">
        <f>IF($J$2=2,$DQ$18/$J$2,"")</f>
        <v/>
      </c>
      <c r="DA87" s="200" t="str">
        <f>IF($J$2=3,$DQ$18/$J$2,"")</f>
        <v/>
      </c>
      <c r="DB87" s="200" t="str">
        <f>IF($J$2=4,$DQ$18/$J$2,"")</f>
        <v/>
      </c>
      <c r="DC87" s="200" t="str">
        <f>IF($J$2=5,$DQ$18/$J$2,"")</f>
        <v/>
      </c>
      <c r="DE87" s="200">
        <f>IF($J$2=6,$DQ$18/$J$2,"")</f>
        <v>0.5</v>
      </c>
      <c r="DH87" s="202" t="str">
        <f>IF($J$2=7,$DQ$18/$J$2,"")</f>
        <v/>
      </c>
      <c r="DI87" s="57"/>
      <c r="DJ87" s="196"/>
      <c r="DK87" s="196"/>
      <c r="DL87" s="196"/>
      <c r="DM87" s="196"/>
      <c r="DN87" s="196"/>
      <c r="DO87" s="58"/>
      <c r="DP87" s="57"/>
      <c r="DQ87" s="56"/>
      <c r="DR87" s="56"/>
      <c r="DS87" s="56"/>
      <c r="DT87" s="56"/>
      <c r="DU87" s="56"/>
      <c r="DV87" s="56"/>
      <c r="DW87" s="56"/>
      <c r="DX87" s="56"/>
      <c r="DY87" s="56"/>
    </row>
    <row r="88">
      <c r="A88" s="197" t="str">
        <f>IF(L80=0,"","Outras informações :")</f>
        <v>Outras informações :</v>
      </c>
      <c r="C88" s="57"/>
      <c r="D88" s="57"/>
      <c r="E88" s="57"/>
      <c r="F88" s="57"/>
      <c r="G88" s="57"/>
      <c r="H88" s="57"/>
      <c r="I88" s="57"/>
      <c r="J88" s="191"/>
      <c r="K88" s="57"/>
      <c r="L88" s="196"/>
      <c r="M88" s="196"/>
      <c r="N88" s="196"/>
      <c r="O88" s="196"/>
      <c r="P88" s="196"/>
      <c r="Q88" s="58"/>
      <c r="R88" s="197" t="str">
        <f>IF(AC80=0,"","Outras informações :")</f>
        <v>Outras informações :</v>
      </c>
      <c r="T88" s="57"/>
      <c r="U88" s="57"/>
      <c r="V88" s="57"/>
      <c r="W88" s="57"/>
      <c r="X88" s="57"/>
      <c r="Y88" s="57"/>
      <c r="Z88" s="57"/>
      <c r="AA88" s="191"/>
      <c r="AB88" s="57"/>
      <c r="AC88" s="196"/>
      <c r="AD88" s="196"/>
      <c r="AE88" s="196"/>
      <c r="AF88" s="196"/>
      <c r="AG88" s="196"/>
      <c r="AH88" s="58"/>
      <c r="AI88" s="197" t="str">
        <f>IF(AT80=0,"","Outras informações :")</f>
        <v>Outras informações :</v>
      </c>
      <c r="AK88" s="57"/>
      <c r="AL88" s="57"/>
      <c r="AM88" s="57"/>
      <c r="AN88" s="57"/>
      <c r="AO88" s="57"/>
      <c r="AP88" s="57"/>
      <c r="AQ88" s="57"/>
      <c r="AR88" s="191"/>
      <c r="AS88" s="57"/>
      <c r="AT88" s="196"/>
      <c r="AU88" s="196"/>
      <c r="AV88" s="196"/>
      <c r="AW88" s="196"/>
      <c r="AX88" s="196"/>
      <c r="AY88" s="58"/>
      <c r="AZ88" s="197" t="str">
        <f>IF(BK80=0,"","Outras informações :")</f>
        <v/>
      </c>
      <c r="BB88" s="57"/>
      <c r="BC88" s="57"/>
      <c r="BD88" s="57"/>
      <c r="BE88" s="57"/>
      <c r="BF88" s="57"/>
      <c r="BG88" s="57"/>
      <c r="BH88" s="57"/>
      <c r="BI88" s="191"/>
      <c r="BJ88" s="57"/>
      <c r="BK88" s="196"/>
      <c r="BL88" s="196"/>
      <c r="BM88" s="196"/>
      <c r="BN88" s="196"/>
      <c r="BO88" s="196"/>
      <c r="BP88" s="58"/>
      <c r="BQ88" s="197" t="str">
        <f>IF(CB80=0,"","Outras informações :")</f>
        <v/>
      </c>
      <c r="BS88" s="57"/>
      <c r="BT88" s="57"/>
      <c r="BU88" s="57"/>
      <c r="BV88" s="57"/>
      <c r="BW88" s="57"/>
      <c r="BX88" s="57"/>
      <c r="BY88" s="57"/>
      <c r="BZ88" s="191"/>
      <c r="CA88" s="57"/>
      <c r="CB88" s="196"/>
      <c r="CC88" s="196"/>
      <c r="CD88" s="196"/>
      <c r="CE88" s="196"/>
      <c r="CF88" s="196"/>
      <c r="CG88" s="58"/>
      <c r="CH88" s="197" t="str">
        <f>IF(CS80=0,"","Outras informações :")</f>
        <v/>
      </c>
      <c r="CJ88" s="57"/>
      <c r="CK88" s="57"/>
      <c r="CL88" s="57"/>
      <c r="CM88" s="57"/>
      <c r="CN88" s="57"/>
      <c r="CO88" s="57"/>
      <c r="CP88" s="57"/>
      <c r="CQ88" s="191"/>
      <c r="CR88" s="57"/>
      <c r="CS88" s="196"/>
      <c r="CT88" s="196"/>
      <c r="CU88" s="196"/>
      <c r="CV88" s="196"/>
      <c r="CW88" s="196"/>
      <c r="CX88" s="58"/>
      <c r="CY88" s="197" t="str">
        <f>IF(DJ80=0,"","Outras informações :")</f>
        <v/>
      </c>
      <c r="DA88" s="57"/>
      <c r="DB88" s="57"/>
      <c r="DC88" s="57"/>
      <c r="DD88" s="57"/>
      <c r="DE88" s="57"/>
      <c r="DF88" s="57"/>
      <c r="DG88" s="57"/>
      <c r="DH88" s="191"/>
      <c r="DI88" s="57"/>
      <c r="DJ88" s="196"/>
      <c r="DK88" s="196"/>
      <c r="DL88" s="196"/>
      <c r="DM88" s="196"/>
      <c r="DN88" s="196"/>
      <c r="DO88" s="58"/>
      <c r="DP88" s="57"/>
      <c r="DQ88" s="56"/>
      <c r="DR88" s="56"/>
      <c r="DS88" s="56"/>
      <c r="DT88" s="56"/>
      <c r="DU88" s="56"/>
      <c r="DV88" s="56"/>
      <c r="DW88" s="56"/>
      <c r="DX88" s="56"/>
      <c r="DY88" s="56"/>
    </row>
    <row r="89">
      <c r="A89" s="197" t="str">
        <f>IF(L80=0,"","Tempo sobre tensão")</f>
        <v>Tempo sobre tensão</v>
      </c>
      <c r="D89" s="56">
        <f>SUM(E16*F16*(H16+I16),E18*F18*(H18+I18),E20*F20*(H20+I20),E22*F22*(H22+I22),E26*F26*(H26+I26),E28*F28*(H28+I28),E30*F30*(H30+I30),E32*F32*(H32+I32),E34*F34*(H34+I34),E36*F36*(H36+I36),E38*F38*(H38+I38),E40*F40*(H40+I40),E42*F42*(H42+I42),E44*F44*(H44+I44),E46*F46*(H46+I46),E48*F48*(H48+I48),E50*F50*(H50+I50),E52*F52*(H52+I52),E54*F54*(H54+I54),E56*F56*(H56+I56),E58*F58*(H58+I58),E60*F60*(H60+I60),E62*F62*(H62+I62),E64*F64*(H64+I64),E68*F68*(H68+I68),E70*F70*(H70+I70),E72*F72*(H72+I72))/60</f>
        <v>20.9</v>
      </c>
      <c r="E89" s="57" t="str">
        <f>IF(L80=0,"","Densidade")</f>
        <v>Densidade</v>
      </c>
      <c r="H89" s="186">
        <f>IF(L80=0,"",D89/(K89+0.0000001))</f>
        <v>0.9952380905</v>
      </c>
      <c r="J89" s="66"/>
      <c r="K89" s="57">
        <f>SUM(IF(E16=0,1,E16)*G16,IF(E18=0,1,E18)*G18,IF(E20=0,1,E20)*G20,IF(E22=0,1,E22)*G22,IF(E26=0,1,E26)*G26,IF(E28=0,1,E28)*G28,IF(E30=0,1,E30)*G30,IF(E32=0,1,E32)*G32,IF(E34=0,1,E34)*G34,IF(E36=0,1,E36)*G36,IF(E38=0,1,E38)*G38,IF(E40=0,1,E40)*G40,IF(E42=0,1,E42)*G42,IF(E44=0,1,E44)*G44,IF(E46=0,1,E46)*G46,IF(E48=0,1,E48)*G48,IF(E50=0,1,E50)*G50,IF(E52=0,1,E52)*G52,IF(E54=0,1,E54)*G54,IF(E56=0,1,E56)*G56,IF(E58=0,1,E58)*G58,IF(E60=0,1,E60)*G60,IF(E62=0,1,E62)*G62,IF(E64=0,1,E64)*G64,IF(E68=0,1,E68)*G68,IF(E70=0,1,E70)*G70,IF(E72=0,1,E72)*G72)/60</f>
        <v>21</v>
      </c>
      <c r="L89" s="196"/>
      <c r="M89" s="196"/>
      <c r="N89" s="196"/>
      <c r="O89" s="196"/>
      <c r="P89" s="196"/>
      <c r="Q89" s="58"/>
      <c r="R89" s="197" t="str">
        <f>IF(AC80=0,"","Tempo sobre tensão")</f>
        <v>Tempo sobre tensão</v>
      </c>
      <c r="U89" s="56">
        <f>SUM(V16*W16*(Y16+Z16),V18*W18*(Y18+Z18),V20*W20*(Y20+Z20),V22*W22*(Y22+Z22),V26*W26*(Y26+Z26),V28*W28*(Y28+Z28),V30*W30*(Y30+Z30),V32*W32*(Y32+Z32),V34*W34*(Y34+Z34),V36*W36*(Y36+Z36),V38*W38*(Y38+Z38),V40*W40*(Y40+Z40),V42*W42*(Y42+Z42),V44*W44*(Y44+Z44),V46*W46*(Y46+Z46),V48*W48*(Y48+Z48),V50*W50*(Y50+Z50),V52*W52*(Y52+Z52),V54*W54*(Y54+Z54),V56*W56*(Y56+Z56),V58*W58*(Y58+Z58),V60*W60*(Y60+Z60),V62*W62*(Y62+Z62),V64*W64*(Y64+Z64),V68*W68*(Y68+Z68),V70*W70*(Y70+Z70),V72*W72*(Y72+Z72))/60</f>
        <v>20.15</v>
      </c>
      <c r="V89" s="57" t="str">
        <f>IF(AC80=0,"","Densidade")</f>
        <v>Densidade</v>
      </c>
      <c r="Y89" s="186">
        <f>IF(AC80=0,"",U89/(AB89+0.0000001))</f>
        <v>0.959523805</v>
      </c>
      <c r="AA89" s="66"/>
      <c r="AB89" s="57">
        <f>SUM(IF(V16=0,1,V16)*X16,IF(V18=0,1,V18)*X18,IF(V20=0,1,V20)*X20,IF(V22=0,1,V22)*X22,IF(V26=0,1,V26)*X26,IF(V28=0,1,V28)*X28,IF(V30=0,1,V30)*X30,IF(V32=0,1,V32)*X32,IF(V34=0,1,V34)*X34,IF(V36=0,1,V36)*X36,IF(V38=0,1,V38)*X38,IF(V40=0,1,V40)*X40,IF(V42=0,1,V42)*X42,IF(V44=0,1,V44)*X44,IF(V46=0,1,V46)*X46,IF(V48=0,1,V48)*X48,IF(V50=0,1,V50)*X50,IF(V52=0,1,V52)*X52,IF(V54=0,1,V54)*X54,IF(V56=0,1,V56)*X56,IF(V58=0,1,V58)*X58,IF(V60=0,1,V60)*X60,IF(V62=0,1,V62)*X62,IF(V64=0,1,V64)*X64,IF(V68=0,1,V68)*X68,IF(V70=0,1,V70)*X70,IF(V72=0,1,V72)*X72)/60</f>
        <v>21</v>
      </c>
      <c r="AC89" s="196"/>
      <c r="AD89" s="196"/>
      <c r="AE89" s="196"/>
      <c r="AF89" s="196"/>
      <c r="AG89" s="196"/>
      <c r="AH89" s="58"/>
      <c r="AI89" s="197" t="str">
        <f>IF(AT80=0,"","Tempo sobre tensão")</f>
        <v>Tempo sobre tensão</v>
      </c>
      <c r="AL89" s="56">
        <f>SUM(AM16*AN16*(AP16+AQ16),AM18*AN18*(AP18+AQ18),AM20*AN20*(AP20+AQ20),AM22*AN22*(AP22+AQ22),AM26*AN26*(AP26+AQ26),AM28*AN28*(AP28+AQ28),AM30*AN30*(AP30+AQ30),AM32*AN32*(AP32+AQ32),AM34*AN34*(AP34+AQ34),AM36*AN36*(AP36+AQ36),AM38*AN38*(AP38+AQ38),AM40*AN40*(AP40+AQ40),AM42*AN42*(AP42+AQ42),AM44*AN44*(AP44+AQ44),AM46*AN46*(AP46+AQ46),AM48*AN48*(AP48+AQ48),AM50*AN50*(AP50+AQ50),AM52*AN52*(AP52+AQ52),AM54*AN54*(AP54+AQ54),AM56*AN56*(AP56+AQ56),AM58*AN58*(AP58+AQ58),AM60*AN60*(AP60+AQ60),AM62*AN62*(AP62+AQ62),AM64*AN64*(AP64+AQ64),AM68*AN68*(AP68+AQ68),AM70*AN70*(AP70+AQ70),AM72*AN72*(AP72+AQ72))/60</f>
        <v>2.166666667</v>
      </c>
      <c r="AM89" s="57" t="str">
        <f>IF(AT80=0,"","Densidade")</f>
        <v>Densidade</v>
      </c>
      <c r="AP89" s="203">
        <f>IF(AT80=0,"",AL89/(AS89+0.0000001))</f>
        <v>1.299999922</v>
      </c>
      <c r="AR89" s="66"/>
      <c r="AS89" s="57">
        <f>SUM(IF(AM16=0,1,AM16)*AO16,IF(AM18=0,1,AM18)*AO18,IF(AM20=0,1,AM20)*AO20,IF(AM22=0,1,AM22)*AO22,IF(AM26=0,1,AM26)*AO26,IF(AM28=0,1,AM28)*AO28,IF(AM30=0,1,AM30)*AO30,IF(AM32=0,1,AM32)*AO32,IF(AM34=0,1,AM34)*AO34,IF(AM36=0,1,AM36)*AO36,IF(AM38=0,1,AM38)*AO38,IF(AM40=0,1,AM40)*AO40,IF(AM42=0,1,AM42)*AO42,IF(AM44=0,1,AM44)*AO44,IF(AM46=0,1,AM46)*AO46,IF(AM48=0,1,AM48)*AO48,IF(AM50=0,1,AM50)*AO50,IF(AM52=0,1,AM52)*AO52,IF(AM54=0,1,AM54)*AO54,IF(AM56=0,1,AM56)*AO56,IF(AM58=0,1,AM58)*AO58,IF(AM60=0,1,AM60)*AO60,IF(AM62=0,1,AM62)*AO62,IF(AM64=0,1,AM64)*AO64,IF(AM68=0,1,AM68)*AO68,IF(AM70=0,1,AM70)*AO70,IF(AM72=0,1,AM72)*AO72)/60</f>
        <v>1.666666667</v>
      </c>
      <c r="AT89" s="196"/>
      <c r="AU89" s="196"/>
      <c r="AV89" s="196"/>
      <c r="AW89" s="196"/>
      <c r="AX89" s="196"/>
      <c r="AY89" s="58"/>
      <c r="AZ89" s="197" t="str">
        <f>IF(BK80=0,"","Tempo sobre tensão")</f>
        <v/>
      </c>
      <c r="BC89" s="56">
        <f>SUM(BD16*BE16*(BG16+BH16),BD18*BE18*(BG18+BH18),BD20*BE20*(BG20+BH20),BD22*BE22*(BG22+BH22),BD26*BE26*(BG26+BH26),BD28*BE28*(BG28+BH28),BD30*BE30*(BG30+BH30),BD32*BE32*(BG32+BH32),BD34*BE34*(BG34+BH34),BD36*BE36*(BG36+BH36),BD38*BE38*(BG38+BH38),BD40*BE40*(BG40+BH40),BD42*BE42*(BG42+BH42),BD44*BE44*(BG44+BH44),BD46*BE46*(BG46+BH46),BD48*BE48*(BG48+BH48),BD50*BE50*(BG50+BH50),BD52*BE52*(BG52+BH52),BD54*BE54*(BG54+BH54),BD56*BE56*(BG56+BH56),BD58*BE58*(BG58+BH58),BD60*BE60*(BG60+BH60),BD62*BE62*(BG62+BH62),BD64*BE64*(BG64+BH64),BD68*BE68*(BG68+BH68),BD70*BE70*(BG70+BH70),BD72*BE72*(BG72+BH72))/60</f>
        <v>21.1</v>
      </c>
      <c r="BD89" s="57" t="str">
        <f>IF(BK80=0,"","Densidade")</f>
        <v/>
      </c>
      <c r="BG89" s="186" t="str">
        <f>IF(BK80=0,"",BC89/(BJ89+0.0000001))</f>
        <v/>
      </c>
      <c r="BI89" s="66"/>
      <c r="BJ89" s="57">
        <f>SUM(IF(BD16=0,1,BD16)*BF16,IF(BD18=0,1,BD18)*BF18,IF(BD20=0,1,BD20)*BF20,IF(BD22=0,1,BD22)*BF22,IF(BD26=0,1,BD26)*BF26,IF(BD28=0,1,BD28)*BF28,IF(BD30=0,1,BD30)*BF30,IF(BD32=0,1,BD32)*BF32,IF(BD34=0,1,BD34)*BF34,IF(BD36=0,1,BD36)*BF36,IF(BD38=0,1,BD38)*BF38,IF(BD40=0,1,BD40)*BF40,IF(BD42=0,1,BD42)*BF42,IF(BD44=0,1,BD44)*BF44,IF(BD46=0,1,BD46)*BF46,IF(BD48=0,1,BD48)*BF48,IF(BD50=0,1,BD50)*BF50,IF(BD52=0,1,BD52)*BF52,IF(BD54=0,1,BD54)*BF54,IF(BD56=0,1,BD56)*BF56,IF(BD58=0,1,BD58)*BF58,IF(BD60=0,1,BD60)*BF60,IF(BD62=0,1,BD62)*BF62,IF(BD64=0,1,BD64)*BF64,IF(BD68=0,1,BD68)*BF68,IF(BD70=0,1,BD70)*BF70,IF(BD72=0,1,BD72)*BF72)/60</f>
        <v>16.66666667</v>
      </c>
      <c r="BK89" s="196"/>
      <c r="BL89" s="196"/>
      <c r="BM89" s="196"/>
      <c r="BN89" s="196"/>
      <c r="BO89" s="196"/>
      <c r="BP89" s="58"/>
      <c r="BQ89" s="197" t="str">
        <f>IF(CB80=0,"","Tempo sobre tensão")</f>
        <v/>
      </c>
      <c r="BT89" s="56">
        <f>SUM(BU16*BV16*(BX16+BY16),BU18*BV18*(BX18+BY18),BU20*BV20*(BX20+BY20),BU22*BV22*(BX22+BY22),BU26*BV26*(BX26+BY26),BU28*BV28*(BX28+BY28),BU30*BV30*(BX30+BY30),BU32*BV32*(BX32+BY32),BU34*BV34*(BX34+BY34),BU36*BV36*(BX36+BY36),BU38*BV38*(BX38+BY38),BU40*BV40*(BX40+BY40),BU42*BV42*(BX42+BY42),BU44*BV44*(BX44+BY44),BU46*BV46*(BX46+BY46),BU48*BV48*(BX48+BY48),BU50*BV50*(BX50+BY50),BU52*BV52*(BX52+BY52),BU54*BV54*(BX54+BY54),BU56*BV56*(BX56+BY56),BU58*BV58*(BX58+BY58),BU60*BV60*(BX60+BY60),BU62*BV62*(BX62+BY62),BU64*BV64*(BX64+BY64),BU68*BV68*(BX68+BY68),BU70*BV70*(BX70+BY70),BU72*BV72*(BX72+BY72))/60</f>
        <v>17.6</v>
      </c>
      <c r="BU89" s="57" t="str">
        <f>IF(CB80=0,"","Densidade")</f>
        <v/>
      </c>
      <c r="BX89" s="203" t="str">
        <f>IF(CB80=0,"",BT89/(CA89+0.0000001))</f>
        <v/>
      </c>
      <c r="BZ89" s="66"/>
      <c r="CA89" s="57">
        <f>SUM(IF(BU16=0,1,BU16)*BW16,IF(BU18=0,1,BU18)*BW18,IF(BU20=0,1,BU20)*BW20,IF(BU22=0,1,BU22)*BW22,IF(BU26=0,1,BU26)*BW26,IF(BU28=0,1,BU28)*BW28,IF(BU30=0,1,BU30)*BW30,IF(BU32=0,1,BU32)*BW32,IF(BU34=0,1,BU34)*BW34,IF(BU36=0,1,BU36)*BW36,IF(BU38=0,1,BU38)*BW38,IF(BU40=0,1,BU40)*BW40,IF(BU42=0,1,BU42)*BW42,IF(BU44=0,1,BU44)*BW44,IF(BU46=0,1,BU46)*BW46,IF(BU48=0,1,BU48)*BW48,IF(BU50=0,1,BU50)*BW50,IF(BU52=0,1,BU52)*BW52,IF(BU54=0,1,BU54)*BW54,IF(BU56=0,1,BU56)*BW56,IF(BU58=0,1,BU58)*BW58,IF(BU60=0,1,BU60)*BW60,IF(BU62=0,1,BU62)*BW62,IF(BU64=0,1,BU64)*BW64,IF(BU68=0,1,BU68)*BW68,IF(BU70=0,1,BU70)*BW70,IF(BU72=0,1,BU72)*BW72)/60</f>
        <v>16.91666667</v>
      </c>
      <c r="CB89" s="196"/>
      <c r="CC89" s="196"/>
      <c r="CD89" s="196"/>
      <c r="CE89" s="196"/>
      <c r="CF89" s="196"/>
      <c r="CG89" s="58"/>
      <c r="CH89" s="197" t="str">
        <f>IF(CS80=0,"","Tempo sobre tensão")</f>
        <v/>
      </c>
      <c r="CK89" s="56">
        <f>SUM(CL16*CM16*(CO16+CP16),CL18*CM18*(CO18+CP18),CL20*CM20*(CO20+CP20),CL22*CM22*(CO22+CP22),CL26*CM26*(CO26+CP26),CL28*CM28*(CO28+CP28),CL30*CM30*(CO30+CP30),CL32*CM32*(CO32+CP32),CL34*CM34*(CO34+CP34),CL36*CM36*(CO36+CP36),CL38*CM38*(CO38+CP38),CL40*CM40*(CO40+CP40),CL42*CM42*(CO42+CP42),CL44*CM44*(CO44+CP44),CL46*CM46*(CO46+CP46),CL48*CM48*(CO48+CP48),CL50*CM50*(CO50+CP50),CL52*CM52*(CO52+CP52),CL54*CM54*(CO54+CP54),CL56*CM56*(CO56+CP56),CL58*CM58*(CO58+CP58),CL60*CM60*(CO60+CP60),CL62*CM62*(CO62+CP62),CL64*CM64*(CO64+CP64),CL68*CM68*(CO68+CP68),CL70*CM70*(CO70+CP70),CL72*CM72*(CO72+CP72))/60</f>
        <v>2.166666667</v>
      </c>
      <c r="CL89" s="57" t="str">
        <f>IF(CS80=0,"","Densidade")</f>
        <v/>
      </c>
      <c r="CO89" s="203" t="str">
        <f>IF(CS80=0,"",CK89/(CR89+0.0000001))</f>
        <v/>
      </c>
      <c r="CQ89" s="66"/>
      <c r="CR89" s="57">
        <f>SUM(IF(CL16=0,1,CL16)*CN16,IF(CL18=0,1,CL18)*CN18,IF(CL20=0,1,CL20)*CN20,IF(CL22=0,1,CL22)*CN22,IF(CL26=0,1,CL26)*CN26,IF(CL28=0,1,CL28)*CN28,IF(CL30=0,1,CL30)*CN30,IF(CL32=0,1,CL32)*CN32,IF(CL34=0,1,CL34)*CN34,IF(CL36=0,1,CL36)*CN36,IF(CL38=0,1,CL38)*CN38,IF(CL40=0,1,CL40)*CN40,IF(CL42=0,1,CL42)*CN42,IF(CL44=0,1,CL44)*CN44,IF(CL46=0,1,CL46)*CN46,IF(CL48=0,1,CL48)*CN48,IF(CL50=0,1,CL50)*CN50,IF(CL52=0,1,CL52)*CN52,IF(CL54=0,1,CL54)*CN54,IF(CL56=0,1,CL56)*CN56,IF(CL58=0,1,CL58)*CN58,IF(CL60=0,1,CL60)*CN60,IF(CL62=0,1,CL62)*CN62,IF(CL64=0,1,CL64)*CN64,IF(CL68=0,1,CL68)*CN68,IF(CL70=0,1,CL70)*CN70,IF(CL72=0,1,CL72)*CN72)/60</f>
        <v>1.666666667</v>
      </c>
      <c r="CS89" s="196"/>
      <c r="CT89" s="196"/>
      <c r="CU89" s="196"/>
      <c r="CV89" s="196"/>
      <c r="CW89" s="196"/>
      <c r="CX89" s="58"/>
      <c r="CY89" s="197" t="str">
        <f>IF(DJ80=0,"","Tempo sobre tensão")</f>
        <v/>
      </c>
      <c r="DB89" s="56">
        <f>SUM(DC16*DD16*(DF16+DG16),DC18*DD18*(DF18+DG18),DC20*DD20*(DF20+DG20),DC22*DD22*(DF22+DG22),DC26*DD26*(DF26+DG26),DC28*DD28*(DF28+DG28),DC30*DD30*(DF30+DG30),DC32*DD32*(DF32+DG32),DC34*DD34*(DF34+DG34),DC36*DD36*(DF36+DG36),DC38*DD38*(DF38+DG38),DC40*DD40*(DF40+DG40),DC42*DD42*(DF42+DG42),DC44*DD44*(DF44+DG44),DC46*DD46*(DF46+DG46),DC48*DD48*(DF48+DG48),DC50*DD50*(DF50+DG50),DC52*DD52*(DF52+DG52),DC54*DD54*(DF54+DG54),DC56*DD56*(DF56+DG56),DC58*DD58*(DF58+DG58),DC60*DD60*(DF60+DG60),DC62*DD62*(DF62+DG62),DC64*DD64*(DF64+DG64),DC68*DD68*(DF68+DG68),DC70*DD70*(DF70+DG70),DC72*DD72*(DF72+DG72))/60</f>
        <v>0</v>
      </c>
      <c r="DC89" s="57" t="str">
        <f>IF(DJ80=0,"","Densidade")</f>
        <v/>
      </c>
      <c r="DF89" s="203" t="str">
        <f>IF(DJ80=0,"",DB89/(DI89+0.0000001))</f>
        <v/>
      </c>
      <c r="DH89" s="66"/>
      <c r="DI89" s="57">
        <f>SUM(IF(DC16=0,1,DC16)*DE16,IF(DC18=0,1,DC18)*DE18,IF(DC20=0,1,DC20)*DE20,IF(DC22=0,1,DC22)*DE22,IF(DC26=0,1,DC26)*DE26,IF(DC28=0,1,DC28)*DE28,IF(DC30=0,1,DC30)*DE30,IF(DC32=0,1,DC32)*DE32,IF(DC34=0,1,DC34)*DE34,IF(DC36=0,1,DC36)*DE36,IF(DC38=0,1,DC38)*DE38,IF(DC40=0,1,DC40)*DE40,IF(DC42=0,1,DC42)*DE42,IF(DC44=0,1,DC44)*DE44,IF(DC46=0,1,DC46)*DE46,IF(DC48=0,1,DC48)*DE48,IF(DC50=0,1,DC50)*DE50,IF(DC52=0,1,DC52)*DE52,IF(DC54=0,1,DC54)*DE54,IF(DC56=0,1,DC56)*DE56,IF(DC58=0,1,DC58)*DE58,IF(DC60=0,1,DC60)*DE60,IF(DC62=0,1,DC62)*DE62,IF(DC64=0,1,DC64)*DE64,IF(DC68=0,1,DC68)*DE68,IF(DC70=0,1,DC70)*DE70,IF(DC72=0,1,DC72)*DE72)/60</f>
        <v>0</v>
      </c>
      <c r="DJ89" s="196"/>
      <c r="DK89" s="196"/>
      <c r="DL89" s="196"/>
      <c r="DM89" s="196"/>
      <c r="DN89" s="196"/>
      <c r="DO89" s="58"/>
      <c r="DP89" s="57"/>
      <c r="DQ89" s="56"/>
      <c r="DR89" s="56"/>
      <c r="DS89" s="56"/>
      <c r="DT89" s="56"/>
      <c r="DU89" s="56"/>
      <c r="DV89" s="56"/>
      <c r="DW89" s="56"/>
      <c r="DX89" s="56"/>
      <c r="DY89" s="56"/>
    </row>
    <row r="90">
      <c r="A90" s="197" t="str">
        <f>IF(L80=0,"","Carga Interna de treino")</f>
        <v>Carga Interna de treino</v>
      </c>
      <c r="D90" s="56">
        <f>IF(L80=0,"",(L80*D89)+(L80*IF(ISNUMBER(B82),B82,B6)))</f>
        <v>107.7</v>
      </c>
      <c r="E90" s="57" t="str">
        <f>IF(L80=0,"","Razão Ag/Cr")</f>
        <v>Razão Ag/Cr</v>
      </c>
      <c r="H90" s="186">
        <f>IF(L80=0,"",D90/'Dados de Base'!$J$7)</f>
        <v>0.4899891205</v>
      </c>
      <c r="J90" s="66"/>
      <c r="K90" s="57"/>
      <c r="L90" s="196"/>
      <c r="M90" s="196"/>
      <c r="N90" s="196"/>
      <c r="O90" s="196"/>
      <c r="P90" s="196"/>
      <c r="Q90" s="58"/>
      <c r="R90" s="197" t="str">
        <f>IF(AC80=0,"","Carga Interna de treino")</f>
        <v>Carga Interna de treino</v>
      </c>
      <c r="U90" s="56">
        <f>IF(AC80=0,"",(AC80*U89)+(AC80*IF(ISNUMBER(S82),S82,S6)))</f>
        <v>105.45</v>
      </c>
      <c r="V90" s="57" t="str">
        <f>IF(AC80=0,"","Razão Ag/Cr")</f>
        <v>Razão Ag/Cr</v>
      </c>
      <c r="Y90" s="186">
        <f>IF(AC80=0,"",U90/'Dados de Base'!$J$7)</f>
        <v>0.479752579</v>
      </c>
      <c r="AA90" s="66"/>
      <c r="AB90" s="57"/>
      <c r="AC90" s="196"/>
      <c r="AD90" s="196"/>
      <c r="AE90" s="196"/>
      <c r="AF90" s="196"/>
      <c r="AG90" s="196"/>
      <c r="AH90" s="58"/>
      <c r="AI90" s="197" t="str">
        <f>IF(AT80=0,"","Carga Interna de treino")</f>
        <v>Carga Interna de treino</v>
      </c>
      <c r="AL90" s="56">
        <f>IF(AT80=0,"",(AT80*AL89)+(AT80*IF(ISNUMBER(AJ82),AJ82,AJ6)))</f>
        <v>6.650798611</v>
      </c>
      <c r="AM90" s="57" t="str">
        <f>IF(AT80=0,"","Razão Ag/Cr")</f>
        <v>Razão Ag/Cr</v>
      </c>
      <c r="AP90" s="186">
        <f>IF(AT80=0,"",AL90/'Dados de Base'!$J$7)</f>
        <v>0.03025830048</v>
      </c>
      <c r="AR90" s="66"/>
      <c r="AS90" s="57"/>
      <c r="AT90" s="196"/>
      <c r="AU90" s="196"/>
      <c r="AV90" s="196"/>
      <c r="AW90" s="196"/>
      <c r="AX90" s="196"/>
      <c r="AY90" s="58"/>
      <c r="AZ90" s="197" t="str">
        <f>IF(BK80=0,"","Carga Interna de treino")</f>
        <v/>
      </c>
      <c r="BC90" s="57" t="str">
        <f>IF(BK80=0,"",(BK80*BC89)+(BK80*IF(ISNUMBER(BA82),BA82,BA6)))</f>
        <v/>
      </c>
      <c r="BD90" s="57" t="str">
        <f>IF(BK80=0,"","Razão Ag/Cr")</f>
        <v/>
      </c>
      <c r="BG90" s="186" t="str">
        <f>IF(BK80=0,"",BC90/'Dados de Base'!$J$7)</f>
        <v/>
      </c>
      <c r="BI90" s="66"/>
      <c r="BJ90" s="57"/>
      <c r="BK90" s="196"/>
      <c r="BL90" s="196"/>
      <c r="BM90" s="196"/>
      <c r="BN90" s="196"/>
      <c r="BO90" s="196"/>
      <c r="BP90" s="58"/>
      <c r="BQ90" s="197" t="str">
        <f>IF(CB80=0,"","Carga Interna de treino")</f>
        <v/>
      </c>
      <c r="BT90" s="56" t="str">
        <f>IF(CB80=0,"",(CB80*BT89)+(CB80*IF(ISNUMBER(BR82),BR82,BR6)))</f>
        <v/>
      </c>
      <c r="BU90" s="57" t="str">
        <f>IF(CB80=0,"","Razão Ag/Cr")</f>
        <v/>
      </c>
      <c r="BX90" s="186" t="str">
        <f>IF(CB80=0,"",BT90/'Dados de Base'!$J$7)</f>
        <v/>
      </c>
      <c r="BZ90" s="66"/>
      <c r="CA90" s="57"/>
      <c r="CB90" s="196"/>
      <c r="CC90" s="196"/>
      <c r="CD90" s="196"/>
      <c r="CE90" s="196"/>
      <c r="CF90" s="196"/>
      <c r="CG90" s="58"/>
      <c r="CH90" s="197" t="str">
        <f>IF(CS80=0,"","Carga Interna de treino")</f>
        <v/>
      </c>
      <c r="CK90" s="57" t="str">
        <f>IF(CS80=0,"",(CS80*CK89)+(CS80*IF(ISNUMBER(CI82),CI82,CI6)))</f>
        <v/>
      </c>
      <c r="CL90" s="57" t="str">
        <f>IF(CS80=0,"","Razão Ag/Cr")</f>
        <v/>
      </c>
      <c r="CO90" s="186" t="str">
        <f>IF(CS80=0,"",CK90/'Dados de Base'!$J$7)</f>
        <v/>
      </c>
      <c r="CQ90" s="66"/>
      <c r="CR90" s="57"/>
      <c r="CS90" s="196"/>
      <c r="CT90" s="196"/>
      <c r="CU90" s="196"/>
      <c r="CV90" s="196"/>
      <c r="CW90" s="196"/>
      <c r="CX90" s="58"/>
      <c r="CY90" s="197" t="str">
        <f>IF(DJ80=0,"","Carga Interna de treino")</f>
        <v/>
      </c>
      <c r="DB90" s="56" t="str">
        <f>IF(DJ80=0,"",(DJ80*DB89)+(DJ80*IF(ISNUMBER(CZ82),CZ82,CZ6)))</f>
        <v/>
      </c>
      <c r="DC90" s="57" t="str">
        <f>IF(DJ80=0,"","Razão Ag/Cr")</f>
        <v/>
      </c>
      <c r="DF90" s="186" t="str">
        <f>IF(DJ80=0,"",DB90/'Dados de Base'!$J$7)</f>
        <v/>
      </c>
      <c r="DH90" s="66"/>
      <c r="DI90" s="57"/>
      <c r="DJ90" s="196"/>
      <c r="DK90" s="196"/>
      <c r="DL90" s="196"/>
      <c r="DM90" s="196"/>
      <c r="DN90" s="196"/>
      <c r="DO90" s="58"/>
      <c r="DP90" s="57"/>
      <c r="DQ90" s="56"/>
      <c r="DR90" s="56"/>
      <c r="DS90" s="56"/>
      <c r="DT90" s="56"/>
      <c r="DU90" s="56"/>
      <c r="DV90" s="56"/>
      <c r="DW90" s="56"/>
      <c r="DX90" s="56"/>
      <c r="DY90" s="56"/>
    </row>
    <row r="91">
      <c r="A91" s="204" t="s">
        <v>55</v>
      </c>
      <c r="B91" s="205"/>
      <c r="C91" s="205"/>
      <c r="D91" s="205"/>
      <c r="E91" s="205"/>
      <c r="F91" s="205"/>
      <c r="G91" s="205"/>
      <c r="H91" s="205"/>
      <c r="I91" s="205"/>
      <c r="J91" s="206"/>
      <c r="K91" s="57"/>
      <c r="L91" s="57"/>
      <c r="M91" s="57"/>
      <c r="N91" s="57"/>
      <c r="O91" s="57"/>
      <c r="P91" s="57"/>
      <c r="Q91" s="58"/>
      <c r="R91" s="207" t="s">
        <v>55</v>
      </c>
      <c r="S91" s="205"/>
      <c r="T91" s="205"/>
      <c r="U91" s="205"/>
      <c r="V91" s="205"/>
      <c r="W91" s="205"/>
      <c r="X91" s="205"/>
      <c r="Y91" s="205"/>
      <c r="Z91" s="205"/>
      <c r="AA91" s="206"/>
      <c r="AB91" s="57"/>
      <c r="AC91" s="57"/>
      <c r="AD91" s="57"/>
      <c r="AE91" s="57"/>
      <c r="AF91" s="57"/>
      <c r="AG91" s="57"/>
      <c r="AH91" s="58"/>
      <c r="AI91" s="204" t="s">
        <v>55</v>
      </c>
      <c r="AJ91" s="205"/>
      <c r="AK91" s="205"/>
      <c r="AL91" s="205"/>
      <c r="AM91" s="205"/>
      <c r="AN91" s="205"/>
      <c r="AO91" s="205"/>
      <c r="AP91" s="205"/>
      <c r="AQ91" s="205"/>
      <c r="AR91" s="206"/>
      <c r="AS91" s="57"/>
      <c r="AT91" s="57"/>
      <c r="AU91" s="57"/>
      <c r="AV91" s="57"/>
      <c r="AW91" s="57"/>
      <c r="AX91" s="57"/>
      <c r="AY91" s="58"/>
      <c r="AZ91" s="204" t="s">
        <v>55</v>
      </c>
      <c r="BA91" s="205"/>
      <c r="BB91" s="205"/>
      <c r="BC91" s="205"/>
      <c r="BD91" s="205"/>
      <c r="BE91" s="205"/>
      <c r="BF91" s="205"/>
      <c r="BG91" s="205"/>
      <c r="BH91" s="205"/>
      <c r="BI91" s="206"/>
      <c r="BJ91" s="57"/>
      <c r="BK91" s="57"/>
      <c r="BL91" s="57"/>
      <c r="BM91" s="57"/>
      <c r="BN91" s="57"/>
      <c r="BO91" s="57"/>
      <c r="BP91" s="58"/>
      <c r="BQ91" s="204" t="s">
        <v>55</v>
      </c>
      <c r="BR91" s="205"/>
      <c r="BS91" s="205"/>
      <c r="BT91" s="205"/>
      <c r="BU91" s="205"/>
      <c r="BV91" s="205"/>
      <c r="BW91" s="205"/>
      <c r="BX91" s="205"/>
      <c r="BY91" s="205"/>
      <c r="BZ91" s="206"/>
      <c r="CA91" s="57"/>
      <c r="CB91" s="57"/>
      <c r="CC91" s="57"/>
      <c r="CD91" s="57"/>
      <c r="CE91" s="57"/>
      <c r="CF91" s="57"/>
      <c r="CG91" s="58"/>
      <c r="CH91" s="204" t="s">
        <v>55</v>
      </c>
      <c r="CI91" s="205"/>
      <c r="CJ91" s="205"/>
      <c r="CK91" s="205"/>
      <c r="CL91" s="205"/>
      <c r="CM91" s="205"/>
      <c r="CN91" s="205"/>
      <c r="CO91" s="205"/>
      <c r="CP91" s="205"/>
      <c r="CQ91" s="206"/>
      <c r="CR91" s="57"/>
      <c r="CS91" s="57"/>
      <c r="CT91" s="57"/>
      <c r="CU91" s="57"/>
      <c r="CV91" s="57"/>
      <c r="CW91" s="57"/>
      <c r="CX91" s="58"/>
      <c r="CY91" s="204" t="s">
        <v>55</v>
      </c>
      <c r="CZ91" s="205"/>
      <c r="DA91" s="205"/>
      <c r="DB91" s="205"/>
      <c r="DC91" s="205"/>
      <c r="DD91" s="205"/>
      <c r="DE91" s="205"/>
      <c r="DF91" s="205"/>
      <c r="DG91" s="205"/>
      <c r="DH91" s="206"/>
      <c r="DI91" s="57"/>
      <c r="DJ91" s="57"/>
      <c r="DK91" s="57"/>
      <c r="DL91" s="57"/>
      <c r="DM91" s="57"/>
      <c r="DN91" s="57"/>
      <c r="DO91" s="58"/>
      <c r="DP91" s="57"/>
      <c r="DQ91" s="56"/>
      <c r="DR91" s="56"/>
      <c r="DS91" s="56"/>
      <c r="DT91" s="56"/>
      <c r="DU91" s="56"/>
      <c r="DV91" s="56"/>
      <c r="DW91" s="56"/>
      <c r="DX91" s="56"/>
      <c r="DY91" s="56"/>
    </row>
  </sheetData>
  <mergeCells count="946">
    <mergeCell ref="AZ66:BI66"/>
    <mergeCell ref="AZ67:BB67"/>
    <mergeCell ref="BQ67:BS67"/>
    <mergeCell ref="CH67:CJ67"/>
    <mergeCell ref="CY67:DA67"/>
    <mergeCell ref="AI65:AL65"/>
    <mergeCell ref="AM65:AR65"/>
    <mergeCell ref="BD65:BI65"/>
    <mergeCell ref="BU65:BZ65"/>
    <mergeCell ref="AI66:AR66"/>
    <mergeCell ref="BQ66:BZ66"/>
    <mergeCell ref="AI67:AK67"/>
    <mergeCell ref="BQ69:BT69"/>
    <mergeCell ref="BU69:BZ69"/>
    <mergeCell ref="BQ70:BS70"/>
    <mergeCell ref="BQ71:BT71"/>
    <mergeCell ref="BU71:BZ71"/>
    <mergeCell ref="CH69:CK69"/>
    <mergeCell ref="CL69:CQ69"/>
    <mergeCell ref="CH70:CJ70"/>
    <mergeCell ref="CH71:CK71"/>
    <mergeCell ref="CL71:CQ71"/>
    <mergeCell ref="CY69:DB69"/>
    <mergeCell ref="DC69:DH69"/>
    <mergeCell ref="CY70:DA70"/>
    <mergeCell ref="CY71:DB71"/>
    <mergeCell ref="DC71:DH71"/>
    <mergeCell ref="AI68:AK68"/>
    <mergeCell ref="AZ68:BB68"/>
    <mergeCell ref="BQ68:BS68"/>
    <mergeCell ref="CH68:CJ68"/>
    <mergeCell ref="CY68:DA68"/>
    <mergeCell ref="AI69:AL69"/>
    <mergeCell ref="AM69:AR69"/>
    <mergeCell ref="AZ72:BB72"/>
    <mergeCell ref="BQ72:BS72"/>
    <mergeCell ref="CH72:CJ72"/>
    <mergeCell ref="CY72:DA72"/>
    <mergeCell ref="AZ69:BC69"/>
    <mergeCell ref="BD69:BI69"/>
    <mergeCell ref="AI70:AK70"/>
    <mergeCell ref="AZ70:BB70"/>
    <mergeCell ref="AM71:AR71"/>
    <mergeCell ref="AZ71:BC71"/>
    <mergeCell ref="BD71:BI71"/>
    <mergeCell ref="CY74:DH74"/>
    <mergeCell ref="CY75:DH75"/>
    <mergeCell ref="CY76:DH76"/>
    <mergeCell ref="CY77:DH77"/>
    <mergeCell ref="CY78:DH78"/>
    <mergeCell ref="CY79:DH79"/>
    <mergeCell ref="CY81:DH81"/>
    <mergeCell ref="BU73:BZ73"/>
    <mergeCell ref="CH73:CK73"/>
    <mergeCell ref="CL73:CQ73"/>
    <mergeCell ref="CY73:DB73"/>
    <mergeCell ref="DC73:DH73"/>
    <mergeCell ref="CH74:CQ74"/>
    <mergeCell ref="CH75:CQ75"/>
    <mergeCell ref="AI71:AL71"/>
    <mergeCell ref="AI72:AK72"/>
    <mergeCell ref="AI73:AL73"/>
    <mergeCell ref="AM73:AR73"/>
    <mergeCell ref="AZ73:BC73"/>
    <mergeCell ref="BQ73:BT73"/>
    <mergeCell ref="BQ74:BZ74"/>
    <mergeCell ref="BT80:BZ80"/>
    <mergeCell ref="BQ81:BZ81"/>
    <mergeCell ref="CH81:CQ81"/>
    <mergeCell ref="AZ80:BB80"/>
    <mergeCell ref="BC80:BI80"/>
    <mergeCell ref="BQ80:BS80"/>
    <mergeCell ref="CH80:CJ80"/>
    <mergeCell ref="CK80:CQ80"/>
    <mergeCell ref="CY80:DA80"/>
    <mergeCell ref="DB80:DH80"/>
    <mergeCell ref="AI52:AK52"/>
    <mergeCell ref="AI53:AL53"/>
    <mergeCell ref="AM53:AR53"/>
    <mergeCell ref="BD53:BI53"/>
    <mergeCell ref="BU53:BZ53"/>
    <mergeCell ref="AI54:AK54"/>
    <mergeCell ref="AZ54:BB54"/>
    <mergeCell ref="AI55:AL55"/>
    <mergeCell ref="AM55:AR55"/>
    <mergeCell ref="BD55:BI55"/>
    <mergeCell ref="BU55:BZ55"/>
    <mergeCell ref="AI56:AK56"/>
    <mergeCell ref="AZ56:BB56"/>
    <mergeCell ref="BQ56:BS56"/>
    <mergeCell ref="DS57:DT57"/>
    <mergeCell ref="DU57:DW57"/>
    <mergeCell ref="CH58:CJ58"/>
    <mergeCell ref="CY58:DA58"/>
    <mergeCell ref="CL59:CQ59"/>
    <mergeCell ref="CY59:DB59"/>
    <mergeCell ref="DC59:DH59"/>
    <mergeCell ref="CY61:DB61"/>
    <mergeCell ref="CY62:DA62"/>
    <mergeCell ref="CY63:DB63"/>
    <mergeCell ref="CH59:CK59"/>
    <mergeCell ref="CH60:CJ60"/>
    <mergeCell ref="CY60:DA60"/>
    <mergeCell ref="CH61:CK61"/>
    <mergeCell ref="CL61:CQ61"/>
    <mergeCell ref="DC61:DH61"/>
    <mergeCell ref="CH62:CJ62"/>
    <mergeCell ref="CY65:DB65"/>
    <mergeCell ref="DC65:DH65"/>
    <mergeCell ref="CH66:CQ66"/>
    <mergeCell ref="CY66:DH66"/>
    <mergeCell ref="CH63:CK63"/>
    <mergeCell ref="CL63:CQ63"/>
    <mergeCell ref="DC63:DH63"/>
    <mergeCell ref="CH64:CJ64"/>
    <mergeCell ref="CY64:DA64"/>
    <mergeCell ref="CH65:CK65"/>
    <mergeCell ref="CL65:CQ65"/>
    <mergeCell ref="AI57:AL57"/>
    <mergeCell ref="AM57:AR57"/>
    <mergeCell ref="BD57:BI57"/>
    <mergeCell ref="BU57:BZ57"/>
    <mergeCell ref="AI58:AK58"/>
    <mergeCell ref="AZ58:BB58"/>
    <mergeCell ref="BQ58:BS58"/>
    <mergeCell ref="AI59:AL59"/>
    <mergeCell ref="AM59:AR59"/>
    <mergeCell ref="BD59:BI59"/>
    <mergeCell ref="BU59:BZ59"/>
    <mergeCell ref="AI60:AK60"/>
    <mergeCell ref="AZ60:BB60"/>
    <mergeCell ref="BQ60:BS60"/>
    <mergeCell ref="AZ48:BB48"/>
    <mergeCell ref="AZ49:BC49"/>
    <mergeCell ref="AZ47:BC47"/>
    <mergeCell ref="AZ50:BB50"/>
    <mergeCell ref="AZ51:BC51"/>
    <mergeCell ref="AZ53:BC53"/>
    <mergeCell ref="AZ55:BC55"/>
    <mergeCell ref="AZ57:BC57"/>
    <mergeCell ref="AZ59:BC59"/>
    <mergeCell ref="BD49:BI49"/>
    <mergeCell ref="BQ49:BT49"/>
    <mergeCell ref="BU49:BZ49"/>
    <mergeCell ref="BQ50:BS50"/>
    <mergeCell ref="AI47:AL47"/>
    <mergeCell ref="AM47:AR47"/>
    <mergeCell ref="BD47:BI47"/>
    <mergeCell ref="AI48:AK48"/>
    <mergeCell ref="AI49:AL49"/>
    <mergeCell ref="AM49:AR49"/>
    <mergeCell ref="AI50:AK50"/>
    <mergeCell ref="AI51:AL51"/>
    <mergeCell ref="AM51:AR51"/>
    <mergeCell ref="BD51:BI51"/>
    <mergeCell ref="BQ51:BT51"/>
    <mergeCell ref="BU51:BZ51"/>
    <mergeCell ref="AZ52:BB52"/>
    <mergeCell ref="BQ52:BS52"/>
    <mergeCell ref="BQ53:BT53"/>
    <mergeCell ref="BQ54:BS54"/>
    <mergeCell ref="BQ55:BT55"/>
    <mergeCell ref="BQ57:BT57"/>
    <mergeCell ref="BQ59:BT59"/>
    <mergeCell ref="BQ61:BT61"/>
    <mergeCell ref="BQ63:BT63"/>
    <mergeCell ref="BQ65:BT65"/>
    <mergeCell ref="AI61:AL61"/>
    <mergeCell ref="AM61:AR61"/>
    <mergeCell ref="BD61:BI61"/>
    <mergeCell ref="BU61:BZ61"/>
    <mergeCell ref="AI62:AK62"/>
    <mergeCell ref="AZ62:BB62"/>
    <mergeCell ref="BQ62:BS62"/>
    <mergeCell ref="AZ61:BC61"/>
    <mergeCell ref="AZ63:BC63"/>
    <mergeCell ref="AZ65:BC65"/>
    <mergeCell ref="AI63:AL63"/>
    <mergeCell ref="AM63:AR63"/>
    <mergeCell ref="BD63:BI63"/>
    <mergeCell ref="BU63:BZ63"/>
    <mergeCell ref="AI64:AK64"/>
    <mergeCell ref="AZ64:BB64"/>
    <mergeCell ref="BQ64:BS64"/>
    <mergeCell ref="AI74:AR74"/>
    <mergeCell ref="AI75:AR75"/>
    <mergeCell ref="AI76:AR76"/>
    <mergeCell ref="AI77:AR77"/>
    <mergeCell ref="AI78:AR78"/>
    <mergeCell ref="AI79:AR79"/>
    <mergeCell ref="AI80:AK80"/>
    <mergeCell ref="AL80:AR80"/>
    <mergeCell ref="AI81:AR81"/>
    <mergeCell ref="AM82:AN82"/>
    <mergeCell ref="AO82:AR82"/>
    <mergeCell ref="AI83:AL83"/>
    <mergeCell ref="AM83:AN83"/>
    <mergeCell ref="AO83:AR83"/>
    <mergeCell ref="AI88:AJ88"/>
    <mergeCell ref="AI89:AK89"/>
    <mergeCell ref="AM89:AO89"/>
    <mergeCell ref="AP89:AR89"/>
    <mergeCell ref="AI90:AK90"/>
    <mergeCell ref="AM90:AO90"/>
    <mergeCell ref="AP90:AR90"/>
    <mergeCell ref="AI84:AJ84"/>
    <mergeCell ref="AI85:AK85"/>
    <mergeCell ref="AL85:AR85"/>
    <mergeCell ref="AM86:AN86"/>
    <mergeCell ref="AO86:AQ86"/>
    <mergeCell ref="AM87:AN87"/>
    <mergeCell ref="AO87:AQ87"/>
    <mergeCell ref="BD73:BI73"/>
    <mergeCell ref="AZ74:BI74"/>
    <mergeCell ref="AZ75:BI75"/>
    <mergeCell ref="AZ76:BI76"/>
    <mergeCell ref="AZ77:BI77"/>
    <mergeCell ref="AZ78:BI78"/>
    <mergeCell ref="AZ79:BI79"/>
    <mergeCell ref="AZ81:BI81"/>
    <mergeCell ref="BD82:BE82"/>
    <mergeCell ref="BF82:BI82"/>
    <mergeCell ref="AZ83:BC83"/>
    <mergeCell ref="BD83:BE83"/>
    <mergeCell ref="BF83:BI83"/>
    <mergeCell ref="AZ84:BA84"/>
    <mergeCell ref="AZ89:BB89"/>
    <mergeCell ref="BD89:BF89"/>
    <mergeCell ref="BG89:BI89"/>
    <mergeCell ref="AZ90:BB90"/>
    <mergeCell ref="BD90:BF90"/>
    <mergeCell ref="BG90:BI90"/>
    <mergeCell ref="AZ85:BB85"/>
    <mergeCell ref="BC85:BI85"/>
    <mergeCell ref="BD86:BE86"/>
    <mergeCell ref="BF86:BH86"/>
    <mergeCell ref="BD87:BE87"/>
    <mergeCell ref="BF87:BH87"/>
    <mergeCell ref="AZ88:BA88"/>
    <mergeCell ref="BU90:BW90"/>
    <mergeCell ref="BX90:BZ90"/>
    <mergeCell ref="CH90:CJ90"/>
    <mergeCell ref="CL90:CN90"/>
    <mergeCell ref="CO90:CQ90"/>
    <mergeCell ref="CY90:DA90"/>
    <mergeCell ref="DC90:DE90"/>
    <mergeCell ref="DF90:DH90"/>
    <mergeCell ref="BU87:BV87"/>
    <mergeCell ref="BW87:BY87"/>
    <mergeCell ref="BQ88:BR88"/>
    <mergeCell ref="BQ89:BS89"/>
    <mergeCell ref="BU89:BW89"/>
    <mergeCell ref="BX89:BZ89"/>
    <mergeCell ref="BQ90:BS90"/>
    <mergeCell ref="AI12:AR12"/>
    <mergeCell ref="AI13:AR13"/>
    <mergeCell ref="AZ13:BI13"/>
    <mergeCell ref="BQ13:BZ13"/>
    <mergeCell ref="AI14:AR14"/>
    <mergeCell ref="BQ14:BZ14"/>
    <mergeCell ref="BQ15:BS15"/>
    <mergeCell ref="AZ14:BI14"/>
    <mergeCell ref="AZ15:BB15"/>
    <mergeCell ref="AZ16:BB16"/>
    <mergeCell ref="BQ16:BS16"/>
    <mergeCell ref="BD17:BI17"/>
    <mergeCell ref="BQ17:BT17"/>
    <mergeCell ref="BU17:BZ17"/>
    <mergeCell ref="AI11:AR11"/>
    <mergeCell ref="AZ11:BI11"/>
    <mergeCell ref="BQ11:BZ11"/>
    <mergeCell ref="CY11:DH11"/>
    <mergeCell ref="AZ12:BI12"/>
    <mergeCell ref="BQ12:BZ12"/>
    <mergeCell ref="CY12:DH12"/>
    <mergeCell ref="CH11:CQ11"/>
    <mergeCell ref="CH12:CQ12"/>
    <mergeCell ref="CH13:CQ13"/>
    <mergeCell ref="CY13:DH13"/>
    <mergeCell ref="CH14:CQ14"/>
    <mergeCell ref="CY14:DH14"/>
    <mergeCell ref="CY15:DA15"/>
    <mergeCell ref="AZ17:BC17"/>
    <mergeCell ref="AZ18:BB18"/>
    <mergeCell ref="AZ19:BC19"/>
    <mergeCell ref="BD19:BI19"/>
    <mergeCell ref="AZ20:BB20"/>
    <mergeCell ref="AZ21:BC21"/>
    <mergeCell ref="BD21:BI21"/>
    <mergeCell ref="BQ18:BS18"/>
    <mergeCell ref="BQ19:BT19"/>
    <mergeCell ref="BU19:BZ19"/>
    <mergeCell ref="BQ20:BS20"/>
    <mergeCell ref="BQ21:BT21"/>
    <mergeCell ref="BU21:BZ21"/>
    <mergeCell ref="AI20:AK20"/>
    <mergeCell ref="AI21:AL21"/>
    <mergeCell ref="AM21:AR21"/>
    <mergeCell ref="AI15:AK15"/>
    <mergeCell ref="AI16:AK16"/>
    <mergeCell ref="AI17:AL17"/>
    <mergeCell ref="AM17:AR17"/>
    <mergeCell ref="AI18:AK18"/>
    <mergeCell ref="AI19:AL19"/>
    <mergeCell ref="AM19:AR19"/>
    <mergeCell ref="CY26:DA26"/>
    <mergeCell ref="CY27:DB27"/>
    <mergeCell ref="DC27:DH27"/>
    <mergeCell ref="R28:T28"/>
    <mergeCell ref="R29:U29"/>
    <mergeCell ref="V29:AA29"/>
    <mergeCell ref="R30:T30"/>
    <mergeCell ref="R31:U31"/>
    <mergeCell ref="V31:AA31"/>
    <mergeCell ref="R32:T32"/>
    <mergeCell ref="R33:U33"/>
    <mergeCell ref="V33:AA33"/>
    <mergeCell ref="AM33:AR33"/>
    <mergeCell ref="AZ33:BC33"/>
    <mergeCell ref="BD33:BI33"/>
    <mergeCell ref="BQ33:BT33"/>
    <mergeCell ref="BU33:BZ33"/>
    <mergeCell ref="AZ35:BC35"/>
    <mergeCell ref="AZ36:BB36"/>
    <mergeCell ref="AZ37:BC37"/>
    <mergeCell ref="AI33:AL33"/>
    <mergeCell ref="AI34:AK34"/>
    <mergeCell ref="AZ34:BB34"/>
    <mergeCell ref="AI35:AL35"/>
    <mergeCell ref="AM35:AR35"/>
    <mergeCell ref="BD35:BI35"/>
    <mergeCell ref="AI36:AK36"/>
    <mergeCell ref="BQ39:BT39"/>
    <mergeCell ref="BU39:BZ39"/>
    <mergeCell ref="BQ40:BS40"/>
    <mergeCell ref="BQ34:BS34"/>
    <mergeCell ref="BQ35:BT35"/>
    <mergeCell ref="BU35:BZ35"/>
    <mergeCell ref="BQ36:BS36"/>
    <mergeCell ref="BQ37:BT37"/>
    <mergeCell ref="BU37:BZ37"/>
    <mergeCell ref="BQ38:BS38"/>
    <mergeCell ref="AZ38:BB38"/>
    <mergeCell ref="AZ40:BB40"/>
    <mergeCell ref="AZ39:BC39"/>
    <mergeCell ref="BD39:BI39"/>
    <mergeCell ref="AI37:AL37"/>
    <mergeCell ref="AM37:AR37"/>
    <mergeCell ref="BD37:BI37"/>
    <mergeCell ref="AI38:AK38"/>
    <mergeCell ref="AI39:AL39"/>
    <mergeCell ref="AM39:AR39"/>
    <mergeCell ref="AI40:AK40"/>
    <mergeCell ref="AI41:AL41"/>
    <mergeCell ref="AM41:AR41"/>
    <mergeCell ref="AZ41:BC41"/>
    <mergeCell ref="BD41:BI41"/>
    <mergeCell ref="BU41:BZ41"/>
    <mergeCell ref="AI42:AK42"/>
    <mergeCell ref="AZ42:BB42"/>
    <mergeCell ref="AI43:AL43"/>
    <mergeCell ref="AM43:AR43"/>
    <mergeCell ref="AZ43:BC43"/>
    <mergeCell ref="BD43:BI43"/>
    <mergeCell ref="BU43:BZ43"/>
    <mergeCell ref="AZ44:BB44"/>
    <mergeCell ref="BQ44:BS44"/>
    <mergeCell ref="AI44:AK44"/>
    <mergeCell ref="AI45:AL45"/>
    <mergeCell ref="AM45:AR45"/>
    <mergeCell ref="AZ45:BC45"/>
    <mergeCell ref="BD45:BI45"/>
    <mergeCell ref="AI46:AK46"/>
    <mergeCell ref="AZ46:BB46"/>
    <mergeCell ref="BQ47:BT47"/>
    <mergeCell ref="BQ48:BS48"/>
    <mergeCell ref="BQ41:BT41"/>
    <mergeCell ref="BQ42:BS42"/>
    <mergeCell ref="BQ43:BT43"/>
    <mergeCell ref="BQ45:BT45"/>
    <mergeCell ref="BU45:BZ45"/>
    <mergeCell ref="BQ46:BS46"/>
    <mergeCell ref="BU47:BZ47"/>
    <mergeCell ref="A23:D23"/>
    <mergeCell ref="A25:C25"/>
    <mergeCell ref="A26:C26"/>
    <mergeCell ref="A27:D27"/>
    <mergeCell ref="E27:J27"/>
    <mergeCell ref="A28:C28"/>
    <mergeCell ref="E29:J29"/>
    <mergeCell ref="A29:D29"/>
    <mergeCell ref="A30:C30"/>
    <mergeCell ref="A31:D31"/>
    <mergeCell ref="E31:J31"/>
    <mergeCell ref="A32:C32"/>
    <mergeCell ref="A33:D33"/>
    <mergeCell ref="E33:J33"/>
    <mergeCell ref="R36:T36"/>
    <mergeCell ref="R37:U37"/>
    <mergeCell ref="A35:D35"/>
    <mergeCell ref="E35:J35"/>
    <mergeCell ref="R35:U35"/>
    <mergeCell ref="V35:AA35"/>
    <mergeCell ref="A36:C36"/>
    <mergeCell ref="E37:J37"/>
    <mergeCell ref="V37:AA37"/>
    <mergeCell ref="R39:U39"/>
    <mergeCell ref="R40:T40"/>
    <mergeCell ref="A37:D37"/>
    <mergeCell ref="A38:C38"/>
    <mergeCell ref="R38:T38"/>
    <mergeCell ref="A39:D39"/>
    <mergeCell ref="E39:J39"/>
    <mergeCell ref="V39:AA39"/>
    <mergeCell ref="A40:C40"/>
    <mergeCell ref="R42:T42"/>
    <mergeCell ref="R43:U43"/>
    <mergeCell ref="A41:D41"/>
    <mergeCell ref="E41:J41"/>
    <mergeCell ref="R41:U41"/>
    <mergeCell ref="V41:AA41"/>
    <mergeCell ref="A42:C42"/>
    <mergeCell ref="E43:J43"/>
    <mergeCell ref="V43:AA43"/>
    <mergeCell ref="R45:U45"/>
    <mergeCell ref="R46:T46"/>
    <mergeCell ref="A43:D43"/>
    <mergeCell ref="A44:C44"/>
    <mergeCell ref="R44:T44"/>
    <mergeCell ref="A45:D45"/>
    <mergeCell ref="E45:J45"/>
    <mergeCell ref="V45:AA45"/>
    <mergeCell ref="A46:C46"/>
    <mergeCell ref="R48:T48"/>
    <mergeCell ref="R49:U49"/>
    <mergeCell ref="A47:D47"/>
    <mergeCell ref="E47:J47"/>
    <mergeCell ref="R47:U47"/>
    <mergeCell ref="V47:AA47"/>
    <mergeCell ref="A48:C48"/>
    <mergeCell ref="E49:J49"/>
    <mergeCell ref="V49:AA49"/>
    <mergeCell ref="R51:U51"/>
    <mergeCell ref="R52:T52"/>
    <mergeCell ref="A49:D49"/>
    <mergeCell ref="A50:C50"/>
    <mergeCell ref="R50:T50"/>
    <mergeCell ref="A51:D51"/>
    <mergeCell ref="E51:J51"/>
    <mergeCell ref="V51:AA51"/>
    <mergeCell ref="A52:C52"/>
    <mergeCell ref="BX6:BZ6"/>
    <mergeCell ref="CK6:CL6"/>
    <mergeCell ref="CM6:CN6"/>
    <mergeCell ref="CO6:CQ6"/>
    <mergeCell ref="DB6:DC6"/>
    <mergeCell ref="DD6:DE6"/>
    <mergeCell ref="DF6:DH6"/>
    <mergeCell ref="Y6:AA6"/>
    <mergeCell ref="AL6:AM6"/>
    <mergeCell ref="BC6:BD6"/>
    <mergeCell ref="BE6:BF6"/>
    <mergeCell ref="BG6:BI6"/>
    <mergeCell ref="BT6:BU6"/>
    <mergeCell ref="BV6:BW6"/>
    <mergeCell ref="AZ1:BI1"/>
    <mergeCell ref="BD2:BH2"/>
    <mergeCell ref="BA3:BI3"/>
    <mergeCell ref="BR3:BZ3"/>
    <mergeCell ref="CH1:CQ1"/>
    <mergeCell ref="CL2:CP2"/>
    <mergeCell ref="CI3:CQ3"/>
    <mergeCell ref="CZ3:DH3"/>
    <mergeCell ref="A1:J1"/>
    <mergeCell ref="AI1:AR1"/>
    <mergeCell ref="BQ1:BZ1"/>
    <mergeCell ref="CY1:DH1"/>
    <mergeCell ref="E2:I2"/>
    <mergeCell ref="AM2:AQ2"/>
    <mergeCell ref="BU2:BY2"/>
    <mergeCell ref="DC2:DG2"/>
    <mergeCell ref="CK4:CQ4"/>
    <mergeCell ref="CY4:DA4"/>
    <mergeCell ref="DB4:DH4"/>
    <mergeCell ref="AI4:AK4"/>
    <mergeCell ref="AL4:AR4"/>
    <mergeCell ref="AZ4:BB4"/>
    <mergeCell ref="BC4:BI4"/>
    <mergeCell ref="BQ4:BS4"/>
    <mergeCell ref="BT4:BZ4"/>
    <mergeCell ref="CH4:CJ4"/>
    <mergeCell ref="A5:J5"/>
    <mergeCell ref="R5:AA5"/>
    <mergeCell ref="AI5:AR5"/>
    <mergeCell ref="AZ5:BI5"/>
    <mergeCell ref="BQ5:BZ5"/>
    <mergeCell ref="CH5:CQ5"/>
    <mergeCell ref="CY5:DH5"/>
    <mergeCell ref="AZ7:BI7"/>
    <mergeCell ref="BQ7:BZ7"/>
    <mergeCell ref="CH7:CQ7"/>
    <mergeCell ref="CY7:DH7"/>
    <mergeCell ref="R1:AA1"/>
    <mergeCell ref="V2:Z2"/>
    <mergeCell ref="B3:J3"/>
    <mergeCell ref="S3:AA3"/>
    <mergeCell ref="AJ3:AR3"/>
    <mergeCell ref="A4:C4"/>
    <mergeCell ref="D4:J4"/>
    <mergeCell ref="CO8:CQ8"/>
    <mergeCell ref="DA8:DB8"/>
    <mergeCell ref="DD8:DE8"/>
    <mergeCell ref="DF8:DH8"/>
    <mergeCell ref="BE8:BF8"/>
    <mergeCell ref="BG8:BI8"/>
    <mergeCell ref="BS8:BT8"/>
    <mergeCell ref="BV8:BW8"/>
    <mergeCell ref="BX8:BZ8"/>
    <mergeCell ref="CJ8:CK8"/>
    <mergeCell ref="CM8:CN8"/>
    <mergeCell ref="BF9:BI9"/>
    <mergeCell ref="BQ9:BV9"/>
    <mergeCell ref="BW9:BZ9"/>
    <mergeCell ref="CH9:CM9"/>
    <mergeCell ref="CN9:CQ9"/>
    <mergeCell ref="CY9:DD9"/>
    <mergeCell ref="DE9:DH9"/>
    <mergeCell ref="A9:F9"/>
    <mergeCell ref="G9:J9"/>
    <mergeCell ref="R9:W9"/>
    <mergeCell ref="X9:AA9"/>
    <mergeCell ref="AI9:AN9"/>
    <mergeCell ref="AO9:AR9"/>
    <mergeCell ref="AZ9:BE9"/>
    <mergeCell ref="A10:J10"/>
    <mergeCell ref="R10:AA10"/>
    <mergeCell ref="AI10:AR10"/>
    <mergeCell ref="AZ10:BI10"/>
    <mergeCell ref="BQ10:BZ10"/>
    <mergeCell ref="CH10:CQ10"/>
    <mergeCell ref="CY10:DH10"/>
    <mergeCell ref="AN6:AO6"/>
    <mergeCell ref="AP6:AR6"/>
    <mergeCell ref="AI7:AR7"/>
    <mergeCell ref="AK8:AL8"/>
    <mergeCell ref="AN8:AO8"/>
    <mergeCell ref="AP8:AR8"/>
    <mergeCell ref="BB8:BC8"/>
    <mergeCell ref="A19:D19"/>
    <mergeCell ref="E19:J19"/>
    <mergeCell ref="V19:AA19"/>
    <mergeCell ref="A20:C20"/>
    <mergeCell ref="A21:D21"/>
    <mergeCell ref="E21:J21"/>
    <mergeCell ref="A22:C22"/>
    <mergeCell ref="R21:U21"/>
    <mergeCell ref="V21:AA21"/>
    <mergeCell ref="AI22:AK22"/>
    <mergeCell ref="AZ22:BB22"/>
    <mergeCell ref="BQ22:BS22"/>
    <mergeCell ref="AI23:AL23"/>
    <mergeCell ref="BQ23:BT23"/>
    <mergeCell ref="BQ25:BS25"/>
    <mergeCell ref="BQ26:BS26"/>
    <mergeCell ref="BQ27:BT27"/>
    <mergeCell ref="BQ29:BT29"/>
    <mergeCell ref="BQ31:BT31"/>
    <mergeCell ref="AZ27:BC27"/>
    <mergeCell ref="BD27:BI27"/>
    <mergeCell ref="BU27:BZ27"/>
    <mergeCell ref="AZ28:BB28"/>
    <mergeCell ref="BQ28:BS28"/>
    <mergeCell ref="AZ23:BC23"/>
    <mergeCell ref="BD23:BI23"/>
    <mergeCell ref="BU23:BZ23"/>
    <mergeCell ref="AZ24:BI24"/>
    <mergeCell ref="BQ24:BZ24"/>
    <mergeCell ref="AZ25:BB25"/>
    <mergeCell ref="AZ26:BB26"/>
    <mergeCell ref="AI29:AL29"/>
    <mergeCell ref="AM29:AR29"/>
    <mergeCell ref="AZ29:BC29"/>
    <mergeCell ref="BD29:BI29"/>
    <mergeCell ref="BU29:BZ29"/>
    <mergeCell ref="AZ30:BB30"/>
    <mergeCell ref="BQ30:BS30"/>
    <mergeCell ref="AI30:AK30"/>
    <mergeCell ref="AI31:AL31"/>
    <mergeCell ref="AM31:AR31"/>
    <mergeCell ref="AZ31:BC31"/>
    <mergeCell ref="BD31:BI31"/>
    <mergeCell ref="BU31:BZ31"/>
    <mergeCell ref="AZ32:BB32"/>
    <mergeCell ref="BQ32:BS32"/>
    <mergeCell ref="AM23:AR23"/>
    <mergeCell ref="AI24:AR24"/>
    <mergeCell ref="AI25:AK25"/>
    <mergeCell ref="AI26:AK26"/>
    <mergeCell ref="AI27:AL27"/>
    <mergeCell ref="AM27:AR27"/>
    <mergeCell ref="AI28:AK28"/>
    <mergeCell ref="AI32:AK32"/>
    <mergeCell ref="CH44:CJ44"/>
    <mergeCell ref="CH45:CK45"/>
    <mergeCell ref="CL45:CQ45"/>
    <mergeCell ref="CH46:CJ46"/>
    <mergeCell ref="CH47:CK47"/>
    <mergeCell ref="CL47:CQ47"/>
    <mergeCell ref="CH48:CJ48"/>
    <mergeCell ref="CH49:CK49"/>
    <mergeCell ref="CL49:CQ49"/>
    <mergeCell ref="CH50:CJ50"/>
    <mergeCell ref="CH51:CK51"/>
    <mergeCell ref="CL51:CQ51"/>
    <mergeCell ref="CH52:CJ52"/>
    <mergeCell ref="CL53:CQ53"/>
    <mergeCell ref="CH15:CJ15"/>
    <mergeCell ref="CH16:CJ16"/>
    <mergeCell ref="CH17:CK17"/>
    <mergeCell ref="CL17:CQ17"/>
    <mergeCell ref="CH18:CJ18"/>
    <mergeCell ref="CH19:CK19"/>
    <mergeCell ref="CL19:CQ19"/>
    <mergeCell ref="CH20:CJ20"/>
    <mergeCell ref="CH21:CK21"/>
    <mergeCell ref="CL21:CQ21"/>
    <mergeCell ref="CH22:CJ22"/>
    <mergeCell ref="CH23:CK23"/>
    <mergeCell ref="CL23:CQ23"/>
    <mergeCell ref="CH24:CQ24"/>
    <mergeCell ref="CH25:CJ25"/>
    <mergeCell ref="CH26:CJ26"/>
    <mergeCell ref="CH27:CK27"/>
    <mergeCell ref="CL27:CQ27"/>
    <mergeCell ref="CH28:CJ28"/>
    <mergeCell ref="CH29:CK29"/>
    <mergeCell ref="CL29:CQ29"/>
    <mergeCell ref="CH30:CJ30"/>
    <mergeCell ref="CH31:CK31"/>
    <mergeCell ref="CL31:CQ31"/>
    <mergeCell ref="CH32:CJ32"/>
    <mergeCell ref="CH33:CK33"/>
    <mergeCell ref="CL33:CQ33"/>
    <mergeCell ref="CH34:CJ34"/>
    <mergeCell ref="CH35:CK35"/>
    <mergeCell ref="CL35:CQ35"/>
    <mergeCell ref="CH36:CJ36"/>
    <mergeCell ref="CH37:CK37"/>
    <mergeCell ref="CL37:CQ37"/>
    <mergeCell ref="CH38:CJ38"/>
    <mergeCell ref="CL39:CQ39"/>
    <mergeCell ref="CH39:CK39"/>
    <mergeCell ref="CH40:CJ40"/>
    <mergeCell ref="CH41:CK41"/>
    <mergeCell ref="CL41:CQ41"/>
    <mergeCell ref="CH42:CJ42"/>
    <mergeCell ref="CH43:CK43"/>
    <mergeCell ref="CL43:CQ43"/>
    <mergeCell ref="CH53:CK53"/>
    <mergeCell ref="CH54:CJ54"/>
    <mergeCell ref="CH55:CK55"/>
    <mergeCell ref="CL55:CQ55"/>
    <mergeCell ref="CH56:CJ56"/>
    <mergeCell ref="CH57:CK57"/>
    <mergeCell ref="CL57:CQ57"/>
    <mergeCell ref="CY47:DB47"/>
    <mergeCell ref="DC47:DH47"/>
    <mergeCell ref="CY48:DA48"/>
    <mergeCell ref="CY49:DB49"/>
    <mergeCell ref="DC49:DH49"/>
    <mergeCell ref="CY50:DA50"/>
    <mergeCell ref="DC51:DH51"/>
    <mergeCell ref="CY51:DB51"/>
    <mergeCell ref="CY52:DA52"/>
    <mergeCell ref="CY53:DB53"/>
    <mergeCell ref="DC53:DH53"/>
    <mergeCell ref="CY54:DA54"/>
    <mergeCell ref="CY55:DB55"/>
    <mergeCell ref="DC55:DH55"/>
    <mergeCell ref="CY16:DA16"/>
    <mergeCell ref="CY17:DB17"/>
    <mergeCell ref="DC17:DH17"/>
    <mergeCell ref="CY18:DA18"/>
    <mergeCell ref="CY19:DB19"/>
    <mergeCell ref="DC19:DH19"/>
    <mergeCell ref="CY20:DA20"/>
    <mergeCell ref="CY21:DB21"/>
    <mergeCell ref="DC21:DH21"/>
    <mergeCell ref="CY22:DA22"/>
    <mergeCell ref="CY23:DB23"/>
    <mergeCell ref="DC23:DH23"/>
    <mergeCell ref="CY24:DH24"/>
    <mergeCell ref="CY25:DA25"/>
    <mergeCell ref="CY28:DA28"/>
    <mergeCell ref="CY29:DB29"/>
    <mergeCell ref="DC29:DH29"/>
    <mergeCell ref="CY30:DA30"/>
    <mergeCell ref="CY31:DB31"/>
    <mergeCell ref="DC31:DH31"/>
    <mergeCell ref="CY32:DA32"/>
    <mergeCell ref="CY33:DB33"/>
    <mergeCell ref="DC33:DH33"/>
    <mergeCell ref="CY34:DA34"/>
    <mergeCell ref="CY35:DB35"/>
    <mergeCell ref="DC35:DH35"/>
    <mergeCell ref="CY36:DA36"/>
    <mergeCell ref="DC37:DH37"/>
    <mergeCell ref="CY37:DB37"/>
    <mergeCell ref="CY38:DA38"/>
    <mergeCell ref="CY39:DB39"/>
    <mergeCell ref="DC39:DH39"/>
    <mergeCell ref="CY40:DA40"/>
    <mergeCell ref="CY41:DB41"/>
    <mergeCell ref="DC41:DH41"/>
    <mergeCell ref="CY42:DA42"/>
    <mergeCell ref="CY43:DB43"/>
    <mergeCell ref="DC43:DH43"/>
    <mergeCell ref="CY44:DA44"/>
    <mergeCell ref="CY45:DB45"/>
    <mergeCell ref="DC45:DH45"/>
    <mergeCell ref="CY46:DA46"/>
    <mergeCell ref="CY56:DA56"/>
    <mergeCell ref="CY57:DB57"/>
    <mergeCell ref="DC57:DH57"/>
    <mergeCell ref="A76:J76"/>
    <mergeCell ref="A77:J77"/>
    <mergeCell ref="A78:J78"/>
    <mergeCell ref="R72:T72"/>
    <mergeCell ref="R73:U73"/>
    <mergeCell ref="A74:J74"/>
    <mergeCell ref="R74:AA74"/>
    <mergeCell ref="A75:J75"/>
    <mergeCell ref="R75:AA75"/>
    <mergeCell ref="R76:AA76"/>
    <mergeCell ref="D80:J80"/>
    <mergeCell ref="A81:J81"/>
    <mergeCell ref="E82:F82"/>
    <mergeCell ref="G82:J82"/>
    <mergeCell ref="X82:AA82"/>
    <mergeCell ref="R77:AA77"/>
    <mergeCell ref="R78:AA78"/>
    <mergeCell ref="A79:J79"/>
    <mergeCell ref="R79:AA79"/>
    <mergeCell ref="A80:C80"/>
    <mergeCell ref="R80:T80"/>
    <mergeCell ref="U80:AA80"/>
    <mergeCell ref="A83:D83"/>
    <mergeCell ref="A84:B84"/>
    <mergeCell ref="A85:C85"/>
    <mergeCell ref="D85:J85"/>
    <mergeCell ref="R81:AA81"/>
    <mergeCell ref="V82:W82"/>
    <mergeCell ref="E83:F83"/>
    <mergeCell ref="G83:J83"/>
    <mergeCell ref="R83:U83"/>
    <mergeCell ref="V83:W83"/>
    <mergeCell ref="X83:AA83"/>
    <mergeCell ref="U85:AA85"/>
    <mergeCell ref="V86:W86"/>
    <mergeCell ref="V87:W87"/>
    <mergeCell ref="R84:S84"/>
    <mergeCell ref="R85:T85"/>
    <mergeCell ref="E86:F86"/>
    <mergeCell ref="G86:I86"/>
    <mergeCell ref="X86:Z86"/>
    <mergeCell ref="G87:I87"/>
    <mergeCell ref="X87:Z87"/>
    <mergeCell ref="E89:G89"/>
    <mergeCell ref="E90:G90"/>
    <mergeCell ref="R89:T89"/>
    <mergeCell ref="R90:T90"/>
    <mergeCell ref="V90:X90"/>
    <mergeCell ref="Y90:AA90"/>
    <mergeCell ref="R91:AA91"/>
    <mergeCell ref="E87:F87"/>
    <mergeCell ref="A88:B88"/>
    <mergeCell ref="R88:S88"/>
    <mergeCell ref="A89:C89"/>
    <mergeCell ref="H89:J89"/>
    <mergeCell ref="A90:C90"/>
    <mergeCell ref="H90:J90"/>
    <mergeCell ref="A91:J91"/>
    <mergeCell ref="R4:T4"/>
    <mergeCell ref="U4:AA4"/>
    <mergeCell ref="D6:E6"/>
    <mergeCell ref="F6:G6"/>
    <mergeCell ref="H6:J6"/>
    <mergeCell ref="U6:V6"/>
    <mergeCell ref="W6:X6"/>
    <mergeCell ref="A7:J7"/>
    <mergeCell ref="R7:AA7"/>
    <mergeCell ref="C8:D8"/>
    <mergeCell ref="F8:G8"/>
    <mergeCell ref="H8:J8"/>
    <mergeCell ref="T8:U8"/>
    <mergeCell ref="Y8:AA8"/>
    <mergeCell ref="A11:J11"/>
    <mergeCell ref="R11:AA11"/>
    <mergeCell ref="A12:J12"/>
    <mergeCell ref="R12:AA12"/>
    <mergeCell ref="A13:J13"/>
    <mergeCell ref="R13:AA13"/>
    <mergeCell ref="R14:AA14"/>
    <mergeCell ref="A14:J14"/>
    <mergeCell ref="A15:C15"/>
    <mergeCell ref="R15:T15"/>
    <mergeCell ref="A16:C16"/>
    <mergeCell ref="A17:D17"/>
    <mergeCell ref="E17:J17"/>
    <mergeCell ref="A18:C18"/>
    <mergeCell ref="R20:T20"/>
    <mergeCell ref="R22:T22"/>
    <mergeCell ref="E23:J23"/>
    <mergeCell ref="R23:U23"/>
    <mergeCell ref="V23:AA23"/>
    <mergeCell ref="A24:J24"/>
    <mergeCell ref="R24:AA24"/>
    <mergeCell ref="A34:C34"/>
    <mergeCell ref="R34:T34"/>
    <mergeCell ref="V89:X89"/>
    <mergeCell ref="Y89:AA89"/>
    <mergeCell ref="R17:U17"/>
    <mergeCell ref="V17:AA17"/>
    <mergeCell ref="R16:T16"/>
    <mergeCell ref="R18:T18"/>
    <mergeCell ref="R19:U19"/>
    <mergeCell ref="R25:T25"/>
    <mergeCell ref="R26:T26"/>
    <mergeCell ref="R27:U27"/>
    <mergeCell ref="V27:AA27"/>
    <mergeCell ref="R54:T54"/>
    <mergeCell ref="R55:U55"/>
    <mergeCell ref="A53:D53"/>
    <mergeCell ref="E53:J53"/>
    <mergeCell ref="R53:U53"/>
    <mergeCell ref="V53:AA53"/>
    <mergeCell ref="A54:C54"/>
    <mergeCell ref="E55:J55"/>
    <mergeCell ref="V55:AA55"/>
    <mergeCell ref="R57:U57"/>
    <mergeCell ref="R58:T58"/>
    <mergeCell ref="A55:D55"/>
    <mergeCell ref="A56:C56"/>
    <mergeCell ref="R56:T56"/>
    <mergeCell ref="A57:D57"/>
    <mergeCell ref="E57:J57"/>
    <mergeCell ref="V57:AA57"/>
    <mergeCell ref="A58:C58"/>
    <mergeCell ref="R60:T60"/>
    <mergeCell ref="R61:U61"/>
    <mergeCell ref="A59:D59"/>
    <mergeCell ref="E59:J59"/>
    <mergeCell ref="R59:U59"/>
    <mergeCell ref="V59:AA59"/>
    <mergeCell ref="A60:C60"/>
    <mergeCell ref="E61:J61"/>
    <mergeCell ref="V61:AA61"/>
    <mergeCell ref="R63:U63"/>
    <mergeCell ref="R64:T64"/>
    <mergeCell ref="A61:D61"/>
    <mergeCell ref="A62:C62"/>
    <mergeCell ref="R62:T62"/>
    <mergeCell ref="A63:D63"/>
    <mergeCell ref="E63:J63"/>
    <mergeCell ref="V63:AA63"/>
    <mergeCell ref="A64:C64"/>
    <mergeCell ref="A67:C67"/>
    <mergeCell ref="A68:C68"/>
    <mergeCell ref="A69:D69"/>
    <mergeCell ref="E69:J69"/>
    <mergeCell ref="V69:AA69"/>
    <mergeCell ref="A65:D65"/>
    <mergeCell ref="E65:J65"/>
    <mergeCell ref="R65:U65"/>
    <mergeCell ref="V65:AA65"/>
    <mergeCell ref="A66:J66"/>
    <mergeCell ref="R66:AA66"/>
    <mergeCell ref="R67:T67"/>
    <mergeCell ref="A71:D71"/>
    <mergeCell ref="A72:C72"/>
    <mergeCell ref="A73:D73"/>
    <mergeCell ref="E73:J73"/>
    <mergeCell ref="V73:AA73"/>
    <mergeCell ref="R68:T68"/>
    <mergeCell ref="R69:U69"/>
    <mergeCell ref="A70:C70"/>
    <mergeCell ref="R70:T70"/>
    <mergeCell ref="E71:J71"/>
    <mergeCell ref="R71:U71"/>
    <mergeCell ref="V71:AA71"/>
    <mergeCell ref="DC86:DD86"/>
    <mergeCell ref="DC87:DD87"/>
    <mergeCell ref="DE87:DG87"/>
    <mergeCell ref="DC82:DD82"/>
    <mergeCell ref="CY83:DB83"/>
    <mergeCell ref="DC83:DD83"/>
    <mergeCell ref="CY84:CZ84"/>
    <mergeCell ref="CY85:DA85"/>
    <mergeCell ref="DB85:DH85"/>
    <mergeCell ref="DE86:DG86"/>
    <mergeCell ref="CH78:CQ78"/>
    <mergeCell ref="CH79:CQ79"/>
    <mergeCell ref="BQ75:BZ75"/>
    <mergeCell ref="BQ76:BZ76"/>
    <mergeCell ref="CH76:CQ76"/>
    <mergeCell ref="BQ77:BZ77"/>
    <mergeCell ref="CH77:CQ77"/>
    <mergeCell ref="BQ78:BZ78"/>
    <mergeCell ref="BQ79:BZ79"/>
    <mergeCell ref="BU82:BV82"/>
    <mergeCell ref="BW82:BZ82"/>
    <mergeCell ref="CL82:CM82"/>
    <mergeCell ref="CN82:CQ82"/>
    <mergeCell ref="DE82:DH82"/>
    <mergeCell ref="BQ83:BT83"/>
    <mergeCell ref="CN83:CQ83"/>
    <mergeCell ref="DE83:DH83"/>
    <mergeCell ref="BU83:BV83"/>
    <mergeCell ref="BW83:BZ83"/>
    <mergeCell ref="BQ84:BR84"/>
    <mergeCell ref="BQ85:BS85"/>
    <mergeCell ref="BT85:BZ85"/>
    <mergeCell ref="BU86:BV86"/>
    <mergeCell ref="BW86:BY86"/>
    <mergeCell ref="CH83:CK83"/>
    <mergeCell ref="CL83:CM83"/>
    <mergeCell ref="CH84:CI84"/>
    <mergeCell ref="CH85:CJ85"/>
    <mergeCell ref="CK85:CQ85"/>
    <mergeCell ref="CL86:CM86"/>
    <mergeCell ref="CN86:CP86"/>
    <mergeCell ref="CY89:DA89"/>
    <mergeCell ref="DC89:DE89"/>
    <mergeCell ref="DF89:DH89"/>
    <mergeCell ref="AI91:AR91"/>
    <mergeCell ref="AZ91:BI91"/>
    <mergeCell ref="BQ91:BZ91"/>
    <mergeCell ref="CH91:CQ91"/>
    <mergeCell ref="CY91:DH91"/>
    <mergeCell ref="CL87:CM87"/>
    <mergeCell ref="CN87:CP87"/>
    <mergeCell ref="CH88:CI88"/>
    <mergeCell ref="CY88:CZ88"/>
    <mergeCell ref="CH89:CJ89"/>
    <mergeCell ref="CL89:CN89"/>
    <mergeCell ref="CO89:CQ89"/>
  </mergeCells>
  <conditionalFormatting sqref="A7 R7 AI7 AZ7 BQ7 CH7 CY7">
    <cfRule type="expression" dxfId="0" priority="1">
      <formula>G9=10</formula>
    </cfRule>
  </conditionalFormatting>
  <conditionalFormatting sqref="CY4:DH4 CY6:DH90">
    <cfRule type="expression" dxfId="1" priority="2">
      <formula>$DE$9=10</formula>
    </cfRule>
  </conditionalFormatting>
  <conditionalFormatting sqref="CY16:DG23 CY26:DG65 CY68:DG73">
    <cfRule type="expression" dxfId="2" priority="3">
      <formula>ISEVEN($DI16)</formula>
    </cfRule>
  </conditionalFormatting>
  <conditionalFormatting sqref="CY16:DG23 CY26:DG65 CY68:DG73">
    <cfRule type="expression" dxfId="3" priority="4">
      <formula>ISODD($DI16)</formula>
    </cfRule>
  </conditionalFormatting>
  <conditionalFormatting sqref="CH4:CQ4 CH6:CQ90">
    <cfRule type="expression" dxfId="1" priority="5">
      <formula>$CN$9=10</formula>
    </cfRule>
  </conditionalFormatting>
  <conditionalFormatting sqref="CH16:CP23 CH26:CP65 CH68:CP73">
    <cfRule type="expression" dxfId="3" priority="6">
      <formula>ISODD($CR16)</formula>
    </cfRule>
  </conditionalFormatting>
  <conditionalFormatting sqref="CH16:CP23 CH26:CP65 CH68:CP73">
    <cfRule type="expression" dxfId="2" priority="7">
      <formula>ISEVEN($CR16)</formula>
    </cfRule>
  </conditionalFormatting>
  <conditionalFormatting sqref="BQ4:BZ4 BQ6:BZ90">
    <cfRule type="expression" dxfId="1" priority="8">
      <formula>$BW$9=10</formula>
    </cfRule>
  </conditionalFormatting>
  <conditionalFormatting sqref="BQ16:BY23 BQ26:BY65 BQ68:BY73">
    <cfRule type="expression" dxfId="3" priority="9">
      <formula>ISODD($CA16)</formula>
    </cfRule>
  </conditionalFormatting>
  <conditionalFormatting sqref="BQ16:BY23 BQ26:BY65 BQ68:BY73">
    <cfRule type="expression" dxfId="2" priority="10">
      <formula>ISEVEN($CA16)</formula>
    </cfRule>
  </conditionalFormatting>
  <conditionalFormatting sqref="AZ4:BI4 AZ6:BI90">
    <cfRule type="expression" dxfId="1" priority="11">
      <formula>$BF$9=10</formula>
    </cfRule>
  </conditionalFormatting>
  <conditionalFormatting sqref="AZ16:BH23 AZ26:BH65 AZ68:BH73">
    <cfRule type="expression" dxfId="3" priority="12">
      <formula>ISODD($BJ16)</formula>
    </cfRule>
  </conditionalFormatting>
  <conditionalFormatting sqref="AZ16:BH23 AZ26:BH65 AZ68:BH73">
    <cfRule type="expression" dxfId="2" priority="13">
      <formula>ISEVEN($BJ16)</formula>
    </cfRule>
  </conditionalFormatting>
  <conditionalFormatting sqref="AI4:AR4 AI6:AR90">
    <cfRule type="expression" dxfId="1" priority="14">
      <formula>$AO$9=10</formula>
    </cfRule>
  </conditionalFormatting>
  <conditionalFormatting sqref="AI16:AQ23 AI26:AQ65 AI68:AQ73">
    <cfRule type="expression" dxfId="3" priority="15">
      <formula>ISODD($AS16)</formula>
    </cfRule>
  </conditionalFormatting>
  <conditionalFormatting sqref="AI16:AQ23 AI26:AQ65 AI68:AQ73">
    <cfRule type="expression" dxfId="2" priority="16">
      <formula>ISEVEN($AS16)</formula>
    </cfRule>
  </conditionalFormatting>
  <conditionalFormatting sqref="R4:AA4 R6:AA6 R8:AA90 AJ82">
    <cfRule type="expression" dxfId="1" priority="17">
      <formula>$X$9=10</formula>
    </cfRule>
  </conditionalFormatting>
  <conditionalFormatting sqref="R16:Z23 R26:Z65 R68:Z73">
    <cfRule type="expression" dxfId="3" priority="18">
      <formula>ISODD($AB16)</formula>
    </cfRule>
  </conditionalFormatting>
  <conditionalFormatting sqref="R16:Z23 R26:Z65 R68:Z73">
    <cfRule type="expression" dxfId="2" priority="19">
      <formula>ISEVEN($AB16)</formula>
    </cfRule>
  </conditionalFormatting>
  <conditionalFormatting sqref="A4:J4 A6:J6 A8:J90">
    <cfRule type="expression" dxfId="1" priority="20">
      <formula>$G$9=10</formula>
    </cfRule>
  </conditionalFormatting>
  <conditionalFormatting sqref="A16:I23 A26:I65 A68:I73">
    <cfRule type="expression" dxfId="3" priority="21">
      <formula>ISODD($K16)</formula>
    </cfRule>
  </conditionalFormatting>
  <conditionalFormatting sqref="A16:I23 A26:I65 A68:I73">
    <cfRule type="expression" dxfId="2" priority="22">
      <formula>ISEVEN($K16)</formula>
    </cfRule>
  </conditionalFormatting>
  <conditionalFormatting sqref="A83:J90">
    <cfRule type="expression" dxfId="4" priority="23">
      <formula>$L$80=0</formula>
    </cfRule>
  </conditionalFormatting>
  <conditionalFormatting sqref="R83:AA90">
    <cfRule type="expression" dxfId="4" priority="24">
      <formula>$AC$80=0</formula>
    </cfRule>
  </conditionalFormatting>
  <conditionalFormatting sqref="AI83:AR90">
    <cfRule type="expression" dxfId="4" priority="25">
      <formula>$AT$80=0</formula>
    </cfRule>
  </conditionalFormatting>
  <conditionalFormatting sqref="AZ83:BI90">
    <cfRule type="expression" dxfId="4" priority="26">
      <formula>$BK$80=0</formula>
    </cfRule>
  </conditionalFormatting>
  <conditionalFormatting sqref="BQ83:BZ90">
    <cfRule type="expression" dxfId="4" priority="27">
      <formula>$CB$80=0</formula>
    </cfRule>
  </conditionalFormatting>
  <conditionalFormatting sqref="CH83:CQ90">
    <cfRule type="expression" dxfId="4" priority="28">
      <formula>$CS$80=0</formula>
    </cfRule>
  </conditionalFormatting>
  <conditionalFormatting sqref="CY83:DH90">
    <cfRule type="expression" dxfId="4" priority="29">
      <formula>$DJ$80=0</formula>
    </cfRule>
  </conditionalFormatting>
  <conditionalFormatting sqref="A86">
    <cfRule type="expression" dxfId="5" priority="30">
      <formula>DQ18&gt;0</formula>
    </cfRule>
  </conditionalFormatting>
  <conditionalFormatting sqref="B86">
    <cfRule type="expression" dxfId="6" priority="31">
      <formula>DP55=1</formula>
    </cfRule>
  </conditionalFormatting>
  <conditionalFormatting sqref="S86:AA86">
    <cfRule type="expression" dxfId="6" priority="32">
      <formula>DP55=1</formula>
    </cfRule>
  </conditionalFormatting>
  <conditionalFormatting sqref="B86">
    <cfRule type="expression" dxfId="5" priority="33">
      <formula>DP56=1</formula>
    </cfRule>
  </conditionalFormatting>
  <conditionalFormatting sqref="C86">
    <cfRule type="expression" dxfId="6" priority="34">
      <formula>DQ55=1</formula>
    </cfRule>
  </conditionalFormatting>
  <conditionalFormatting sqref="D86">
    <cfRule type="expression" dxfId="6" priority="35">
      <formula>DR55=1</formula>
    </cfRule>
  </conditionalFormatting>
  <conditionalFormatting sqref="E86">
    <cfRule type="expression" dxfId="6" priority="36">
      <formula>DS55=1</formula>
    </cfRule>
  </conditionalFormatting>
  <conditionalFormatting sqref="G86">
    <cfRule type="expression" dxfId="6" priority="37">
      <formula>DU55=1</formula>
    </cfRule>
  </conditionalFormatting>
  <conditionalFormatting sqref="J86">
    <cfRule type="expression" dxfId="6" priority="38">
      <formula>DX55=1</formula>
    </cfRule>
  </conditionalFormatting>
  <conditionalFormatting sqref="C86">
    <cfRule type="expression" dxfId="5" priority="39">
      <formula>DQ56=1</formula>
    </cfRule>
  </conditionalFormatting>
  <conditionalFormatting sqref="D86">
    <cfRule type="expression" dxfId="5" priority="40">
      <formula>DR56=1</formula>
    </cfRule>
  </conditionalFormatting>
  <conditionalFormatting sqref="E86">
    <cfRule type="expression" dxfId="5" priority="41">
      <formula>DS56=1</formula>
    </cfRule>
  </conditionalFormatting>
  <conditionalFormatting sqref="G86">
    <cfRule type="expression" dxfId="5" priority="42">
      <formula>DU56=1</formula>
    </cfRule>
  </conditionalFormatting>
  <conditionalFormatting sqref="J86">
    <cfRule type="expression" dxfId="5" priority="43">
      <formula>DX56=1</formula>
    </cfRule>
  </conditionalFormatting>
  <conditionalFormatting sqref="A5:J5 R5 AI5 AZ5 BQ5 CH5 CY5">
    <cfRule type="expression" dxfId="7" priority="44">
      <formula>G9=10</formula>
    </cfRule>
  </conditionalFormatting>
  <conditionalFormatting sqref="R86">
    <cfRule type="expression" dxfId="5" priority="45">
      <formula>DQ18&gt;0</formula>
    </cfRule>
  </conditionalFormatting>
  <conditionalFormatting sqref="AI86">
    <cfRule type="expression" dxfId="5" priority="46">
      <formula>DQ18&gt;0</formula>
    </cfRule>
  </conditionalFormatting>
  <conditionalFormatting sqref="CY86">
    <cfRule type="expression" dxfId="5" priority="47">
      <formula>DQ18&gt;0</formula>
    </cfRule>
  </conditionalFormatting>
  <conditionalFormatting sqref="CH86">
    <cfRule type="expression" dxfId="5" priority="48">
      <formula>DQ18&gt;0</formula>
    </cfRule>
  </conditionalFormatting>
  <conditionalFormatting sqref="BQ86">
    <cfRule type="expression" dxfId="5" priority="49">
      <formula>DQ18&gt;0</formula>
    </cfRule>
  </conditionalFormatting>
  <conditionalFormatting sqref="AZ86">
    <cfRule type="expression" dxfId="5" priority="50">
      <formula>DQ18&gt;0</formula>
    </cfRule>
  </conditionalFormatting>
  <conditionalFormatting sqref="AJ86:AR86">
    <cfRule type="expression" dxfId="6" priority="51">
      <formula>DP55=1</formula>
    </cfRule>
  </conditionalFormatting>
  <conditionalFormatting sqref="BA86:BI86">
    <cfRule type="expression" dxfId="6" priority="52">
      <formula>DP55=1</formula>
    </cfRule>
  </conditionalFormatting>
  <conditionalFormatting sqref="BR86:BZ86">
    <cfRule type="expression" dxfId="6" priority="53">
      <formula>DP55=1</formula>
    </cfRule>
  </conditionalFormatting>
  <conditionalFormatting sqref="CI86:CQ86">
    <cfRule type="expression" dxfId="6" priority="54">
      <formula>DP55=1</formula>
    </cfRule>
  </conditionalFormatting>
  <conditionalFormatting sqref="CZ86:DH86">
    <cfRule type="expression" dxfId="6" priority="55">
      <formula>DP55=1</formula>
    </cfRule>
  </conditionalFormatting>
  <conditionalFormatting sqref="S86:AA86">
    <cfRule type="expression" dxfId="5" priority="56">
      <formula>DP56=1</formula>
    </cfRule>
  </conditionalFormatting>
  <conditionalFormatting sqref="AJ86:AR86">
    <cfRule type="expression" dxfId="5" priority="57">
      <formula>DP56=1</formula>
    </cfRule>
  </conditionalFormatting>
  <conditionalFormatting sqref="BA86:BI86">
    <cfRule type="expression" dxfId="5" priority="58">
      <formula>DP56=1</formula>
    </cfRule>
  </conditionalFormatting>
  <conditionalFormatting sqref="BR86:BZ86">
    <cfRule type="expression" dxfId="5" priority="59">
      <formula>DP56=1</formula>
    </cfRule>
  </conditionalFormatting>
  <conditionalFormatting sqref="CI86:CQ86">
    <cfRule type="expression" dxfId="5" priority="60">
      <formula>DP56=1</formula>
    </cfRule>
  </conditionalFormatting>
  <conditionalFormatting sqref="CZ86:DH86">
    <cfRule type="expression" dxfId="5" priority="61">
      <formula>DP56=1</formula>
    </cfRule>
  </conditionalFormatting>
  <conditionalFormatting sqref="J16 J18 J20 J22 J25:J26 J28 J30 J32 J34 J36 J38 J40 J42 J44 J46 J48 J50 J52 J54 J56 J58 J60 J62 J64 J67:J68 J70 J72">
    <cfRule type="expression" dxfId="6" priority="62">
      <formula>OR(L17="C",L17="E")</formula>
    </cfRule>
  </conditionalFormatting>
  <conditionalFormatting sqref="AA16 AA18 AA20 AA22 AA25:AA26 AA28 AA30 AA32 AA34 AA36 AA38 AA40 AA42 AA44 AA46 AA48 AA50 AA52 AA54 AA56 AA58 AA60 AA62 AA64 AA67:AA68 AA70 AA72">
    <cfRule type="expression" dxfId="6" priority="63">
      <formula>OR(AC17="C",AC17="E")</formula>
    </cfRule>
  </conditionalFormatting>
  <conditionalFormatting sqref="AR16 AR18 AR20 AR22 AR25:AR26 AR28 AR30 AR32 AR34 AR36 AR38 AR40 AR42 AR44 AR46 AR48 AR50 AR52 AR54 AR56 AR58 AR60 AR62 AR64 AR67:AR68 AR70 AR72">
    <cfRule type="expression" dxfId="6" priority="64">
      <formula>OR(AT17="C",AT17="E")</formula>
    </cfRule>
  </conditionalFormatting>
  <conditionalFormatting sqref="BI16 BI18 BI20 BI22 BI25:BI26 BI28 BI30 BI32 BI34 BI36 BI38 BI40 BI42 BI44 BI46 BI48 BI50 BI52 BI54 BI56 BI58 BI60 BI62 BI64 BI67:BI68 BI70 BI72">
    <cfRule type="expression" dxfId="6" priority="65">
      <formula>OR(BK17="C",BK17="E")</formula>
    </cfRule>
  </conditionalFormatting>
  <conditionalFormatting sqref="BZ16 BZ18 BZ20 BZ22 BZ25:BZ26 BZ28 BZ30 BZ32 BZ34 BZ36 BZ38 BZ40 BZ42 BZ44 BZ46 BZ48 BZ50 BZ52 BZ54 BZ56 BZ58 BZ60 BZ62 BZ64 BZ67:BZ68 BZ70 BZ72">
    <cfRule type="expression" dxfId="6" priority="66">
      <formula>OR(CB17="C",CB17="E")</formula>
    </cfRule>
  </conditionalFormatting>
  <conditionalFormatting sqref="CQ16 CQ18 CQ20 CQ22 CQ25:CQ26 CQ28 CQ30 CQ32 CQ34 CQ36 CQ38 CQ40 CQ42 CQ44 CQ46 CQ48 CQ50 CQ52 CQ54 CQ56 CQ58 CQ60 CQ62 CQ64 CQ67:CQ68 CQ70 CQ72">
    <cfRule type="expression" dxfId="6" priority="67">
      <formula>OR(CS17="C",CS17="E")</formula>
    </cfRule>
  </conditionalFormatting>
  <conditionalFormatting sqref="DH16 DH18 DH20 DH22 DH25:DH26 DH28 DH30 DH32 DH34 DH36 DH38 DH40 DH42 DH44 DH46 DH48 DH50 DH52 DH54 DH56 DH58 DH60 DH62 DH64 DH67:DH68 DH70 DH72">
    <cfRule type="expression" dxfId="6" priority="68">
      <formula>OR(DJ17="C",DJ17="E")</formula>
    </cfRule>
  </conditionalFormatting>
  <dataValidations>
    <dataValidation type="list" allowBlank="1" showErrorMessage="1" sqref="D4 U4 AL4 BC4 BT4 CK4 DB4">
      <formula1>"0 - Muito Mal Recuperado,1 - Muito Pouca Recuperação,2 - Pouca Recuperação,3 - Recuperação Moderada,4 - Boa Recuperação,5 - Muito Boa Recuperação,6 - ,7 - Muito, Muito Boa Recuperação,8 - ,9 - ,10 - Totalmente Recuperado"</formula1>
    </dataValidation>
    <dataValidation type="list" allowBlank="1" showErrorMessage="1" sqref="D80 U80 AL80 BC80 BT80 CK80 DB80">
      <formula1>"0 - Repouso,1 - Muito Fácil,2 -,3 - Razoavelmente Fácil,4 - Um Pouco Difícil,5 - Difícil,6 -,7 - Muito Difícil,8 -,9 - Muito, Muito Difícil,10 - Esforço Máximo"</formula1>
    </dataValidation>
  </dataValidations>
  <hyperlinks>
    <hyperlink display="Ver Progresso Completo" location="'Relatório Semanal'!A1" ref="A91"/>
    <hyperlink display="Ver Progresso Completo" location="'Relatório Semanal'!A1" ref="R91"/>
    <hyperlink display="Ver Progresso Completo" location="'Relatório Semanal'!A1" ref="AI91"/>
    <hyperlink display="Ver Progresso Completo" location="'Relatório Semanal'!A1" ref="AZ91"/>
    <hyperlink display="Ver Progresso Completo" location="'Relatório Semanal'!A1" ref="BQ91"/>
    <hyperlink display="Ver Progresso Completo" location="'Relatório Semanal'!A1" ref="CH91"/>
    <hyperlink display="Ver Progresso Completo" location="'Relatório Semanal'!A1" ref="CY91"/>
  </hyperlink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86"/>
    <col customWidth="1" min="3" max="3" width="11.14"/>
    <col customWidth="1" min="4" max="4" width="10.29"/>
    <col customWidth="1" min="5" max="6" width="4.86"/>
    <col customWidth="1" min="7" max="7" width="4.57"/>
    <col customWidth="1" min="8" max="9" width="1.86"/>
    <col customWidth="1" min="10" max="10" width="5.57"/>
    <col customWidth="1" hidden="1" min="11" max="11" width="4.43"/>
    <col customWidth="1" hidden="1" min="12" max="12" width="2.86"/>
    <col customWidth="1" hidden="1" min="13" max="14" width="3.57"/>
    <col customWidth="1" hidden="1" min="15" max="15" width="4.0"/>
    <col customWidth="1" hidden="1" min="16" max="16" width="3.57"/>
    <col customWidth="1" min="17" max="17" width="0.43"/>
    <col customWidth="1" min="18" max="19" width="9.86"/>
    <col customWidth="1" min="20" max="20" width="11.14"/>
    <col customWidth="1" min="21" max="21" width="10.29"/>
    <col customWidth="1" min="22" max="23" width="4.86"/>
    <col customWidth="1" min="24" max="24" width="4.57"/>
    <col customWidth="1" min="25" max="26" width="1.86"/>
    <col customWidth="1" min="27" max="27" width="5.57"/>
    <col customWidth="1" hidden="1" min="28" max="31" width="3.57"/>
    <col customWidth="1" hidden="1" min="32" max="32" width="4.29"/>
    <col customWidth="1" hidden="1" min="33" max="33" width="3.57"/>
    <col customWidth="1" min="34" max="34" width="0.43"/>
    <col customWidth="1" min="35" max="36" width="9.86"/>
    <col customWidth="1" min="37" max="37" width="11.14"/>
    <col customWidth="1" min="38" max="38" width="10.29"/>
    <col customWidth="1" min="39" max="40" width="4.86"/>
    <col customWidth="1" min="41" max="41" width="4.57"/>
    <col customWidth="1" min="42" max="43" width="1.86"/>
    <col customWidth="1" min="44" max="44" width="5.57"/>
    <col customWidth="1" hidden="1" min="45" max="48" width="3.57"/>
    <col customWidth="1" hidden="1" min="49" max="49" width="4.71"/>
    <col customWidth="1" hidden="1" min="50" max="50" width="3.57"/>
    <col customWidth="1" min="51" max="51" width="0.43"/>
    <col customWidth="1" min="52" max="53" width="9.86"/>
    <col customWidth="1" min="54" max="54" width="11.14"/>
    <col customWidth="1" min="55" max="55" width="10.29"/>
    <col customWidth="1" min="56" max="57" width="4.86"/>
    <col customWidth="1" min="58" max="58" width="4.57"/>
    <col customWidth="1" min="59" max="60" width="1.86"/>
    <col customWidth="1" min="61" max="61" width="5.57"/>
    <col customWidth="1" hidden="1" min="62" max="65" width="3.57"/>
    <col customWidth="1" hidden="1" min="66" max="66" width="5.57"/>
    <col customWidth="1" hidden="1" min="67" max="67" width="3.57"/>
    <col customWidth="1" min="68" max="68" width="0.43"/>
    <col customWidth="1" min="69" max="70" width="9.86"/>
    <col customWidth="1" min="71" max="71" width="11.14"/>
    <col customWidth="1" min="72" max="72" width="10.29"/>
    <col customWidth="1" min="73" max="74" width="4.86"/>
    <col customWidth="1" min="75" max="75" width="4.57"/>
    <col customWidth="1" min="76" max="77" width="1.86"/>
    <col customWidth="1" min="78" max="78" width="5.57"/>
    <col customWidth="1" hidden="1" min="79" max="82" width="3.57"/>
    <col customWidth="1" hidden="1" min="83" max="83" width="4.43"/>
    <col customWidth="1" hidden="1" min="84" max="84" width="3.57"/>
    <col customWidth="1" min="85" max="85" width="0.43"/>
    <col customWidth="1" min="86" max="87" width="9.86"/>
    <col customWidth="1" min="88" max="88" width="11.14"/>
    <col customWidth="1" min="89" max="89" width="10.29"/>
    <col customWidth="1" min="90" max="91" width="4.86"/>
    <col customWidth="1" min="92" max="92" width="4.57"/>
    <col customWidth="1" min="93" max="94" width="1.86"/>
    <col customWidth="1" min="95" max="95" width="5.57"/>
    <col customWidth="1" hidden="1" min="96" max="99" width="3.57"/>
    <col customWidth="1" hidden="1" min="100" max="100" width="4.43"/>
    <col customWidth="1" hidden="1" min="101" max="101" width="3.57"/>
    <col customWidth="1" min="102" max="102" width="0.43"/>
    <col customWidth="1" min="103" max="104" width="9.86"/>
    <col customWidth="1" min="105" max="105" width="11.14"/>
    <col customWidth="1" min="106" max="106" width="10.29"/>
    <col customWidth="1" min="107" max="108" width="4.86"/>
    <col customWidth="1" min="109" max="109" width="4.57"/>
    <col customWidth="1" min="110" max="111" width="1.86"/>
    <col customWidth="1" min="112" max="112" width="5.57"/>
    <col customWidth="1" hidden="1" min="113" max="116" width="3.57"/>
    <col customWidth="1" hidden="1" min="117" max="117" width="5.14"/>
    <col customWidth="1" hidden="1" min="118" max="118" width="3.57"/>
    <col customWidth="1" hidden="1" min="119" max="119" width="1.0"/>
    <col customWidth="1" hidden="1" min="120" max="120" width="42.43"/>
    <col customWidth="1" hidden="1" min="121" max="129" width="6.86"/>
  </cols>
  <sheetData>
    <row r="1" ht="7.5" customHeight="1">
      <c r="A1" s="35" t="str">
        <f>'Periodização Macrociclo'!$N$1</f>
        <v>Claudinei Gasparoto</v>
      </c>
      <c r="B1" s="36"/>
      <c r="C1" s="36"/>
      <c r="D1" s="36"/>
      <c r="E1" s="36"/>
      <c r="F1" s="36"/>
      <c r="G1" s="36"/>
      <c r="H1" s="36"/>
      <c r="I1" s="36"/>
      <c r="J1" s="37"/>
      <c r="K1" s="38"/>
      <c r="L1" s="38"/>
      <c r="M1" s="38"/>
      <c r="N1" s="38"/>
      <c r="O1" s="38"/>
      <c r="P1" s="38"/>
      <c r="Q1" s="39"/>
      <c r="R1" s="35" t="str">
        <f>$A1</f>
        <v>Claudinei Gasparoto</v>
      </c>
      <c r="S1" s="36"/>
      <c r="T1" s="36"/>
      <c r="U1" s="36"/>
      <c r="V1" s="36"/>
      <c r="W1" s="36"/>
      <c r="X1" s="36"/>
      <c r="Y1" s="36"/>
      <c r="Z1" s="36"/>
      <c r="AA1" s="37"/>
      <c r="AB1" s="38"/>
      <c r="AC1" s="40"/>
      <c r="AD1" s="40"/>
      <c r="AE1" s="40"/>
      <c r="AF1" s="40"/>
      <c r="AG1" s="40"/>
      <c r="AH1" s="39"/>
      <c r="AI1" s="35" t="str">
        <f>$A1</f>
        <v>Claudinei Gasparoto</v>
      </c>
      <c r="AJ1" s="36"/>
      <c r="AK1" s="36"/>
      <c r="AL1" s="36"/>
      <c r="AM1" s="36"/>
      <c r="AN1" s="36"/>
      <c r="AO1" s="36"/>
      <c r="AP1" s="36"/>
      <c r="AQ1" s="36"/>
      <c r="AR1" s="37"/>
      <c r="AS1" s="38"/>
      <c r="AT1" s="40"/>
      <c r="AU1" s="40"/>
      <c r="AV1" s="40"/>
      <c r="AW1" s="40"/>
      <c r="AX1" s="40"/>
      <c r="AY1" s="39"/>
      <c r="AZ1" s="35" t="str">
        <f>$A1</f>
        <v>Claudinei Gasparoto</v>
      </c>
      <c r="BA1" s="36"/>
      <c r="BB1" s="36"/>
      <c r="BC1" s="36"/>
      <c r="BD1" s="36"/>
      <c r="BE1" s="36"/>
      <c r="BF1" s="36"/>
      <c r="BG1" s="36"/>
      <c r="BH1" s="36"/>
      <c r="BI1" s="37"/>
      <c r="BJ1" s="38"/>
      <c r="BK1" s="40"/>
      <c r="BL1" s="40"/>
      <c r="BM1" s="40"/>
      <c r="BN1" s="40"/>
      <c r="BO1" s="40"/>
      <c r="BP1" s="39"/>
      <c r="BQ1" s="35" t="str">
        <f>$A1</f>
        <v>Claudinei Gasparoto</v>
      </c>
      <c r="BR1" s="36"/>
      <c r="BS1" s="36"/>
      <c r="BT1" s="36"/>
      <c r="BU1" s="36"/>
      <c r="BV1" s="36"/>
      <c r="BW1" s="36"/>
      <c r="BX1" s="36"/>
      <c r="BY1" s="36"/>
      <c r="BZ1" s="37"/>
      <c r="CA1" s="38"/>
      <c r="CB1" s="40"/>
      <c r="CC1" s="40"/>
      <c r="CD1" s="40"/>
      <c r="CE1" s="40"/>
      <c r="CF1" s="40"/>
      <c r="CG1" s="39"/>
      <c r="CH1" s="35" t="str">
        <f>$A1</f>
        <v>Claudinei Gasparoto</v>
      </c>
      <c r="CI1" s="36"/>
      <c r="CJ1" s="36"/>
      <c r="CK1" s="36"/>
      <c r="CL1" s="36"/>
      <c r="CM1" s="36"/>
      <c r="CN1" s="36"/>
      <c r="CO1" s="36"/>
      <c r="CP1" s="36"/>
      <c r="CQ1" s="37"/>
      <c r="CR1" s="38"/>
      <c r="CS1" s="40"/>
      <c r="CT1" s="40"/>
      <c r="CU1" s="40"/>
      <c r="CV1" s="40"/>
      <c r="CW1" s="40"/>
      <c r="CX1" s="39"/>
      <c r="CY1" s="35" t="str">
        <f>$A1</f>
        <v>Claudinei Gasparoto</v>
      </c>
      <c r="CZ1" s="36"/>
      <c r="DA1" s="36"/>
      <c r="DB1" s="36"/>
      <c r="DC1" s="36"/>
      <c r="DD1" s="36"/>
      <c r="DE1" s="36"/>
      <c r="DF1" s="36"/>
      <c r="DG1" s="36"/>
      <c r="DH1" s="37"/>
      <c r="DI1" s="38"/>
      <c r="DJ1" s="40"/>
      <c r="DK1" s="40"/>
      <c r="DL1" s="40"/>
      <c r="DM1" s="40"/>
      <c r="DN1" s="40"/>
      <c r="DO1" s="39"/>
      <c r="DP1" s="40"/>
      <c r="DQ1" s="41"/>
      <c r="DR1" s="41"/>
      <c r="DS1" s="41"/>
      <c r="DT1" s="41"/>
      <c r="DU1" s="41"/>
      <c r="DV1" s="41"/>
      <c r="DW1" s="41"/>
      <c r="DX1" s="41"/>
      <c r="DY1" s="41"/>
    </row>
    <row r="2" ht="7.5" customHeight="1">
      <c r="A2" s="42" t="s">
        <v>5</v>
      </c>
      <c r="B2" s="43">
        <f>Montagem!C102</f>
        <v>8</v>
      </c>
      <c r="C2" s="43" t="s">
        <v>6</v>
      </c>
      <c r="D2" s="44">
        <f>Montagem!F102</f>
        <v>31</v>
      </c>
      <c r="E2" s="45" t="s">
        <v>7</v>
      </c>
      <c r="F2" s="46"/>
      <c r="G2" s="46"/>
      <c r="H2" s="46"/>
      <c r="I2" s="47"/>
      <c r="J2" s="48">
        <f>Montagem!B143</f>
        <v>6</v>
      </c>
      <c r="K2" s="38" t="str">
        <f>IF(L2=0,0,L2-2&amp;" a "&amp;L2)</f>
        <v>0 a 2</v>
      </c>
      <c r="L2" s="38">
        <f>Montagem!O105</f>
        <v>2</v>
      </c>
      <c r="M2" s="38"/>
      <c r="N2" s="38"/>
      <c r="O2" s="38"/>
      <c r="P2" s="38"/>
      <c r="Q2" s="39"/>
      <c r="R2" s="42" t="s">
        <v>5</v>
      </c>
      <c r="S2" s="43">
        <f>B2</f>
        <v>8</v>
      </c>
      <c r="T2" s="43" t="s">
        <v>6</v>
      </c>
      <c r="U2" s="44">
        <f>D2</f>
        <v>31</v>
      </c>
      <c r="V2" s="45" t="s">
        <v>7</v>
      </c>
      <c r="W2" s="46"/>
      <c r="X2" s="46"/>
      <c r="Y2" s="46"/>
      <c r="Z2" s="47"/>
      <c r="AA2" s="48">
        <f>J2</f>
        <v>6</v>
      </c>
      <c r="AB2" s="38"/>
      <c r="AC2" s="49"/>
      <c r="AD2" s="49"/>
      <c r="AE2" s="49"/>
      <c r="AF2" s="49"/>
      <c r="AG2" s="49"/>
      <c r="AH2" s="39"/>
      <c r="AI2" s="42" t="s">
        <v>5</v>
      </c>
      <c r="AJ2" s="43">
        <f>B2</f>
        <v>8</v>
      </c>
      <c r="AK2" s="43" t="s">
        <v>6</v>
      </c>
      <c r="AL2" s="44">
        <f>D2</f>
        <v>31</v>
      </c>
      <c r="AM2" s="45" t="s">
        <v>7</v>
      </c>
      <c r="AN2" s="46"/>
      <c r="AO2" s="46"/>
      <c r="AP2" s="46"/>
      <c r="AQ2" s="47"/>
      <c r="AR2" s="48">
        <f>J2</f>
        <v>6</v>
      </c>
      <c r="AS2" s="38"/>
      <c r="AT2" s="49"/>
      <c r="AU2" s="49"/>
      <c r="AV2" s="49"/>
      <c r="AW2" s="49"/>
      <c r="AX2" s="49"/>
      <c r="AY2" s="39"/>
      <c r="AZ2" s="42" t="s">
        <v>5</v>
      </c>
      <c r="BA2" s="43">
        <f>B2</f>
        <v>8</v>
      </c>
      <c r="BB2" s="43" t="s">
        <v>6</v>
      </c>
      <c r="BC2" s="44">
        <f>D2</f>
        <v>31</v>
      </c>
      <c r="BD2" s="45" t="s">
        <v>7</v>
      </c>
      <c r="BE2" s="46"/>
      <c r="BF2" s="46"/>
      <c r="BG2" s="46"/>
      <c r="BH2" s="47"/>
      <c r="BI2" s="48">
        <f>J2</f>
        <v>6</v>
      </c>
      <c r="BJ2" s="38"/>
      <c r="BK2" s="49"/>
      <c r="BL2" s="49"/>
      <c r="BM2" s="49"/>
      <c r="BN2" s="49"/>
      <c r="BO2" s="49"/>
      <c r="BP2" s="39"/>
      <c r="BQ2" s="42" t="s">
        <v>5</v>
      </c>
      <c r="BR2" s="43">
        <f>B2</f>
        <v>8</v>
      </c>
      <c r="BS2" s="43" t="s">
        <v>6</v>
      </c>
      <c r="BT2" s="44">
        <f>D2</f>
        <v>31</v>
      </c>
      <c r="BU2" s="45" t="s">
        <v>7</v>
      </c>
      <c r="BV2" s="46"/>
      <c r="BW2" s="46"/>
      <c r="BX2" s="46"/>
      <c r="BY2" s="47"/>
      <c r="BZ2" s="48">
        <f>J2</f>
        <v>6</v>
      </c>
      <c r="CA2" s="38"/>
      <c r="CB2" s="49"/>
      <c r="CC2" s="49"/>
      <c r="CD2" s="49"/>
      <c r="CE2" s="49"/>
      <c r="CF2" s="49"/>
      <c r="CG2" s="39"/>
      <c r="CH2" s="42" t="s">
        <v>5</v>
      </c>
      <c r="CI2" s="43">
        <f>B2</f>
        <v>8</v>
      </c>
      <c r="CJ2" s="43" t="s">
        <v>6</v>
      </c>
      <c r="CK2" s="44">
        <f>D2</f>
        <v>31</v>
      </c>
      <c r="CL2" s="45" t="s">
        <v>7</v>
      </c>
      <c r="CM2" s="46"/>
      <c r="CN2" s="46"/>
      <c r="CO2" s="46"/>
      <c r="CP2" s="47"/>
      <c r="CQ2" s="48">
        <f>J2</f>
        <v>6</v>
      </c>
      <c r="CR2" s="38"/>
      <c r="CS2" s="49"/>
      <c r="CT2" s="49"/>
      <c r="CU2" s="49"/>
      <c r="CV2" s="49"/>
      <c r="CW2" s="49"/>
      <c r="CX2" s="39"/>
      <c r="CY2" s="42" t="s">
        <v>5</v>
      </c>
      <c r="CZ2" s="43">
        <f>B2</f>
        <v>8</v>
      </c>
      <c r="DA2" s="43" t="s">
        <v>6</v>
      </c>
      <c r="DB2" s="44">
        <f>D2</f>
        <v>31</v>
      </c>
      <c r="DC2" s="45" t="s">
        <v>7</v>
      </c>
      <c r="DD2" s="46"/>
      <c r="DE2" s="46"/>
      <c r="DF2" s="46"/>
      <c r="DG2" s="47"/>
      <c r="DH2" s="48">
        <f>J2</f>
        <v>6</v>
      </c>
      <c r="DI2" s="38"/>
      <c r="DJ2" s="49"/>
      <c r="DK2" s="49"/>
      <c r="DL2" s="49"/>
      <c r="DM2" s="49"/>
      <c r="DN2" s="49"/>
      <c r="DO2" s="39"/>
      <c r="DP2" s="49" t="s">
        <v>8</v>
      </c>
      <c r="DQ2" s="50">
        <f>IF(L80&gt;0,G9,0)+IF(AC80&gt;0,X9,0)+IF(AT80&gt;0,AO9,0)+IF(BK80&gt;0,BF9,0)+IF(CB80&gt;0,BW9,0)+IF(CS80&gt;0,CN9,0)+IF(DJ80&gt;0,DE9,0)</f>
        <v>281.1171875</v>
      </c>
      <c r="DR2" s="51"/>
      <c r="DS2" s="51"/>
      <c r="DT2" s="51"/>
      <c r="DU2" s="51"/>
      <c r="DV2" s="51"/>
      <c r="DW2" s="51"/>
      <c r="DX2" s="51"/>
      <c r="DY2" s="51"/>
    </row>
    <row r="3">
      <c r="A3" s="52">
        <f>Montagem!K108</f>
        <v>46048</v>
      </c>
      <c r="B3" s="53" t="str">
        <f>Montagem!K109</f>
        <v>Segunda-Feira</v>
      </c>
      <c r="C3" s="54"/>
      <c r="D3" s="54"/>
      <c r="E3" s="54"/>
      <c r="F3" s="54"/>
      <c r="G3" s="54"/>
      <c r="H3" s="54"/>
      <c r="I3" s="54"/>
      <c r="J3" s="55"/>
      <c r="K3" s="56">
        <f>DQ17-DQ18</f>
        <v>1</v>
      </c>
      <c r="L3" s="57"/>
      <c r="M3" s="57"/>
      <c r="N3" s="57"/>
      <c r="O3" s="57"/>
      <c r="P3" s="57"/>
      <c r="Q3" s="58"/>
      <c r="R3" s="52">
        <f>Montagem!Z108</f>
        <v>46049</v>
      </c>
      <c r="S3" s="53" t="str">
        <f>Montagem!Z109</f>
        <v>Terça-Feira</v>
      </c>
      <c r="T3" s="54"/>
      <c r="U3" s="54"/>
      <c r="V3" s="54"/>
      <c r="W3" s="54"/>
      <c r="X3" s="54"/>
      <c r="Y3" s="54"/>
      <c r="Z3" s="54"/>
      <c r="AA3" s="55"/>
      <c r="AB3" s="57"/>
      <c r="AC3" s="57"/>
      <c r="AD3" s="57"/>
      <c r="AE3" s="57"/>
      <c r="AF3" s="57"/>
      <c r="AG3" s="57"/>
      <c r="AH3" s="58"/>
      <c r="AI3" s="52">
        <f>Montagem!AO108</f>
        <v>46050</v>
      </c>
      <c r="AJ3" s="53" t="str">
        <f>Montagem!AO109</f>
        <v>Quarta-Feira</v>
      </c>
      <c r="AK3" s="54"/>
      <c r="AL3" s="54"/>
      <c r="AM3" s="54"/>
      <c r="AN3" s="54"/>
      <c r="AO3" s="54"/>
      <c r="AP3" s="54"/>
      <c r="AQ3" s="54"/>
      <c r="AR3" s="55"/>
      <c r="AS3" s="57"/>
      <c r="AT3" s="57"/>
      <c r="AU3" s="57"/>
      <c r="AV3" s="57"/>
      <c r="AW3" s="57"/>
      <c r="AX3" s="57"/>
      <c r="AY3" s="58"/>
      <c r="AZ3" s="52">
        <f>Montagem!BD108</f>
        <v>46051</v>
      </c>
      <c r="BA3" s="53" t="str">
        <f>Montagem!BD109</f>
        <v>Quinta Feira</v>
      </c>
      <c r="BB3" s="54"/>
      <c r="BC3" s="54"/>
      <c r="BD3" s="54"/>
      <c r="BE3" s="54"/>
      <c r="BF3" s="54"/>
      <c r="BG3" s="54"/>
      <c r="BH3" s="54"/>
      <c r="BI3" s="55"/>
      <c r="BJ3" s="57"/>
      <c r="BK3" s="57"/>
      <c r="BL3" s="57"/>
      <c r="BM3" s="57"/>
      <c r="BN3" s="57"/>
      <c r="BO3" s="57"/>
      <c r="BP3" s="58"/>
      <c r="BQ3" s="52">
        <f>Montagem!BS108</f>
        <v>46052</v>
      </c>
      <c r="BR3" s="53" t="str">
        <f>Montagem!BS109</f>
        <v>Sexta-Feira</v>
      </c>
      <c r="BS3" s="54"/>
      <c r="BT3" s="54"/>
      <c r="BU3" s="54"/>
      <c r="BV3" s="54"/>
      <c r="BW3" s="54"/>
      <c r="BX3" s="54"/>
      <c r="BY3" s="54"/>
      <c r="BZ3" s="55"/>
      <c r="CA3" s="57"/>
      <c r="CB3" s="57"/>
      <c r="CC3" s="57"/>
      <c r="CD3" s="57"/>
      <c r="CE3" s="57"/>
      <c r="CF3" s="57"/>
      <c r="CG3" s="58"/>
      <c r="CH3" s="52">
        <f>Montagem!CH108</f>
        <v>46053</v>
      </c>
      <c r="CI3" s="53" t="str">
        <f>Montagem!CH109</f>
        <v>Sábado</v>
      </c>
      <c r="CJ3" s="54"/>
      <c r="CK3" s="54"/>
      <c r="CL3" s="54"/>
      <c r="CM3" s="54"/>
      <c r="CN3" s="54"/>
      <c r="CO3" s="54"/>
      <c r="CP3" s="54"/>
      <c r="CQ3" s="55"/>
      <c r="CR3" s="57"/>
      <c r="CS3" s="57"/>
      <c r="CT3" s="57"/>
      <c r="CU3" s="57"/>
      <c r="CV3" s="57"/>
      <c r="CW3" s="57"/>
      <c r="CX3" s="58"/>
      <c r="CY3" s="52">
        <f>Montagem!CW108</f>
        <v>46054</v>
      </c>
      <c r="CZ3" s="53" t="str">
        <f>Montagem!CW109</f>
        <v>Domingo</v>
      </c>
      <c r="DA3" s="54"/>
      <c r="DB3" s="54"/>
      <c r="DC3" s="54"/>
      <c r="DD3" s="54"/>
      <c r="DE3" s="54"/>
      <c r="DF3" s="54"/>
      <c r="DG3" s="54"/>
      <c r="DH3" s="55"/>
      <c r="DI3" s="57"/>
      <c r="DJ3" s="57"/>
      <c r="DK3" s="57"/>
      <c r="DL3" s="57"/>
      <c r="DM3" s="57"/>
      <c r="DN3" s="57"/>
      <c r="DO3" s="58"/>
      <c r="DP3" s="57" t="s">
        <v>9</v>
      </c>
      <c r="DQ3" s="56">
        <f>IF(L80&gt;0,IF(ISNUMBER(B82),B82,B6),0)+IF(AC80&gt;0,IF(ISNUMBER(S82),S82,S6),0)+IF(AT80&gt;0,IF(ISNUMBER(AJ82),AJ82,AJ6),0)+IF(BK80&gt;0,IF(ISNUMBER(BA82),BA82,BA6),0)+IF(CB80&gt;0,IF(ISNUMBER(BR82),BR82,BR6),0)+IF(CS80&gt;0,IF(ISNUMBER(CI82),CI82,CI6),0)+IF(DJ80&gt;0,IF(ISNUMBER(CZ82),CZ82,CZ6),0)</f>
        <v>80.05052083</v>
      </c>
      <c r="DR3" s="56"/>
      <c r="DS3" s="56"/>
      <c r="DT3" s="56"/>
      <c r="DU3" s="56"/>
      <c r="DV3" s="56"/>
      <c r="DW3" s="56"/>
      <c r="DX3" s="56"/>
      <c r="DY3" s="56"/>
    </row>
    <row r="4">
      <c r="A4" s="59" t="s">
        <v>10</v>
      </c>
      <c r="B4" s="60"/>
      <c r="C4" s="61"/>
      <c r="D4" s="62" t="s">
        <v>11</v>
      </c>
      <c r="E4" s="60"/>
      <c r="F4" s="60"/>
      <c r="G4" s="60"/>
      <c r="H4" s="60"/>
      <c r="I4" s="60"/>
      <c r="J4" s="63"/>
      <c r="K4" s="64">
        <f>IF(D4="","",LEFT(D4,2)+0)</f>
        <v>10</v>
      </c>
      <c r="L4" s="57"/>
      <c r="M4" s="57"/>
      <c r="N4" s="57"/>
      <c r="O4" s="57"/>
      <c r="P4" s="57"/>
      <c r="Q4" s="58"/>
      <c r="R4" s="59" t="s">
        <v>10</v>
      </c>
      <c r="S4" s="60"/>
      <c r="T4" s="61"/>
      <c r="U4" s="62" t="s">
        <v>11</v>
      </c>
      <c r="V4" s="60"/>
      <c r="W4" s="60"/>
      <c r="X4" s="60"/>
      <c r="Y4" s="60"/>
      <c r="Z4" s="60"/>
      <c r="AA4" s="63"/>
      <c r="AB4" s="64">
        <f>IF(U4="","",LEFT(U4,2)+0)</f>
        <v>10</v>
      </c>
      <c r="AC4" s="57"/>
      <c r="AD4" s="57"/>
      <c r="AE4" s="57"/>
      <c r="AF4" s="57"/>
      <c r="AG4" s="57"/>
      <c r="AH4" s="58"/>
      <c r="AI4" s="59" t="s">
        <v>10</v>
      </c>
      <c r="AJ4" s="60"/>
      <c r="AK4" s="61"/>
      <c r="AL4" s="62" t="s">
        <v>11</v>
      </c>
      <c r="AM4" s="60"/>
      <c r="AN4" s="60"/>
      <c r="AO4" s="60"/>
      <c r="AP4" s="60"/>
      <c r="AQ4" s="60"/>
      <c r="AR4" s="63"/>
      <c r="AS4" s="64">
        <f>IF(AL4="","",LEFT(AL4,2)+0)</f>
        <v>10</v>
      </c>
      <c r="AT4" s="57"/>
      <c r="AU4" s="57"/>
      <c r="AV4" s="57"/>
      <c r="AW4" s="57"/>
      <c r="AX4" s="57"/>
      <c r="AY4" s="58"/>
      <c r="AZ4" s="59" t="s">
        <v>10</v>
      </c>
      <c r="BA4" s="60"/>
      <c r="BB4" s="61"/>
      <c r="BC4" s="62" t="s">
        <v>11</v>
      </c>
      <c r="BD4" s="60"/>
      <c r="BE4" s="60"/>
      <c r="BF4" s="60"/>
      <c r="BG4" s="60"/>
      <c r="BH4" s="60"/>
      <c r="BI4" s="63"/>
      <c r="BJ4" s="64">
        <f>IF(BC4="","",LEFT(BC4,2)+0)</f>
        <v>10</v>
      </c>
      <c r="BK4" s="57"/>
      <c r="BL4" s="57"/>
      <c r="BM4" s="57"/>
      <c r="BN4" s="57"/>
      <c r="BO4" s="57"/>
      <c r="BP4" s="58"/>
      <c r="BQ4" s="59" t="s">
        <v>10</v>
      </c>
      <c r="BR4" s="60"/>
      <c r="BS4" s="61"/>
      <c r="BT4" s="62" t="s">
        <v>11</v>
      </c>
      <c r="BU4" s="60"/>
      <c r="BV4" s="60"/>
      <c r="BW4" s="60"/>
      <c r="BX4" s="60"/>
      <c r="BY4" s="60"/>
      <c r="BZ4" s="63"/>
      <c r="CA4" s="64">
        <f>IF(BT4="","",LEFT(BT4,2)+0)</f>
        <v>10</v>
      </c>
      <c r="CB4" s="57"/>
      <c r="CC4" s="57"/>
      <c r="CD4" s="57"/>
      <c r="CE4" s="57"/>
      <c r="CF4" s="57"/>
      <c r="CG4" s="58"/>
      <c r="CH4" s="59" t="s">
        <v>10</v>
      </c>
      <c r="CI4" s="60"/>
      <c r="CJ4" s="61"/>
      <c r="CK4" s="62"/>
      <c r="CL4" s="60"/>
      <c r="CM4" s="60"/>
      <c r="CN4" s="60"/>
      <c r="CO4" s="60"/>
      <c r="CP4" s="60"/>
      <c r="CQ4" s="63"/>
      <c r="CR4" s="64" t="str">
        <f>IF(CK4="","",LEFT(CK4,2)+0)</f>
        <v/>
      </c>
      <c r="CS4" s="57"/>
      <c r="CT4" s="57"/>
      <c r="CU4" s="57"/>
      <c r="CV4" s="57"/>
      <c r="CW4" s="57"/>
      <c r="CX4" s="58"/>
      <c r="CY4" s="59" t="s">
        <v>10</v>
      </c>
      <c r="CZ4" s="60"/>
      <c r="DA4" s="61"/>
      <c r="DB4" s="62"/>
      <c r="DC4" s="60"/>
      <c r="DD4" s="60"/>
      <c r="DE4" s="60"/>
      <c r="DF4" s="60"/>
      <c r="DG4" s="60"/>
      <c r="DH4" s="63"/>
      <c r="DI4" s="64" t="str">
        <f>IF(DB4="","",LEFT(DB4,2)+0)</f>
        <v/>
      </c>
      <c r="DJ4" s="57"/>
      <c r="DK4" s="57"/>
      <c r="DL4" s="57"/>
      <c r="DM4" s="57"/>
      <c r="DN4" s="57"/>
      <c r="DO4" s="58"/>
      <c r="DP4" s="57" t="s">
        <v>12</v>
      </c>
      <c r="DQ4" s="56">
        <f>IF(L80&gt;0,D82,0)+IF(AC80&gt;0,U82,0)+IF(AT80&gt;0,AL82,0)+IF(BK80&gt;0,BC82,0)+IF(CB80&gt;0,BT82,0)+IF(CS80&gt;0,CK82,0)+IF(DJ80&gt;0,DB82,0)</f>
        <v>15</v>
      </c>
      <c r="DR4" s="56"/>
      <c r="DS4" s="56"/>
      <c r="DT4" s="56"/>
      <c r="DU4" s="56"/>
      <c r="DV4" s="56"/>
      <c r="DW4" s="56"/>
      <c r="DX4" s="56"/>
      <c r="DY4" s="56"/>
    </row>
    <row r="5">
      <c r="A5" s="65" t="str">
        <f>IF(G9=10,"Tenha um bom descanso!😉💤","TREINAMENTO CÍCLICO")</f>
        <v>TREINAMENTO CÍCLICO</v>
      </c>
      <c r="J5" s="66"/>
      <c r="K5" s="57"/>
      <c r="L5" s="57"/>
      <c r="M5" s="57"/>
      <c r="N5" s="57"/>
      <c r="O5" s="57"/>
      <c r="P5" s="57"/>
      <c r="Q5" s="58"/>
      <c r="R5" s="65" t="str">
        <f>IF(X9=10,"Tenha um bom descanso!😉💤","TREINAMENTO CÍCLICO")</f>
        <v>TREINAMENTO CÍCLICO</v>
      </c>
      <c r="AA5" s="66"/>
      <c r="AB5" s="57"/>
      <c r="AC5" s="57"/>
      <c r="AD5" s="57"/>
      <c r="AE5" s="57"/>
      <c r="AF5" s="57"/>
      <c r="AG5" s="57"/>
      <c r="AH5" s="58"/>
      <c r="AI5" s="65" t="str">
        <f>IF(AO9=10,"Tenha um bom descanso!😉💤","TREINAMENTO CÍCLICO")</f>
        <v>TREINAMENTO CÍCLICO</v>
      </c>
      <c r="AR5" s="66"/>
      <c r="AS5" s="57"/>
      <c r="AT5" s="57"/>
      <c r="AU5" s="57"/>
      <c r="AV5" s="57"/>
      <c r="AW5" s="57"/>
      <c r="AX5" s="57"/>
      <c r="AY5" s="58"/>
      <c r="AZ5" s="65" t="str">
        <f>IF(BF9=10,"Tenha um bom descanso!😉💤","TREINAMENTO CÍCLICO")</f>
        <v>TREINAMENTO CÍCLICO</v>
      </c>
      <c r="BI5" s="66"/>
      <c r="BJ5" s="57"/>
      <c r="BK5" s="57"/>
      <c r="BL5" s="57"/>
      <c r="BM5" s="57"/>
      <c r="BN5" s="57"/>
      <c r="BO5" s="57"/>
      <c r="BP5" s="58"/>
      <c r="BQ5" s="65" t="str">
        <f>IF(BW9=10,"Tenha um bom descanso!😉💤","TREINAMENTO CÍCLICO")</f>
        <v>TREINAMENTO CÍCLICO</v>
      </c>
      <c r="BZ5" s="66"/>
      <c r="CA5" s="57"/>
      <c r="CB5" s="57"/>
      <c r="CC5" s="57"/>
      <c r="CD5" s="57"/>
      <c r="CE5" s="57"/>
      <c r="CF5" s="57"/>
      <c r="CG5" s="58"/>
      <c r="CH5" s="65" t="str">
        <f>IF(CN9=10,"Tenha um bom descanso!😉💤","TREINAMENTO CÍCLICO")</f>
        <v>TREINAMENTO CÍCLICO</v>
      </c>
      <c r="CQ5" s="66"/>
      <c r="CR5" s="57"/>
      <c r="CS5" s="57"/>
      <c r="CT5" s="57"/>
      <c r="CU5" s="57"/>
      <c r="CV5" s="57"/>
      <c r="CW5" s="57"/>
      <c r="CX5" s="58"/>
      <c r="CY5" s="65" t="str">
        <f>IF(DE9=10,"Tenha um bom descanso!😉💤","TREINAMENTO CÍCLICO")</f>
        <v>Tenha um bom descanso!😉💤</v>
      </c>
      <c r="DH5" s="66"/>
      <c r="DI5" s="57"/>
      <c r="DJ5" s="57"/>
      <c r="DK5" s="57"/>
      <c r="DL5" s="57"/>
      <c r="DM5" s="57"/>
      <c r="DN5" s="57"/>
      <c r="DO5" s="58"/>
      <c r="DP5" s="57" t="s">
        <v>13</v>
      </c>
      <c r="DQ5" s="56">
        <f>IF(L80&gt;0,B8,0)+IF(AC80&gt;0,S8,0)+IF(AT80&gt;0,AJ8,0)+IF(BK80&gt;0,BA8,0)+IF(CB80&gt;0,BR8,0)+IF(CS80&gt;0,CI8,0)+IF(DJ80&gt;0,CZ8,0)</f>
        <v>150</v>
      </c>
      <c r="DR5" s="56"/>
      <c r="DS5" s="56"/>
      <c r="DT5" s="56"/>
      <c r="DU5" s="56"/>
      <c r="DV5" s="56"/>
      <c r="DW5" s="56"/>
      <c r="DX5" s="56"/>
      <c r="DY5" s="56"/>
    </row>
    <row r="6">
      <c r="A6" s="67" t="s">
        <v>14</v>
      </c>
      <c r="B6" s="68">
        <f>Montagem!C115</f>
        <v>15</v>
      </c>
      <c r="C6" s="69" t="s">
        <v>15</v>
      </c>
      <c r="D6" s="70" t="str">
        <f>Montagem!C117</f>
        <v>IEXT</v>
      </c>
      <c r="E6" s="61"/>
      <c r="F6" s="71" t="s">
        <v>16</v>
      </c>
      <c r="G6" s="61"/>
      <c r="H6" s="72">
        <f>0.0175*IF(ISNUMBER(B82),B82,B6)*'Dados de Base'!$D$5*('Dados de Base'!$D$7*IF(ISNUMBER(G82),(G82-'Dados de Base'!$F$6)/('Dados de Base'!$E$20-'Dados de Base'!$F$6),Montagem!C127))</f>
        <v>237.313125</v>
      </c>
      <c r="I6" s="60"/>
      <c r="J6" s="63"/>
      <c r="K6" s="57"/>
      <c r="L6" s="57"/>
      <c r="M6" s="57"/>
      <c r="N6" s="57"/>
      <c r="O6" s="57"/>
      <c r="P6" s="57"/>
      <c r="Q6" s="58"/>
      <c r="R6" s="67" t="s">
        <v>14</v>
      </c>
      <c r="S6" s="68">
        <f>Montagem!D115</f>
        <v>15</v>
      </c>
      <c r="T6" s="69" t="s">
        <v>15</v>
      </c>
      <c r="U6" s="70" t="str">
        <f>Montagem!D117</f>
        <v>IEXT</v>
      </c>
      <c r="V6" s="61"/>
      <c r="W6" s="71" t="s">
        <v>16</v>
      </c>
      <c r="X6" s="61"/>
      <c r="Y6" s="72">
        <f>0.0175*IF(ISNUMBER(S82),S82,S6)*'Dados de Base'!$D$5*('Dados de Base'!$D$7*IF(ISNUMBER(X82),(X82-'Dados de Base'!$F$6)/('Dados de Base'!$E$20-'Dados de Base'!$F$6),Montagem!D127))</f>
        <v>0</v>
      </c>
      <c r="Z6" s="60"/>
      <c r="AA6" s="63"/>
      <c r="AB6" s="57"/>
      <c r="AC6" s="57"/>
      <c r="AD6" s="57"/>
      <c r="AE6" s="57"/>
      <c r="AF6" s="57"/>
      <c r="AG6" s="57"/>
      <c r="AH6" s="58"/>
      <c r="AI6" s="67" t="s">
        <v>14</v>
      </c>
      <c r="AJ6" s="68" t="str">
        <f>Montagem!E115</f>
        <v/>
      </c>
      <c r="AK6" s="69" t="s">
        <v>15</v>
      </c>
      <c r="AL6" s="70" t="str">
        <f>Montagem!E117</f>
        <v/>
      </c>
      <c r="AM6" s="61"/>
      <c r="AN6" s="71" t="s">
        <v>16</v>
      </c>
      <c r="AO6" s="61"/>
      <c r="AP6" s="72">
        <f>0.0175*IF(ISNUMBER(AJ82),AJ82,AJ6)*'Dados de Base'!$D$5*('Dados de Base'!$D$7*IF(ISNUMBER(AO82),(AO82-'Dados de Base'!$F$6)/('Dados de Base'!$E$20-'Dados de Base'!$F$6),Montagem!E127))</f>
        <v>0.8024851928</v>
      </c>
      <c r="AQ6" s="60"/>
      <c r="AR6" s="63"/>
      <c r="AS6" s="57"/>
      <c r="AT6" s="57"/>
      <c r="AU6" s="57"/>
      <c r="AV6" s="57"/>
      <c r="AW6" s="57"/>
      <c r="AX6" s="57"/>
      <c r="AY6" s="58"/>
      <c r="AZ6" s="67" t="s">
        <v>14</v>
      </c>
      <c r="BA6" s="68">
        <f>Montagem!F115</f>
        <v>40</v>
      </c>
      <c r="BB6" s="69" t="s">
        <v>15</v>
      </c>
      <c r="BC6" s="70" t="str">
        <f>Montagem!F117</f>
        <v>CEXT</v>
      </c>
      <c r="BD6" s="61"/>
      <c r="BE6" s="71" t="s">
        <v>16</v>
      </c>
      <c r="BF6" s="61"/>
      <c r="BG6" s="72">
        <f>0.0175*IF(ISNUMBER(BA82),BA82,BA6)*'Dados de Base'!$D$5*('Dados de Base'!$D$7*IF(ISNUMBER(BF82),(BF82-'Dados de Base'!$F$6)/('Dados de Base'!$E$20-'Dados de Base'!$F$6),Montagem!F127))</f>
        <v>397.782</v>
      </c>
      <c r="BH6" s="60"/>
      <c r="BI6" s="63"/>
      <c r="BJ6" s="57"/>
      <c r="BK6" s="57"/>
      <c r="BL6" s="57"/>
      <c r="BM6" s="57"/>
      <c r="BN6" s="57"/>
      <c r="BO6" s="57"/>
      <c r="BP6" s="58"/>
      <c r="BQ6" s="67" t="s">
        <v>14</v>
      </c>
      <c r="BR6" s="68">
        <f>Montagem!G115</f>
        <v>10</v>
      </c>
      <c r="BS6" s="69" t="s">
        <v>15</v>
      </c>
      <c r="BT6" s="70" t="str">
        <f>Montagem!G117</f>
        <v>IEXT</v>
      </c>
      <c r="BU6" s="61"/>
      <c r="BV6" s="71" t="s">
        <v>16</v>
      </c>
      <c r="BW6" s="61"/>
      <c r="BX6" s="72">
        <f>0.0175*IF(ISNUMBER(BR82),BR82,BR6)*'Dados de Base'!$D$5*('Dados de Base'!$D$7*IF(ISNUMBER(BW82),(BW82-'Dados de Base'!$F$6)/('Dados de Base'!$E$20-'Dados de Base'!$F$6),Montagem!G127))</f>
        <v>0</v>
      </c>
      <c r="BY6" s="60"/>
      <c r="BZ6" s="63"/>
      <c r="CA6" s="57"/>
      <c r="CB6" s="57"/>
      <c r="CC6" s="57"/>
      <c r="CD6" s="57"/>
      <c r="CE6" s="57"/>
      <c r="CF6" s="57"/>
      <c r="CG6" s="58"/>
      <c r="CH6" s="67" t="s">
        <v>14</v>
      </c>
      <c r="CI6" s="68" t="str">
        <f>Montagem!H115</f>
        <v/>
      </c>
      <c r="CJ6" s="69" t="s">
        <v>15</v>
      </c>
      <c r="CK6" s="70" t="str">
        <f>Montagem!H117</f>
        <v/>
      </c>
      <c r="CL6" s="61"/>
      <c r="CM6" s="71" t="s">
        <v>16</v>
      </c>
      <c r="CN6" s="61"/>
      <c r="CO6" s="72">
        <f>0.0175*IF(ISNUMBER(CI82),CI82,CI6)*'Dados de Base'!$D$5*('Dados de Base'!$D$7*IF(ISNUMBER(CN82),(CN82-'Dados de Base'!$F$6)/('Dados de Base'!$E$20-'Dados de Base'!$F$6),Montagem!H127))</f>
        <v>0</v>
      </c>
      <c r="CP6" s="60"/>
      <c r="CQ6" s="63"/>
      <c r="CR6" s="57"/>
      <c r="CS6" s="57"/>
      <c r="CT6" s="57"/>
      <c r="CU6" s="57"/>
      <c r="CV6" s="57"/>
      <c r="CW6" s="57"/>
      <c r="CX6" s="58"/>
      <c r="CY6" s="67" t="s">
        <v>14</v>
      </c>
      <c r="CZ6" s="68" t="str">
        <f>Montagem!I115</f>
        <v/>
      </c>
      <c r="DA6" s="69" t="s">
        <v>15</v>
      </c>
      <c r="DB6" s="70" t="str">
        <f>Montagem!I117</f>
        <v/>
      </c>
      <c r="DC6" s="61"/>
      <c r="DD6" s="71" t="s">
        <v>16</v>
      </c>
      <c r="DE6" s="61"/>
      <c r="DF6" s="72">
        <f>0.0175*IF(ISNUMBER(CZ82),CZ82,CZ6)*'Dados de Base'!$D$5*('Dados de Base'!$D$7*IF(ISNUMBER(DE82),(DE82-'Dados de Base'!$F$6)/('Dados de Base'!$E$20-'Dados de Base'!$F$6),Montagem!I127))</f>
        <v>0</v>
      </c>
      <c r="DG6" s="60"/>
      <c r="DH6" s="63"/>
      <c r="DI6" s="57"/>
      <c r="DJ6" s="57"/>
      <c r="DK6" s="57"/>
      <c r="DL6" s="57"/>
      <c r="DM6" s="57"/>
      <c r="DN6" s="57"/>
      <c r="DO6" s="58"/>
      <c r="DP6" s="73" t="s">
        <v>17</v>
      </c>
      <c r="DQ6" s="74">
        <f>IF(L80&gt;0,E8,0)+IF(AC80&gt;0,V8,0)+IF(AT80&gt;0,AM8,0)+IF(BK80&gt;0,BD8,0)+IF(CB80&gt;0,BU8,0)+IF(CS80&gt;0,CL8,0)+IF(DJ80&gt;0,DC8,0)</f>
        <v>1743</v>
      </c>
      <c r="DR6" s="74"/>
      <c r="DS6" s="74"/>
      <c r="DT6" s="74"/>
      <c r="DU6" s="74"/>
      <c r="DV6" s="74"/>
      <c r="DW6" s="74"/>
      <c r="DX6" s="74"/>
      <c r="DY6" s="74"/>
    </row>
    <row r="7">
      <c r="A7" s="75" t="str">
        <f>IF(G9=10,"Se você tem treino programado nesta data, entre em contato com a equipe para atualizarmos a sessão!","TREINAMENTO RESISTIDO")</f>
        <v>TREINAMENTO RESISTIDO</v>
      </c>
      <c r="B7" s="60"/>
      <c r="C7" s="60"/>
      <c r="D7" s="60"/>
      <c r="E7" s="60"/>
      <c r="F7" s="60"/>
      <c r="G7" s="60"/>
      <c r="H7" s="60"/>
      <c r="I7" s="60"/>
      <c r="J7" s="63"/>
      <c r="K7" s="76"/>
      <c r="L7" s="76"/>
      <c r="M7" s="76"/>
      <c r="N7" s="76"/>
      <c r="O7" s="76"/>
      <c r="P7" s="76"/>
      <c r="Q7" s="77"/>
      <c r="R7" s="75" t="str">
        <f>IF(X9=10,"Se você tem treino programado nesta data, entre em contato com a equipe para atualizarmos a sessão!","TREINAMENTO RESISTIDO")</f>
        <v>TREINAMENTO RESISTIDO</v>
      </c>
      <c r="S7" s="60"/>
      <c r="T7" s="60"/>
      <c r="U7" s="60"/>
      <c r="V7" s="60"/>
      <c r="W7" s="60"/>
      <c r="X7" s="60"/>
      <c r="Y7" s="60"/>
      <c r="Z7" s="60"/>
      <c r="AA7" s="63"/>
      <c r="AB7" s="76"/>
      <c r="AC7" s="76"/>
      <c r="AD7" s="76"/>
      <c r="AE7" s="76"/>
      <c r="AF7" s="76"/>
      <c r="AG7" s="76"/>
      <c r="AH7" s="77"/>
      <c r="AI7" s="75" t="str">
        <f>IF(AO9=10,"Se você tem treino programado nesta data, entre em contato com a equipe para atualizarmos a sessão!","TREINAMENTO RESISTIDO")</f>
        <v>TREINAMENTO RESISTIDO</v>
      </c>
      <c r="AJ7" s="60"/>
      <c r="AK7" s="60"/>
      <c r="AL7" s="60"/>
      <c r="AM7" s="60"/>
      <c r="AN7" s="60"/>
      <c r="AO7" s="60"/>
      <c r="AP7" s="60"/>
      <c r="AQ7" s="60"/>
      <c r="AR7" s="63"/>
      <c r="AS7" s="76"/>
      <c r="AT7" s="76"/>
      <c r="AU7" s="76"/>
      <c r="AV7" s="76"/>
      <c r="AW7" s="76"/>
      <c r="AX7" s="76"/>
      <c r="AY7" s="77"/>
      <c r="AZ7" s="75" t="str">
        <f>IF(BF9=10,"Se você tem treino programado nesta data, entre em contato com a equipe para atualizarmos a sessão!","TREINAMENTO RESISTIDO")</f>
        <v>TREINAMENTO RESISTIDO</v>
      </c>
      <c r="BA7" s="60"/>
      <c r="BB7" s="60"/>
      <c r="BC7" s="60"/>
      <c r="BD7" s="60"/>
      <c r="BE7" s="60"/>
      <c r="BF7" s="60"/>
      <c r="BG7" s="60"/>
      <c r="BH7" s="60"/>
      <c r="BI7" s="63"/>
      <c r="BJ7" s="76"/>
      <c r="BK7" s="76"/>
      <c r="BL7" s="76"/>
      <c r="BM7" s="76"/>
      <c r="BN7" s="76"/>
      <c r="BO7" s="76"/>
      <c r="BP7" s="77"/>
      <c r="BQ7" s="75" t="str">
        <f>IF(BW9=10,"Se você tem treino programado nesta data, entre em contato com a equipe para atualizarmos a sessão!","TREINAMENTO RESISTIDO")</f>
        <v>TREINAMENTO RESISTIDO</v>
      </c>
      <c r="BR7" s="60"/>
      <c r="BS7" s="60"/>
      <c r="BT7" s="60"/>
      <c r="BU7" s="60"/>
      <c r="BV7" s="60"/>
      <c r="BW7" s="60"/>
      <c r="BX7" s="60"/>
      <c r="BY7" s="60"/>
      <c r="BZ7" s="63"/>
      <c r="CA7" s="76"/>
      <c r="CB7" s="76"/>
      <c r="CC7" s="76"/>
      <c r="CD7" s="76"/>
      <c r="CE7" s="76"/>
      <c r="CF7" s="76"/>
      <c r="CG7" s="77"/>
      <c r="CH7" s="75" t="str">
        <f>IF(CN9=10,"Se você tem treino programado nesta data, entre em contato com a equipe para atualizarmos a sessão!","TREINAMENTO RESISTIDO")</f>
        <v>TREINAMENTO RESISTIDO</v>
      </c>
      <c r="CI7" s="60"/>
      <c r="CJ7" s="60"/>
      <c r="CK7" s="60"/>
      <c r="CL7" s="60"/>
      <c r="CM7" s="60"/>
      <c r="CN7" s="60"/>
      <c r="CO7" s="60"/>
      <c r="CP7" s="60"/>
      <c r="CQ7" s="63"/>
      <c r="CR7" s="76"/>
      <c r="CS7" s="76"/>
      <c r="CT7" s="76"/>
      <c r="CU7" s="76"/>
      <c r="CV7" s="76"/>
      <c r="CW7" s="76"/>
      <c r="CX7" s="77"/>
      <c r="CY7" s="75" t="str">
        <f>IF(DE9=10,"Se você tem treino programado nesta data, entre em contato com a equipe para atualizarmos a sessão!","TREINAMENTO RESISTIDO")</f>
        <v>Se você tem treino programado nesta data, entre em contato com a equipe para atualizarmos a sessão!</v>
      </c>
      <c r="CZ7" s="60"/>
      <c r="DA7" s="60"/>
      <c r="DB7" s="60"/>
      <c r="DC7" s="60"/>
      <c r="DD7" s="60"/>
      <c r="DE7" s="60"/>
      <c r="DF7" s="60"/>
      <c r="DG7" s="60"/>
      <c r="DH7" s="63"/>
      <c r="DI7" s="76"/>
      <c r="DJ7" s="76"/>
      <c r="DK7" s="76"/>
      <c r="DL7" s="76"/>
      <c r="DM7" s="76"/>
      <c r="DN7" s="76"/>
      <c r="DO7" s="77"/>
      <c r="DP7" s="78" t="s">
        <v>18</v>
      </c>
      <c r="DQ7" s="79">
        <f>E83+V83+AM83+BD83+BU83+CL83+DC83</f>
        <v>46.6539</v>
      </c>
      <c r="DR7" s="80"/>
      <c r="DS7" s="80"/>
      <c r="DT7" s="80"/>
      <c r="DU7" s="80"/>
      <c r="DV7" s="80"/>
      <c r="DW7" s="80"/>
      <c r="DX7" s="80"/>
      <c r="DY7" s="80"/>
    </row>
    <row r="8">
      <c r="A8" s="67" t="s">
        <v>19</v>
      </c>
      <c r="B8" s="81">
        <f>SUM(E16,E18,E20,E22,E26,E28,E30,E32,E34,E36,E38,E40,E42,E44,E46,E48,E50,E52,E54,E56,E58,E60,E62,E64,E68,E70,E72)</f>
        <v>36</v>
      </c>
      <c r="C8" s="71" t="s">
        <v>20</v>
      </c>
      <c r="D8" s="61"/>
      <c r="E8" s="82">
        <f>SUM(E16*F16,E18*F18,E20*F20,E22*F22,E26*F26,E28*F28,E30*F30,E32*F32,E34*F34,E36*F36,E38*F38,E40*F40,E42*F42,E44*F44,E46*F46,E48*F48,E50*F50,E52*F52,E54*F54,E56*F56,E58*F58,E60*F60,E62*F62,E64*F64,E68*F68,E70*F70,E72*F72)</f>
        <v>390</v>
      </c>
      <c r="F8" s="83" t="s">
        <v>16</v>
      </c>
      <c r="G8" s="61"/>
      <c r="H8" s="72">
        <f>0.0175*'Dados de Base'!$D$5*D89*5</f>
        <v>101.98125</v>
      </c>
      <c r="I8" s="60"/>
      <c r="J8" s="63"/>
      <c r="K8" s="57"/>
      <c r="L8" s="57"/>
      <c r="M8" s="57"/>
      <c r="N8" s="57"/>
      <c r="O8" s="57"/>
      <c r="P8" s="57"/>
      <c r="Q8" s="58"/>
      <c r="R8" s="67" t="s">
        <v>19</v>
      </c>
      <c r="S8" s="81">
        <f>SUM(V16,V18,V20,V22,V26,V28,V30,V32,V34,V36,V38,V40,V42,V44,V46,V48,V50,V52,V54,V56,V58,V60,V62,V64,V68,V70,V72)</f>
        <v>36</v>
      </c>
      <c r="T8" s="71" t="s">
        <v>20</v>
      </c>
      <c r="U8" s="61"/>
      <c r="V8" s="82">
        <f>SUM(V16*W16,V18*W18,V20*W20,V22*W22,V26*W26,V28*W28,V30*W30,V32*W32,V34*W34,V36*W36,V38*W38,V40*W40,V42*W42,V44*W44,V46*W46,V48*W48,V50*W50,V52*W52,V54*W54,V56*W56,V58*W58,V60*W60,V62*W62,V64*W64,V68*W68,V70*W70,V72*W72)</f>
        <v>375</v>
      </c>
      <c r="W8" s="84" t="s">
        <v>16</v>
      </c>
      <c r="X8" s="84"/>
      <c r="Y8" s="72">
        <f>0.0175*'Dados de Base'!$D$5*U89*5</f>
        <v>97.846875</v>
      </c>
      <c r="Z8" s="60"/>
      <c r="AA8" s="63"/>
      <c r="AB8" s="57"/>
      <c r="AC8" s="57"/>
      <c r="AD8" s="57"/>
      <c r="AE8" s="57"/>
      <c r="AF8" s="57"/>
      <c r="AG8" s="57"/>
      <c r="AH8" s="58"/>
      <c r="AI8" s="67" t="s">
        <v>19</v>
      </c>
      <c r="AJ8" s="81">
        <f>SUM(AM16,AM18,AM20,AM22,AM26,AM28,AM30,AM32,AM34,AM36,AM38,AM40,AM42,AM44,AM46,AM48,AM50,AM52,AM54,AM56,AM58,AM60,AM62,AM64,AM68,AM70,AM72)</f>
        <v>5</v>
      </c>
      <c r="AK8" s="71" t="s">
        <v>20</v>
      </c>
      <c r="AL8" s="61"/>
      <c r="AM8" s="82">
        <f>SUM(AM16*AN16,AM18*AN18,AM20*AN20,AM22*AN22,AM26*AN26,AM28*AN28,AM30*AN30,AM32*AN32,AM34*AN34,AM36*AN36,AM38*AN38,AM40*AN40,AM42*AN42,AM44*AN44,AM46*AN46,AM48*AN48,AM50*AN50,AM52*AN52,AM54*AN54,AM56*AN56,AM58*AN58,AM60*AN60,AM62*AN62,AM64*AN64,AM68*AN68,AM70*AN70,AM72*AN72)</f>
        <v>90</v>
      </c>
      <c r="AN8" s="83" t="s">
        <v>16</v>
      </c>
      <c r="AO8" s="61"/>
      <c r="AP8" s="72">
        <f>0.0175*'Dados de Base'!$D$5*AL89*5</f>
        <v>11.94375</v>
      </c>
      <c r="AQ8" s="60"/>
      <c r="AR8" s="63"/>
      <c r="AS8" s="57"/>
      <c r="AT8" s="57"/>
      <c r="AU8" s="57"/>
      <c r="AV8" s="57"/>
      <c r="AW8" s="57"/>
      <c r="AX8" s="57"/>
      <c r="AY8" s="58"/>
      <c r="AZ8" s="67" t="s">
        <v>19</v>
      </c>
      <c r="BA8" s="81">
        <f>SUM(BD16,BD18,BD20,BD22,BD26,BD28,BD30,BD32,BD34,BD36,BD38,BD40,BD42,BD44,BD46,BD48,BD50,BD52,BD54,BD56,BD58,BD60,BD62,BD64,BD68,BD70,BD72)</f>
        <v>38</v>
      </c>
      <c r="BB8" s="71" t="s">
        <v>20</v>
      </c>
      <c r="BC8" s="61"/>
      <c r="BD8" s="82">
        <f>SUM(BD16*BE16,BD18*BE18,BD20*BE20,BD22*BE22,BD26*BE26,BD28*BE28,BD30*BE30,BD32*BE32,BD34*BE34,BD36*BE36,BD38*BE38,BD40*BE40,BD42*BE42,BD44*BE44,BD46*BE46,BD48*BE48,BD50*BE50,BD52*BE52,BD54*BE54,BD56*BE56,BD58*BE58,BD60*BE60,BD62*BE62,BD64*BE64,BD68*BE68,BD70*BE70,BD72*BE72)</f>
        <v>480</v>
      </c>
      <c r="BE8" s="83" t="s">
        <v>16</v>
      </c>
      <c r="BF8" s="61"/>
      <c r="BG8" s="72">
        <f>0.0175*'Dados de Base'!$D$5*BC89*5</f>
        <v>104.7375</v>
      </c>
      <c r="BH8" s="60"/>
      <c r="BI8" s="63"/>
      <c r="BJ8" s="57"/>
      <c r="BK8" s="57"/>
      <c r="BL8" s="57"/>
      <c r="BM8" s="57"/>
      <c r="BN8" s="57"/>
      <c r="BO8" s="57"/>
      <c r="BP8" s="58"/>
      <c r="BQ8" s="67" t="s">
        <v>19</v>
      </c>
      <c r="BR8" s="81">
        <f>SUM(BU16,BU18,BU20,BU22,BU26,BU28,BU30,BU32,BU34,BU36,BU38,BU40,BU42,BU44,BU46,BU48,BU50,BU52,BU54,BU56,BU58,BU60,BU62,BU64,BU68,BU70,BU72)</f>
        <v>35</v>
      </c>
      <c r="BS8" s="71" t="s">
        <v>20</v>
      </c>
      <c r="BT8" s="61"/>
      <c r="BU8" s="82">
        <f>SUM(BU16*BV16,BU18*BV18,BU20*BV20,BU22*BV22,BU26*BV26,BU28*BV28,BU30*BV30,BU32*BV32,BU34*BV34,BU36*BV36,BU38*BV38,BU40*BV40,BU42*BV42,BU44*BV44,BU46*BV46,BU48*BV48,BU50*BV50,BU52*BV52,BU54*BV54,BU56*BV56,BU58*BV58,BU60*BV60,BU62*BV62,BU64*BV64,BU68*BV68,BU70*BV70,BU72*BV72)</f>
        <v>408</v>
      </c>
      <c r="BV8" s="83" t="s">
        <v>16</v>
      </c>
      <c r="BW8" s="61"/>
      <c r="BX8" s="72">
        <f>0.0175*'Dados de Base'!$D$5*BT89*5</f>
        <v>90.405</v>
      </c>
      <c r="BY8" s="60"/>
      <c r="BZ8" s="63"/>
      <c r="CA8" s="57"/>
      <c r="CB8" s="57"/>
      <c r="CC8" s="57"/>
      <c r="CD8" s="57"/>
      <c r="CE8" s="57"/>
      <c r="CF8" s="57"/>
      <c r="CG8" s="58"/>
      <c r="CH8" s="67" t="s">
        <v>19</v>
      </c>
      <c r="CI8" s="81">
        <f>SUM(CL16,CL18,CL20,CL22,CL26,CL28,CL30,CL32,CL34,CL36,CL38,CL40,CL42,CL44,CL46,CL48,CL50,CL52,CL54,CL56,CL58,CL60,CL62,CL64,CL68,CL70,CL72)</f>
        <v>5</v>
      </c>
      <c r="CJ8" s="71" t="s">
        <v>20</v>
      </c>
      <c r="CK8" s="61"/>
      <c r="CL8" s="82">
        <f>SUM(CL16*CM16,CL18*CM18,CL20*CM20,CL22*CM22,CL26*CM26,CL28*CM28,CL30*CM30,CL32*CM32,CL34*CM34,CL36*CM36,CL38*CM38,CL40*CM40,CL42*CM42,CL44*CM44,CL46*CM46,CL48*CM48,CL50*CM50,CL52*CM52,CL54*CM54,CL56*CM56,CL58*CM58,CL60*CM60,CL62*CM62,CL64*CM64,CL68*CM68,CL70*CM70,CL72*CM72)</f>
        <v>90</v>
      </c>
      <c r="CM8" s="83" t="s">
        <v>16</v>
      </c>
      <c r="CN8" s="61"/>
      <c r="CO8" s="72">
        <f>0.0175*'Dados de Base'!$D$5*CK89*5</f>
        <v>11.94375</v>
      </c>
      <c r="CP8" s="60"/>
      <c r="CQ8" s="63"/>
      <c r="CR8" s="57"/>
      <c r="CS8" s="57"/>
      <c r="CT8" s="57"/>
      <c r="CU8" s="57"/>
      <c r="CV8" s="57"/>
      <c r="CW8" s="57"/>
      <c r="CX8" s="58"/>
      <c r="CY8" s="67" t="s">
        <v>19</v>
      </c>
      <c r="CZ8" s="81">
        <f>SUM(DC16,DC18,DC20,DC22,DC26,DC28,DC30,DC32,DC34,DC36,DC38,DC40,DC42,DC44,DC46,DC48,DC50,DC52,DC54,DC56,DC58,DC60,DC62,DC64,DC68,DC70,DC72)</f>
        <v>0</v>
      </c>
      <c r="DA8" s="71" t="s">
        <v>20</v>
      </c>
      <c r="DB8" s="61"/>
      <c r="DC8" s="82">
        <f>SUM(DC16*DD16,DC18*DD18,DC20*DD20,DC22*DD22,DC26*DD26,DC28*DD28,DC30*DD30,DC32*DD32,DC34*DD34,DC36*DD36,DC38*DD38,DC40*DD40,DC42*DD42,DC44*DD44,DC46*DD46,DC48*DD48,DC50*DD50,DC52*DD52,DC54*DD54,DC56*DD56,DC58*DD58,DC60*DD60,DC62*DD62,DC64*DD64,DC68*DD68,DC70*DD70,DC72*DD72)</f>
        <v>0</v>
      </c>
      <c r="DD8" s="83" t="s">
        <v>16</v>
      </c>
      <c r="DE8" s="61"/>
      <c r="DF8" s="72">
        <f>0.0175*'Dados de Base'!$D$5*DB89*5</f>
        <v>0</v>
      </c>
      <c r="DG8" s="60"/>
      <c r="DH8" s="63"/>
      <c r="DI8" s="57"/>
      <c r="DJ8" s="57"/>
      <c r="DK8" s="57"/>
      <c r="DL8" s="57"/>
      <c r="DM8" s="57"/>
      <c r="DN8" s="57"/>
      <c r="DO8" s="58"/>
      <c r="DP8" s="57" t="s">
        <v>21</v>
      </c>
      <c r="DQ8" s="56">
        <f>IF(L80&gt;0,D89,0)+IF(AC80&gt;0,U89,0)+IF(AT80&gt;0,AL89,0)+IF(BK80&gt;0,BC89,0)+IF(CB80&gt;0,BT89,0)+IF(CS80&gt;0,CK89,0)+IF(DJ80&gt;0,DB89,0)</f>
        <v>73.81666667</v>
      </c>
      <c r="DR8" s="56"/>
      <c r="DS8" s="56"/>
      <c r="DT8" s="56"/>
      <c r="DU8" s="56"/>
      <c r="DV8" s="56"/>
      <c r="DW8" s="56"/>
      <c r="DX8" s="56"/>
      <c r="DY8" s="56"/>
    </row>
    <row r="9">
      <c r="A9" s="85" t="s">
        <v>22</v>
      </c>
      <c r="B9" s="86"/>
      <c r="C9" s="86"/>
      <c r="D9" s="86"/>
      <c r="E9" s="86"/>
      <c r="F9" s="87"/>
      <c r="G9" s="88">
        <f>((D89+K89+IF(ISNUMBER(B82),B82,B6))*Montagem!AS103)+10</f>
        <v>64.5</v>
      </c>
      <c r="H9" s="86"/>
      <c r="I9" s="86"/>
      <c r="J9" s="89"/>
      <c r="K9" s="57"/>
      <c r="L9" s="57"/>
      <c r="M9" s="57"/>
      <c r="N9" s="57"/>
      <c r="O9" s="57"/>
      <c r="P9" s="57"/>
      <c r="Q9" s="58"/>
      <c r="R9" s="85" t="s">
        <v>22</v>
      </c>
      <c r="S9" s="86"/>
      <c r="T9" s="86"/>
      <c r="U9" s="86"/>
      <c r="V9" s="86"/>
      <c r="W9" s="87"/>
      <c r="X9" s="88">
        <f>((U89+AB89+IF(ISNUMBER(S82),S82,S6))*Montagem!AS103)+10</f>
        <v>63.75</v>
      </c>
      <c r="Y9" s="86"/>
      <c r="Z9" s="86"/>
      <c r="AA9" s="89"/>
      <c r="AB9" s="57"/>
      <c r="AC9" s="57"/>
      <c r="AD9" s="57"/>
      <c r="AE9" s="57"/>
      <c r="AF9" s="57"/>
      <c r="AG9" s="57"/>
      <c r="AH9" s="58"/>
      <c r="AI9" s="85" t="s">
        <v>22</v>
      </c>
      <c r="AJ9" s="86"/>
      <c r="AK9" s="86"/>
      <c r="AL9" s="86"/>
      <c r="AM9" s="86"/>
      <c r="AN9" s="87"/>
      <c r="AO9" s="88">
        <f>((AL89+AS89+IF(ISNUMBER(AJ82),AJ82,AJ6))*Montagem!AS103)+10</f>
        <v>13.88385417</v>
      </c>
      <c r="AP9" s="86"/>
      <c r="AQ9" s="86"/>
      <c r="AR9" s="89"/>
      <c r="AS9" s="57"/>
      <c r="AT9" s="57"/>
      <c r="AU9" s="57"/>
      <c r="AV9" s="57"/>
      <c r="AW9" s="57"/>
      <c r="AX9" s="57"/>
      <c r="AY9" s="58"/>
      <c r="AZ9" s="85" t="s">
        <v>22</v>
      </c>
      <c r="BA9" s="86"/>
      <c r="BB9" s="86"/>
      <c r="BC9" s="86"/>
      <c r="BD9" s="86"/>
      <c r="BE9" s="87"/>
      <c r="BF9" s="88">
        <f>((BC89+BJ89+IF(ISNUMBER(BA82),BA82,BA6))*Montagem!AS103)+10</f>
        <v>85.66666667</v>
      </c>
      <c r="BG9" s="86"/>
      <c r="BH9" s="86"/>
      <c r="BI9" s="89"/>
      <c r="BJ9" s="57"/>
      <c r="BK9" s="57"/>
      <c r="BL9" s="57"/>
      <c r="BM9" s="57"/>
      <c r="BN9" s="57"/>
      <c r="BO9" s="57"/>
      <c r="BP9" s="58"/>
      <c r="BQ9" s="85" t="s">
        <v>22</v>
      </c>
      <c r="BR9" s="86"/>
      <c r="BS9" s="86"/>
      <c r="BT9" s="86"/>
      <c r="BU9" s="86"/>
      <c r="BV9" s="87"/>
      <c r="BW9" s="88">
        <f>((BT89+CA89+IF(ISNUMBER(BR82),BR82,BR6))*Montagem!AS103)+10</f>
        <v>53.31666667</v>
      </c>
      <c r="BX9" s="86"/>
      <c r="BY9" s="86"/>
      <c r="BZ9" s="89"/>
      <c r="CA9" s="57"/>
      <c r="CB9" s="57"/>
      <c r="CC9" s="57"/>
      <c r="CD9" s="57"/>
      <c r="CE9" s="57"/>
      <c r="CF9" s="57"/>
      <c r="CG9" s="58"/>
      <c r="CH9" s="85" t="s">
        <v>22</v>
      </c>
      <c r="CI9" s="86"/>
      <c r="CJ9" s="86"/>
      <c r="CK9" s="86"/>
      <c r="CL9" s="86"/>
      <c r="CM9" s="87"/>
      <c r="CN9" s="88">
        <f>((CK89+CR89+IF(ISNUMBER(CI82),CI82,CI6))*Montagem!AS103)+10</f>
        <v>13.83333333</v>
      </c>
      <c r="CO9" s="86"/>
      <c r="CP9" s="86"/>
      <c r="CQ9" s="89"/>
      <c r="CR9" s="57"/>
      <c r="CS9" s="57"/>
      <c r="CT9" s="57"/>
      <c r="CU9" s="57"/>
      <c r="CV9" s="57"/>
      <c r="CW9" s="57"/>
      <c r="CX9" s="58"/>
      <c r="CY9" s="85" t="s">
        <v>22</v>
      </c>
      <c r="CZ9" s="86"/>
      <c r="DA9" s="86"/>
      <c r="DB9" s="86"/>
      <c r="DC9" s="86"/>
      <c r="DD9" s="87"/>
      <c r="DE9" s="88">
        <f>((DB89+DI89+IF(ISNUMBER(CZ82),CZ82,CZ6))*Montagem!AS103)+10</f>
        <v>10</v>
      </c>
      <c r="DF9" s="86"/>
      <c r="DG9" s="86"/>
      <c r="DH9" s="89"/>
      <c r="DI9" s="57"/>
      <c r="DJ9" s="57"/>
      <c r="DK9" s="57"/>
      <c r="DL9" s="57"/>
      <c r="DM9" s="57"/>
      <c r="DN9" s="57"/>
      <c r="DO9" s="58"/>
      <c r="DP9" s="57" t="s">
        <v>23</v>
      </c>
      <c r="DQ9" s="56">
        <f>IF(L80&gt;0,H8+H6,0)+IF(AC80&gt;0,Y8+Y6,0)+IF(AT80&gt;0,AP8+AP6,0)+IF(BK80&gt;0,BG8+BG6,0)+IF(CB80&gt;0,BX8+BX6,0)+IF(CS80&gt;0,CO8+CO6,0)+IF(DJ80&gt;0,DF8+DF6,0)</f>
        <v>1042.811985</v>
      </c>
      <c r="DR9" s="56"/>
      <c r="DS9" s="56"/>
      <c r="DT9" s="56"/>
      <c r="DU9" s="56"/>
      <c r="DV9" s="56"/>
      <c r="DW9" s="56"/>
      <c r="DX9" s="56"/>
      <c r="DY9" s="56"/>
    </row>
    <row r="10">
      <c r="A10" s="90" t="s">
        <v>24</v>
      </c>
      <c r="J10" s="66"/>
      <c r="K10" s="57"/>
      <c r="L10" s="57"/>
      <c r="M10" s="57"/>
      <c r="N10" s="57"/>
      <c r="O10" s="57"/>
      <c r="P10" s="57"/>
      <c r="Q10" s="58"/>
      <c r="R10" s="90" t="s">
        <v>24</v>
      </c>
      <c r="AA10" s="66"/>
      <c r="AB10" s="57"/>
      <c r="AC10" s="57"/>
      <c r="AD10" s="57"/>
      <c r="AE10" s="57"/>
      <c r="AF10" s="57"/>
      <c r="AG10" s="57"/>
      <c r="AH10" s="58"/>
      <c r="AI10" s="90" t="s">
        <v>24</v>
      </c>
      <c r="AR10" s="66"/>
      <c r="AS10" s="57"/>
      <c r="AT10" s="57"/>
      <c r="AU10" s="57"/>
      <c r="AV10" s="57"/>
      <c r="AW10" s="57"/>
      <c r="AX10" s="57"/>
      <c r="AY10" s="58"/>
      <c r="AZ10" s="90" t="s">
        <v>24</v>
      </c>
      <c r="BI10" s="66"/>
      <c r="BJ10" s="57"/>
      <c r="BK10" s="57"/>
      <c r="BL10" s="57"/>
      <c r="BM10" s="57"/>
      <c r="BN10" s="57"/>
      <c r="BO10" s="57"/>
      <c r="BP10" s="58"/>
      <c r="BQ10" s="90" t="s">
        <v>24</v>
      </c>
      <c r="BZ10" s="66"/>
      <c r="CA10" s="57"/>
      <c r="CB10" s="57"/>
      <c r="CC10" s="57"/>
      <c r="CD10" s="57"/>
      <c r="CE10" s="57"/>
      <c r="CF10" s="57"/>
      <c r="CG10" s="58"/>
      <c r="CH10" s="90" t="s">
        <v>24</v>
      </c>
      <c r="CQ10" s="66"/>
      <c r="CR10" s="57"/>
      <c r="CS10" s="57"/>
      <c r="CT10" s="57"/>
      <c r="CU10" s="57"/>
      <c r="CV10" s="57"/>
      <c r="CW10" s="57"/>
      <c r="CX10" s="58"/>
      <c r="CY10" s="90" t="s">
        <v>24</v>
      </c>
      <c r="DH10" s="66"/>
      <c r="DI10" s="57"/>
      <c r="DJ10" s="57"/>
      <c r="DK10" s="57"/>
      <c r="DL10" s="57"/>
      <c r="DM10" s="57"/>
      <c r="DN10" s="57"/>
      <c r="DO10" s="58"/>
      <c r="DP10" s="57" t="s">
        <v>25</v>
      </c>
      <c r="DQ10" s="56">
        <f>DQ9/7</f>
        <v>148.9731407</v>
      </c>
      <c r="DR10" s="56"/>
      <c r="DS10" s="56"/>
      <c r="DT10" s="56"/>
      <c r="DU10" s="56"/>
      <c r="DV10" s="56"/>
      <c r="DW10" s="56"/>
      <c r="DX10" s="56"/>
      <c r="DY10" s="56"/>
    </row>
    <row r="11">
      <c r="A11" s="91" t="str">
        <f>Montagem!K112</f>
        <v/>
      </c>
      <c r="J11" s="66"/>
      <c r="K11" s="92"/>
      <c r="L11" s="92"/>
      <c r="M11" s="92"/>
      <c r="N11" s="92"/>
      <c r="O11" s="92"/>
      <c r="P11" s="92"/>
      <c r="Q11" s="93"/>
      <c r="R11" s="91" t="str">
        <f>Montagem!Z112</f>
        <v/>
      </c>
      <c r="AA11" s="66"/>
      <c r="AB11" s="92"/>
      <c r="AC11" s="92"/>
      <c r="AD11" s="92"/>
      <c r="AE11" s="92"/>
      <c r="AF11" s="92"/>
      <c r="AG11" s="92"/>
      <c r="AH11" s="93"/>
      <c r="AI11" s="91" t="str">
        <f>Montagem!AO112</f>
        <v/>
      </c>
      <c r="AR11" s="66"/>
      <c r="AS11" s="92"/>
      <c r="AT11" s="92"/>
      <c r="AU11" s="92"/>
      <c r="AV11" s="92"/>
      <c r="AW11" s="92"/>
      <c r="AX11" s="92"/>
      <c r="AY11" s="93"/>
      <c r="AZ11" s="91" t="str">
        <f>Montagem!BD112</f>
        <v/>
      </c>
      <c r="BI11" s="66"/>
      <c r="BJ11" s="92"/>
      <c r="BK11" s="92"/>
      <c r="BL11" s="92"/>
      <c r="BM11" s="92"/>
      <c r="BN11" s="92"/>
      <c r="BO11" s="92"/>
      <c r="BP11" s="93"/>
      <c r="BQ11" s="91" t="str">
        <f>Montagem!BS112</f>
        <v/>
      </c>
      <c r="BZ11" s="66"/>
      <c r="CA11" s="92"/>
      <c r="CB11" s="92"/>
      <c r="CC11" s="92"/>
      <c r="CD11" s="92"/>
      <c r="CE11" s="92"/>
      <c r="CF11" s="92"/>
      <c r="CG11" s="93"/>
      <c r="CH11" s="91" t="str">
        <f>Montagem!CH112</f>
        <v/>
      </c>
      <c r="CQ11" s="66"/>
      <c r="CR11" s="92"/>
      <c r="CS11" s="92"/>
      <c r="CT11" s="92"/>
      <c r="CU11" s="92"/>
      <c r="CV11" s="92"/>
      <c r="CW11" s="92"/>
      <c r="CX11" s="93"/>
      <c r="CY11" s="91" t="str">
        <f>Montagem!CW112</f>
        <v/>
      </c>
      <c r="DH11" s="66"/>
      <c r="DI11" s="92"/>
      <c r="DJ11" s="92"/>
      <c r="DK11" s="92"/>
      <c r="DL11" s="92"/>
      <c r="DM11" s="92"/>
      <c r="DN11" s="92"/>
      <c r="DO11" s="93"/>
      <c r="DP11" s="92" t="s">
        <v>26</v>
      </c>
      <c r="DQ11" s="94">
        <f>SUM(D90,U90,AL90,BC90,BT90,CK90,DB90)</f>
        <v>496.56875</v>
      </c>
      <c r="DR11" s="94"/>
      <c r="DS11" s="94"/>
      <c r="DT11" s="94"/>
      <c r="DU11" s="94"/>
      <c r="DV11" s="94"/>
      <c r="DW11" s="94"/>
      <c r="DX11" s="94"/>
      <c r="DY11" s="94"/>
    </row>
    <row r="12">
      <c r="A12" s="91" t="str">
        <f>Montagem!K113</f>
        <v/>
      </c>
      <c r="J12" s="66"/>
      <c r="K12" s="92"/>
      <c r="L12" s="92"/>
      <c r="M12" s="92"/>
      <c r="N12" s="92"/>
      <c r="O12" s="92"/>
      <c r="P12" s="92"/>
      <c r="Q12" s="93"/>
      <c r="R12" s="91" t="str">
        <f>Montagem!Z113</f>
        <v/>
      </c>
      <c r="AA12" s="66"/>
      <c r="AB12" s="92"/>
      <c r="AC12" s="92"/>
      <c r="AD12" s="92"/>
      <c r="AE12" s="92"/>
      <c r="AF12" s="92"/>
      <c r="AG12" s="92"/>
      <c r="AH12" s="93"/>
      <c r="AI12" s="91" t="str">
        <f>Montagem!AO113</f>
        <v/>
      </c>
      <c r="AR12" s="66"/>
      <c r="AS12" s="92"/>
      <c r="AT12" s="92"/>
      <c r="AU12" s="92"/>
      <c r="AV12" s="92"/>
      <c r="AW12" s="92"/>
      <c r="AX12" s="92"/>
      <c r="AY12" s="93"/>
      <c r="AZ12" s="91" t="str">
        <f>Montagem!BD113</f>
        <v/>
      </c>
      <c r="BI12" s="66"/>
      <c r="BJ12" s="92"/>
      <c r="BK12" s="92"/>
      <c r="BL12" s="92"/>
      <c r="BM12" s="92"/>
      <c r="BN12" s="92"/>
      <c r="BO12" s="92"/>
      <c r="BP12" s="93"/>
      <c r="BQ12" s="91" t="str">
        <f>Montagem!BS113</f>
        <v/>
      </c>
      <c r="BZ12" s="66"/>
      <c r="CA12" s="92"/>
      <c r="CB12" s="92"/>
      <c r="CC12" s="92"/>
      <c r="CD12" s="92"/>
      <c r="CE12" s="92"/>
      <c r="CF12" s="92"/>
      <c r="CG12" s="93"/>
      <c r="CH12" s="91" t="str">
        <f>Montagem!CH113</f>
        <v/>
      </c>
      <c r="CQ12" s="66"/>
      <c r="CR12" s="92"/>
      <c r="CS12" s="92"/>
      <c r="CT12" s="92"/>
      <c r="CU12" s="92"/>
      <c r="CV12" s="92"/>
      <c r="CW12" s="92"/>
      <c r="CX12" s="93"/>
      <c r="CY12" s="91" t="str">
        <f>Montagem!CW113</f>
        <v/>
      </c>
      <c r="DH12" s="66"/>
      <c r="DI12" s="92"/>
      <c r="DJ12" s="92"/>
      <c r="DK12" s="92"/>
      <c r="DL12" s="92"/>
      <c r="DM12" s="92"/>
      <c r="DN12" s="92"/>
      <c r="DO12" s="93"/>
      <c r="DP12" s="95" t="s">
        <v>27</v>
      </c>
      <c r="DQ12" s="94">
        <f>IF(DQ18=0,0,DQ11/DQ18)</f>
        <v>99.31375</v>
      </c>
      <c r="DR12" s="94"/>
      <c r="DS12" s="94"/>
      <c r="DT12" s="94"/>
      <c r="DU12" s="94"/>
      <c r="DV12" s="94"/>
      <c r="DW12" s="94"/>
      <c r="DX12" s="94"/>
      <c r="DY12" s="94"/>
    </row>
    <row r="13">
      <c r="A13" s="91" t="str">
        <f>IFS(L2=4,"Semana de Adaptação",L2=2,"Semana Ordinária",L2=0,"Semana de Choque")</f>
        <v>Semana Ordinária</v>
      </c>
      <c r="J13" s="66"/>
      <c r="K13" s="92"/>
      <c r="L13" s="92"/>
      <c r="M13" s="92"/>
      <c r="N13" s="92"/>
      <c r="O13" s="92"/>
      <c r="P13" s="92"/>
      <c r="Q13" s="93"/>
      <c r="R13" s="91" t="str">
        <f>IFS(L2=4,"Semana de Adaptação",L2=2,"Semana Ordinária",L2=0,"Semana de Choque")</f>
        <v>Semana Ordinária</v>
      </c>
      <c r="AA13" s="66"/>
      <c r="AB13" s="92"/>
      <c r="AC13" s="92"/>
      <c r="AD13" s="92"/>
      <c r="AE13" s="92"/>
      <c r="AF13" s="92"/>
      <c r="AG13" s="92"/>
      <c r="AH13" s="93"/>
      <c r="AI13" s="91" t="str">
        <f>IFS(L2=4,"Semana de Adaptação",L2=2,"Semana Ordinária",L2=0,"Semana de Choque")</f>
        <v>Semana Ordinária</v>
      </c>
      <c r="AR13" s="66"/>
      <c r="AS13" s="92"/>
      <c r="AT13" s="92"/>
      <c r="AU13" s="92"/>
      <c r="AV13" s="92"/>
      <c r="AW13" s="92"/>
      <c r="AX13" s="92"/>
      <c r="AY13" s="93"/>
      <c r="AZ13" s="91" t="str">
        <f>IFS(L2=4,"Semana de Adaptação",L2=2,"Semana Ordinária",L2=0,"Semana de Choque")</f>
        <v>Semana Ordinária</v>
      </c>
      <c r="BI13" s="66"/>
      <c r="BJ13" s="92"/>
      <c r="BK13" s="92"/>
      <c r="BL13" s="92"/>
      <c r="BM13" s="92"/>
      <c r="BN13" s="92"/>
      <c r="BO13" s="92"/>
      <c r="BP13" s="93"/>
      <c r="BQ13" s="91" t="str">
        <f>IFS(L2=4,"Semana de Adaptação",L2=2,"Semana Ordinária",L2=0,"Semana de Choque")</f>
        <v>Semana Ordinária</v>
      </c>
      <c r="BZ13" s="66"/>
      <c r="CA13" s="92"/>
      <c r="CB13" s="92"/>
      <c r="CC13" s="92"/>
      <c r="CD13" s="92"/>
      <c r="CE13" s="92"/>
      <c r="CF13" s="92"/>
      <c r="CG13" s="93"/>
      <c r="CH13" s="91" t="str">
        <f>IFS(L2=4,"Semana de Adaptação",L2=2,"Semana Ordinária",L2=0,"Semana de Choque")</f>
        <v>Semana Ordinária</v>
      </c>
      <c r="CQ13" s="66"/>
      <c r="CR13" s="92"/>
      <c r="CS13" s="92"/>
      <c r="CT13" s="92"/>
      <c r="CU13" s="92"/>
      <c r="CV13" s="92"/>
      <c r="CW13" s="92"/>
      <c r="CX13" s="93"/>
      <c r="CY13" s="91" t="str">
        <f>IFS(L2=4,"Semana de Adaptação",L2=2,"Semana Ordinária",L2=0,"Semana de Choque")</f>
        <v>Semana Ordinária</v>
      </c>
      <c r="DH13" s="66"/>
      <c r="DI13" s="92"/>
      <c r="DJ13" s="92"/>
      <c r="DK13" s="92"/>
      <c r="DL13" s="92"/>
      <c r="DM13" s="92"/>
      <c r="DN13" s="92"/>
      <c r="DO13" s="93"/>
      <c r="DP13" s="95" t="s">
        <v>28</v>
      </c>
      <c r="DQ13" s="94">
        <f>DQ11/7</f>
        <v>70.93839286</v>
      </c>
      <c r="DR13" s="94"/>
      <c r="DS13" s="94"/>
      <c r="DT13" s="94"/>
      <c r="DU13" s="94"/>
      <c r="DV13" s="94"/>
      <c r="DW13" s="94"/>
      <c r="DX13" s="94"/>
      <c r="DY13" s="94"/>
    </row>
    <row r="14">
      <c r="A14" s="90" t="s">
        <v>29</v>
      </c>
      <c r="J14" s="66"/>
      <c r="K14" s="57"/>
      <c r="L14" s="57"/>
      <c r="M14" s="57"/>
      <c r="N14" s="57"/>
      <c r="O14" s="57"/>
      <c r="P14" s="57"/>
      <c r="Q14" s="58"/>
      <c r="R14" s="90" t="s">
        <v>29</v>
      </c>
      <c r="AA14" s="66"/>
      <c r="AB14" s="57"/>
      <c r="AC14" s="57"/>
      <c r="AD14" s="57"/>
      <c r="AE14" s="57"/>
      <c r="AF14" s="57"/>
      <c r="AG14" s="57"/>
      <c r="AH14" s="58"/>
      <c r="AI14" s="90" t="s">
        <v>29</v>
      </c>
      <c r="AR14" s="66"/>
      <c r="AS14" s="57"/>
      <c r="AT14" s="57"/>
      <c r="AU14" s="57"/>
      <c r="AV14" s="57"/>
      <c r="AW14" s="57"/>
      <c r="AX14" s="57"/>
      <c r="AY14" s="58"/>
      <c r="AZ14" s="90" t="s">
        <v>29</v>
      </c>
      <c r="BI14" s="66"/>
      <c r="BJ14" s="57"/>
      <c r="BK14" s="57"/>
      <c r="BL14" s="57"/>
      <c r="BM14" s="57"/>
      <c r="BN14" s="57"/>
      <c r="BO14" s="57"/>
      <c r="BP14" s="58"/>
      <c r="BQ14" s="90" t="s">
        <v>29</v>
      </c>
      <c r="BZ14" s="66"/>
      <c r="CA14" s="57"/>
      <c r="CB14" s="57"/>
      <c r="CC14" s="57"/>
      <c r="CD14" s="57"/>
      <c r="CE14" s="57"/>
      <c r="CF14" s="57"/>
      <c r="CG14" s="58"/>
      <c r="CH14" s="90" t="s">
        <v>29</v>
      </c>
      <c r="CQ14" s="66"/>
      <c r="CR14" s="57"/>
      <c r="CS14" s="57"/>
      <c r="CT14" s="57"/>
      <c r="CU14" s="57"/>
      <c r="CV14" s="57"/>
      <c r="CW14" s="57"/>
      <c r="CX14" s="58"/>
      <c r="CY14" s="90" t="s">
        <v>29</v>
      </c>
      <c r="DH14" s="66"/>
      <c r="DI14" s="57"/>
      <c r="DJ14" s="57"/>
      <c r="DK14" s="57"/>
      <c r="DL14" s="57"/>
      <c r="DM14" s="57"/>
      <c r="DN14" s="57"/>
      <c r="DO14" s="58"/>
      <c r="DP14" s="73" t="s">
        <v>30</v>
      </c>
      <c r="DQ14" s="56">
        <f>STDEVPA(D90,U90,AL90,BC90,BT90,CK90,DB90)</f>
        <v>65.15449295</v>
      </c>
      <c r="DR14" s="56"/>
      <c r="DS14" s="56"/>
      <c r="DT14" s="56"/>
      <c r="DU14" s="56"/>
      <c r="DV14" s="56"/>
      <c r="DW14" s="56"/>
      <c r="DX14" s="56"/>
      <c r="DY14" s="56"/>
    </row>
    <row r="15">
      <c r="A15" s="96" t="s">
        <v>31</v>
      </c>
      <c r="D15" s="97" t="s">
        <v>32</v>
      </c>
      <c r="E15" s="98" t="s">
        <v>33</v>
      </c>
      <c r="F15" s="98" t="s">
        <v>34</v>
      </c>
      <c r="G15" s="98" t="s">
        <v>35</v>
      </c>
      <c r="H15" s="98" t="s">
        <v>36</v>
      </c>
      <c r="I15" s="98" t="s">
        <v>37</v>
      </c>
      <c r="J15" s="99" t="s">
        <v>38</v>
      </c>
      <c r="K15" s="100"/>
      <c r="L15" s="100"/>
      <c r="M15" s="100"/>
      <c r="N15" s="100"/>
      <c r="O15" s="100"/>
      <c r="P15" s="100"/>
      <c r="Q15" s="101"/>
      <c r="R15" s="96" t="s">
        <v>31</v>
      </c>
      <c r="U15" s="97" t="s">
        <v>32</v>
      </c>
      <c r="V15" s="98" t="s">
        <v>33</v>
      </c>
      <c r="W15" s="98" t="s">
        <v>34</v>
      </c>
      <c r="X15" s="98" t="s">
        <v>35</v>
      </c>
      <c r="Y15" s="98" t="s">
        <v>36</v>
      </c>
      <c r="Z15" s="98" t="s">
        <v>37</v>
      </c>
      <c r="AA15" s="99" t="s">
        <v>38</v>
      </c>
      <c r="AB15" s="100"/>
      <c r="AC15" s="100"/>
      <c r="AD15" s="100"/>
      <c r="AE15" s="100"/>
      <c r="AF15" s="100"/>
      <c r="AG15" s="100"/>
      <c r="AH15" s="101"/>
      <c r="AI15" s="96" t="s">
        <v>31</v>
      </c>
      <c r="AL15" s="97" t="s">
        <v>32</v>
      </c>
      <c r="AM15" s="98" t="s">
        <v>33</v>
      </c>
      <c r="AN15" s="98" t="s">
        <v>34</v>
      </c>
      <c r="AO15" s="98" t="s">
        <v>35</v>
      </c>
      <c r="AP15" s="98" t="s">
        <v>36</v>
      </c>
      <c r="AQ15" s="98" t="s">
        <v>37</v>
      </c>
      <c r="AR15" s="99" t="s">
        <v>38</v>
      </c>
      <c r="AS15" s="100"/>
      <c r="AT15" s="100"/>
      <c r="AU15" s="100"/>
      <c r="AV15" s="100"/>
      <c r="AW15" s="100"/>
      <c r="AX15" s="100"/>
      <c r="AY15" s="101"/>
      <c r="AZ15" s="96" t="s">
        <v>31</v>
      </c>
      <c r="BC15" s="97" t="s">
        <v>32</v>
      </c>
      <c r="BD15" s="98" t="s">
        <v>33</v>
      </c>
      <c r="BE15" s="98" t="s">
        <v>34</v>
      </c>
      <c r="BF15" s="98" t="s">
        <v>35</v>
      </c>
      <c r="BG15" s="98" t="s">
        <v>36</v>
      </c>
      <c r="BH15" s="98" t="s">
        <v>37</v>
      </c>
      <c r="BI15" s="99" t="s">
        <v>38</v>
      </c>
      <c r="BJ15" s="100"/>
      <c r="BK15" s="100"/>
      <c r="BL15" s="100"/>
      <c r="BM15" s="100"/>
      <c r="BN15" s="100"/>
      <c r="BO15" s="100"/>
      <c r="BP15" s="101"/>
      <c r="BQ15" s="96" t="s">
        <v>31</v>
      </c>
      <c r="BT15" s="97" t="s">
        <v>32</v>
      </c>
      <c r="BU15" s="98" t="s">
        <v>33</v>
      </c>
      <c r="BV15" s="98" t="s">
        <v>34</v>
      </c>
      <c r="BW15" s="98" t="s">
        <v>35</v>
      </c>
      <c r="BX15" s="98" t="s">
        <v>36</v>
      </c>
      <c r="BY15" s="98" t="s">
        <v>37</v>
      </c>
      <c r="BZ15" s="99" t="s">
        <v>38</v>
      </c>
      <c r="CA15" s="100"/>
      <c r="CB15" s="100"/>
      <c r="CC15" s="100"/>
      <c r="CD15" s="100"/>
      <c r="CE15" s="100"/>
      <c r="CF15" s="100"/>
      <c r="CG15" s="101"/>
      <c r="CH15" s="96" t="s">
        <v>31</v>
      </c>
      <c r="CK15" s="97" t="s">
        <v>32</v>
      </c>
      <c r="CL15" s="98" t="s">
        <v>33</v>
      </c>
      <c r="CM15" s="98" t="s">
        <v>34</v>
      </c>
      <c r="CN15" s="98" t="s">
        <v>35</v>
      </c>
      <c r="CO15" s="98" t="s">
        <v>36</v>
      </c>
      <c r="CP15" s="98" t="s">
        <v>37</v>
      </c>
      <c r="CQ15" s="99" t="s">
        <v>38</v>
      </c>
      <c r="CR15" s="100"/>
      <c r="CS15" s="100"/>
      <c r="CT15" s="100"/>
      <c r="CU15" s="100"/>
      <c r="CV15" s="100"/>
      <c r="CW15" s="100"/>
      <c r="CX15" s="101"/>
      <c r="CY15" s="96" t="s">
        <v>31</v>
      </c>
      <c r="DB15" s="97" t="s">
        <v>32</v>
      </c>
      <c r="DC15" s="98" t="s">
        <v>33</v>
      </c>
      <c r="DD15" s="98" t="s">
        <v>34</v>
      </c>
      <c r="DE15" s="98" t="s">
        <v>35</v>
      </c>
      <c r="DF15" s="98" t="s">
        <v>36</v>
      </c>
      <c r="DG15" s="98" t="s">
        <v>37</v>
      </c>
      <c r="DH15" s="99" t="s">
        <v>38</v>
      </c>
      <c r="DI15" s="100"/>
      <c r="DJ15" s="100"/>
      <c r="DK15" s="100"/>
      <c r="DL15" s="100"/>
      <c r="DM15" s="100"/>
      <c r="DN15" s="100"/>
      <c r="DO15" s="101"/>
      <c r="DP15" s="73" t="s">
        <v>39</v>
      </c>
      <c r="DQ15" s="56">
        <f>IF(ISERR(AVERAGE(K4,AB4,AS4,BJ4,CA4,CR4,DI4)),0,AVERAGE(K4,AB4,AS4,BJ4,CA4,CR4,DI4))</f>
        <v>10</v>
      </c>
      <c r="DR15" s="56"/>
      <c r="DS15" s="56"/>
      <c r="DT15" s="56"/>
      <c r="DU15" s="56"/>
      <c r="DV15" s="56"/>
      <c r="DW15" s="56"/>
      <c r="DX15" s="56"/>
      <c r="DY15" s="56"/>
    </row>
    <row r="16">
      <c r="A16" s="102" t="str">
        <f>IF(M16="","",HYPERLINK(OFFSET(Biblioteca!$B$2,MATCH(M16,Biblioteca!$A$3:$A$200,0),0),M16))</f>
        <v>Mobilidade Torácica na Parede</v>
      </c>
      <c r="D16" s="103" t="str">
        <f>Montagem!Q116</f>
        <v>Seriado</v>
      </c>
      <c r="E16" s="104">
        <f>Montagem!R116</f>
        <v>2</v>
      </c>
      <c r="F16" s="104">
        <f>Montagem!S116</f>
        <v>10</v>
      </c>
      <c r="G16" s="104">
        <f>Montagem!T116</f>
        <v>10</v>
      </c>
      <c r="H16" s="104">
        <f>Montagem!U116</f>
        <v>1</v>
      </c>
      <c r="I16" s="104">
        <f>Montagem!V116</f>
        <v>1</v>
      </c>
      <c r="J16" s="105">
        <v>10.0</v>
      </c>
      <c r="K16" s="106">
        <f>Montagem!K116</f>
        <v>1</v>
      </c>
      <c r="L16" s="106">
        <f>Montagem!W116</f>
        <v>0</v>
      </c>
      <c r="M16" s="106" t="str">
        <f>Montagem!L116</f>
        <v>Mobilidade Torácica na Parede</v>
      </c>
      <c r="N16" s="106" t="str">
        <f>Montagem!X116</f>
        <v/>
      </c>
      <c r="O16" s="106">
        <f>IF(N16="",L16,N16)</f>
        <v>0</v>
      </c>
      <c r="P16" s="106">
        <f>IF(L17="C",'Dados de Base'!$D$5*0.1,IF(L17="E",5,IF(J16="",O16,J16)))</f>
        <v>6.3</v>
      </c>
      <c r="Q16" s="108"/>
      <c r="R16" s="102" t="str">
        <f>IF(AD16="","",HYPERLINK(OFFSET(Biblioteca!$B$2,MATCH(AD16,Biblioteca!$A$3:$A$200,0),0),AD16))</f>
        <v>Mobilidade de Quadril em S</v>
      </c>
      <c r="U16" s="109" t="str">
        <f>Montagem!AF116</f>
        <v>Seriado</v>
      </c>
      <c r="V16" s="110">
        <f>Montagem!AG116</f>
        <v>2</v>
      </c>
      <c r="W16" s="110">
        <f>Montagem!AH116</f>
        <v>10</v>
      </c>
      <c r="X16" s="110">
        <f>Montagem!AI116</f>
        <v>10</v>
      </c>
      <c r="Y16" s="110">
        <f>Montagem!AJ116</f>
        <v>1</v>
      </c>
      <c r="Z16" s="110">
        <f>Montagem!AK116</f>
        <v>1</v>
      </c>
      <c r="AA16" s="105">
        <v>10.0</v>
      </c>
      <c r="AB16" s="111">
        <f>Montagem!Z116</f>
        <v>1</v>
      </c>
      <c r="AC16" s="106">
        <f>Montagem!AL116</f>
        <v>0</v>
      </c>
      <c r="AD16" s="111" t="str">
        <f>Montagem!AA116</f>
        <v>Mobilidade de Quadril em S</v>
      </c>
      <c r="AE16" s="111" t="str">
        <f>Montagem!AM116</f>
        <v/>
      </c>
      <c r="AF16" s="106">
        <f>IF(AE16="",AC16,AE16)</f>
        <v>0</v>
      </c>
      <c r="AG16" s="106">
        <f>IF(AC17="C",'Dados de Base'!$D$5*0.1,IF(AC17="E",5,IF(AA16="",AF16,AA16)))</f>
        <v>6.3</v>
      </c>
      <c r="AH16" s="108"/>
      <c r="AI16" s="102" t="str">
        <f>IF(AU16="","",HYPERLINK(OFFSET(Biblioteca!$B$2,MATCH(AU16,Biblioteca!$A$3:$A$200,0),0),AU16))</f>
        <v>Mobilidade de Quadril - Cócoras</v>
      </c>
      <c r="AL16" s="109" t="str">
        <f>Montagem!AU116</f>
        <v>Seriado</v>
      </c>
      <c r="AM16" s="110">
        <f>Montagem!AV116</f>
        <v>2</v>
      </c>
      <c r="AN16" s="110">
        <f>Montagem!AW116</f>
        <v>10</v>
      </c>
      <c r="AO16" s="110">
        <f>Montagem!AX116</f>
        <v>10</v>
      </c>
      <c r="AP16" s="110">
        <f>Montagem!AY116</f>
        <v>1</v>
      </c>
      <c r="AQ16" s="110">
        <f>Montagem!AZ116</f>
        <v>1</v>
      </c>
      <c r="AR16" s="105">
        <v>10.0</v>
      </c>
      <c r="AS16" s="111">
        <f>Montagem!AO116</f>
        <v>1</v>
      </c>
      <c r="AT16" s="106">
        <f>Montagem!BA116</f>
        <v>0</v>
      </c>
      <c r="AU16" s="111" t="str">
        <f>Montagem!AP116</f>
        <v>Mobilidade de Quadril - Cócoras</v>
      </c>
      <c r="AV16" s="111" t="str">
        <f>Montagem!BB116</f>
        <v/>
      </c>
      <c r="AW16" s="106">
        <f>IF(AV16="",AT16,AV16)</f>
        <v>0</v>
      </c>
      <c r="AX16" s="106">
        <f>IF(AT17="C",'Dados de Base'!$D$5*0.1,IF(AT17="E",5,IF(AR16="",AW16,AR16)))</f>
        <v>6.3</v>
      </c>
      <c r="AY16" s="108"/>
      <c r="AZ16" s="102" t="str">
        <f>IF(BL16="","",HYPERLINK(OFFSET(Biblioteca!$B$2,MATCH(BL16,Biblioteca!$A$3:$A$200,0),0),BL16))</f>
        <v>Mobilidade de Quadril - Iliopsoas</v>
      </c>
      <c r="BC16" s="109" t="str">
        <f>Montagem!BJ116</f>
        <v>Seriado</v>
      </c>
      <c r="BD16" s="110">
        <f>Montagem!BK116</f>
        <v>2</v>
      </c>
      <c r="BE16" s="110">
        <f>Montagem!BL116</f>
        <v>10</v>
      </c>
      <c r="BF16" s="110">
        <f>Montagem!BM116</f>
        <v>10</v>
      </c>
      <c r="BG16" s="110">
        <f>Montagem!BN116</f>
        <v>1</v>
      </c>
      <c r="BH16" s="110">
        <f>Montagem!BO116</f>
        <v>2</v>
      </c>
      <c r="BI16" s="112">
        <v>10.0</v>
      </c>
      <c r="BJ16" s="111">
        <f>Montagem!BD116</f>
        <v>1</v>
      </c>
      <c r="BK16" s="106">
        <f>Montagem!BP116</f>
        <v>0</v>
      </c>
      <c r="BL16" s="111" t="str">
        <f>Montagem!BE116</f>
        <v>Mobilidade de Quadril - Iliopsoas</v>
      </c>
      <c r="BM16" s="111" t="str">
        <f>Montagem!BQ116</f>
        <v/>
      </c>
      <c r="BN16" s="106">
        <f>IF(BM16="",BK16,BM16)</f>
        <v>0</v>
      </c>
      <c r="BO16" s="106">
        <f>IF(BK17="C",'Dados de Base'!$D$5*0.1,IF(BK17="E",5,IF(BI16="",BN16,BI16)))</f>
        <v>6.3</v>
      </c>
      <c r="BP16" s="108"/>
      <c r="BQ16" s="102" t="str">
        <f>IF(CC16="","",HYPERLINK(OFFSET(Biblioteca!$B$2,MATCH(CC16,Biblioteca!$A$3:$A$200,0),0),CC16))</f>
        <v>Mobilidade Torácica na Parede</v>
      </c>
      <c r="BT16" s="109" t="str">
        <f>Montagem!BY116</f>
        <v>Seriado</v>
      </c>
      <c r="BU16" s="109">
        <f>Montagem!BZ116</f>
        <v>2</v>
      </c>
      <c r="BV16" s="109">
        <f>Montagem!CA116</f>
        <v>10</v>
      </c>
      <c r="BW16" s="109">
        <f>Montagem!CB116</f>
        <v>10</v>
      </c>
      <c r="BX16" s="109">
        <f>Montagem!CC116</f>
        <v>1</v>
      </c>
      <c r="BY16" s="109">
        <f>Montagem!CD116</f>
        <v>2</v>
      </c>
      <c r="BZ16" s="113">
        <v>10.0</v>
      </c>
      <c r="CA16" s="111">
        <f>Montagem!BS116</f>
        <v>1</v>
      </c>
      <c r="CB16" s="106">
        <f>Montagem!CE116</f>
        <v>0</v>
      </c>
      <c r="CC16" s="111" t="str">
        <f>Montagem!BT116</f>
        <v>Mobilidade Torácica na Parede</v>
      </c>
      <c r="CD16" s="111" t="str">
        <f>Montagem!CF116</f>
        <v/>
      </c>
      <c r="CE16" s="106">
        <f>IF(CD16="",CB16,CD16)</f>
        <v>0</v>
      </c>
      <c r="CF16" s="106">
        <f>IF(CB17="C",'Dados de Base'!$D$5*0.1,IF(CB17="E",5,IF(BZ16="",CE16,BZ16)))</f>
        <v>6.3</v>
      </c>
      <c r="CG16" s="108"/>
      <c r="CH16" s="102" t="str">
        <f>IF(CT16="","",HYPERLINK(OFFSET(Biblioteca!$B$2,MATCH(CT16,Biblioteca!$A$3:$A$200,0),0),CT16))</f>
        <v>Mobilidade de Quadril - Cócoras</v>
      </c>
      <c r="CK16" s="109" t="str">
        <f>Montagem!CN116</f>
        <v>Seriado</v>
      </c>
      <c r="CL16" s="110">
        <f>Montagem!CO116</f>
        <v>2</v>
      </c>
      <c r="CM16" s="110">
        <f>Montagem!CP116</f>
        <v>10</v>
      </c>
      <c r="CN16" s="110">
        <f>Montagem!CQ116</f>
        <v>10</v>
      </c>
      <c r="CO16" s="110">
        <f>Montagem!CR116</f>
        <v>1</v>
      </c>
      <c r="CP16" s="110">
        <f>Montagem!CS116</f>
        <v>1</v>
      </c>
      <c r="CQ16" s="113"/>
      <c r="CR16" s="111">
        <f>Montagem!CH116</f>
        <v>1</v>
      </c>
      <c r="CS16" s="106">
        <f>Montagem!CT116</f>
        <v>0</v>
      </c>
      <c r="CT16" s="111" t="str">
        <f>Montagem!CI116</f>
        <v>Mobilidade de Quadril - Cócoras</v>
      </c>
      <c r="CU16" s="111" t="str">
        <f>Montagem!CU116</f>
        <v/>
      </c>
      <c r="CV16" s="106">
        <f>IF(CU16="",CS16,CU16)</f>
        <v>0</v>
      </c>
      <c r="CW16" s="106">
        <f>IF(CS17="C",'Dados de Base'!$D$5*0.1,IF(CS17="E",5,IF(CQ16="",CV16,CQ16)))</f>
        <v>6.3</v>
      </c>
      <c r="CX16" s="108"/>
      <c r="CY16" s="115" t="str">
        <f>IF(DK16="","",HYPERLINK(OFFSET(Biblioteca!$B$2,MATCH(DK16,Biblioteca!$A$3:$A$200,0),0),DK16))</f>
        <v/>
      </c>
      <c r="DB16" s="109" t="str">
        <f>Montagem!DC116</f>
        <v/>
      </c>
      <c r="DC16" s="110" t="str">
        <f>Montagem!DD116</f>
        <v/>
      </c>
      <c r="DD16" s="110" t="str">
        <f>Montagem!DE116</f>
        <v/>
      </c>
      <c r="DE16" s="110" t="str">
        <f>Montagem!DF116</f>
        <v/>
      </c>
      <c r="DF16" s="110" t="str">
        <f>Montagem!DG116</f>
        <v/>
      </c>
      <c r="DG16" s="110" t="str">
        <f>Montagem!DH116</f>
        <v/>
      </c>
      <c r="DH16" s="114"/>
      <c r="DI16" s="111">
        <f>Montagem!CW116</f>
        <v>1</v>
      </c>
      <c r="DJ16" s="106" t="str">
        <f>Montagem!DI116</f>
        <v/>
      </c>
      <c r="DK16" s="111" t="str">
        <f>Montagem!CX116</f>
        <v/>
      </c>
      <c r="DL16" s="111" t="str">
        <f>Montagem!DJ116</f>
        <v/>
      </c>
      <c r="DM16" s="106" t="str">
        <f>IF(DL16="",DJ16,DL16)</f>
        <v/>
      </c>
      <c r="DN16" s="106" t="str">
        <f>IF(DJ17="C",'Dados de Base'!$D$5*0.1,IF(DJ17="E",5,IF(DH16="",DM16,DH16)))</f>
        <v/>
      </c>
      <c r="DO16" s="108"/>
      <c r="DP16" s="116" t="s">
        <v>40</v>
      </c>
      <c r="DQ16" s="106">
        <f>IF(DQ18=0,0,(L80+AC80+AT80+BK80+CB80+CS80+DJ80)/DQ18)</f>
        <v>3.4</v>
      </c>
      <c r="DR16" s="106"/>
      <c r="DS16" s="106"/>
      <c r="DT16" s="106"/>
      <c r="DU16" s="106"/>
      <c r="DV16" s="106"/>
      <c r="DW16" s="106"/>
      <c r="DX16" s="106"/>
      <c r="DY16" s="106"/>
    </row>
    <row r="17">
      <c r="A17" s="117" t="str">
        <f>IF(A16="","",IFS(L17="A",Montagem!$C$130,N17="T","Realizar a maior quantidade de repetições por "&amp;F16&amp;" segundos | ",N17="I",IF(M17="U","Manter a posição por "&amp;F16&amp;" segundos de um lado e trocar para o outro na sequência | ","Manter a posição por "&amp;F16&amp;" segundos | "),M17="A","Realizar alternadamente "&amp;F16&amp;" repetições cada lado | ",M17="U","Realizar "&amp;F16&amp;" repetições de um lado e trocar para o outro na sequência | ",L17="P",OFFSET(Biblioteca!$H$2,MATCH(M16,Biblioteca!$A$3:$A$200,0),0),TRUE,""))</f>
        <v>Realizar 10 repetições de um lado e trocar para o outro na sequência | </v>
      </c>
      <c r="E17" s="118" t="str">
        <f>IF(A16="","",IFS(L17="H","Carga Sugerida: "&amp;ROUNDUP(O16/2,0)&amp;" kg de cada lado (Total: "&amp;ROUNDUP(O16/2,0)*2&amp;" kg)",L17="C","Este exercício usa o Peso Corporal como carga",L17="E","Este exercício usa a resistência da banda elástica como carga",L17="O","Carga Sugerida: "&amp;INT(O16)&amp;" kg",TRUE,""))</f>
        <v>Este exercício usa o Peso Corporal como carga</v>
      </c>
      <c r="J17" s="66"/>
      <c r="K17" s="119">
        <f>K16</f>
        <v>1</v>
      </c>
      <c r="L17" s="120" t="str">
        <f>LEFT(O17)</f>
        <v>C</v>
      </c>
      <c r="M17" s="121" t="str">
        <f>MID(O17,2,1)</f>
        <v>U</v>
      </c>
      <c r="N17" s="122" t="str">
        <f>RIGHT(O17)</f>
        <v>R</v>
      </c>
      <c r="O17" s="123" t="str">
        <f>IF(M16="","",OFFSET(Biblioteca!$I$2,MATCH(M16,Biblioteca!$A$3:$A$200,0),0))</f>
        <v>CUR</v>
      </c>
      <c r="P17" s="124"/>
      <c r="Q17" s="125"/>
      <c r="R17" s="117" t="str">
        <f>IF(R16="","",IFS(AC17="A",Montagem!$D$130,AE17="T","Realizar a maior quantidade de repetições por "&amp;W16&amp;" segundos | ",AE17="I",IF(AD17="U","Manter a posição por "&amp;W16&amp;" segundos de um lado e trocar para o outro na sequência | ","Manter a posição por "&amp;W16&amp;" segundos | "),AD17="A","Realizar alternadamente "&amp;W16&amp;" repetições cada lado | ",AD17="U","Realizar "&amp;W16&amp;" repetições de um lado e trocar para o outro na sequência | ",AC17="P",OFFSET(Biblioteca!$H$2,MATCH(AD16,Biblioteca!$A$3:$A$200,0),0),TRUE,""))</f>
        <v>Realizar 10 repetições de um lado e trocar para o outro na sequência | </v>
      </c>
      <c r="V17" s="118" t="str">
        <f>IF(R16="","",IFS(AC17="H","Carga Sugerida: "&amp;ROUNDUP(AF16/2,0)&amp;" kg de cada lado (Total: "&amp;ROUNDUP(AF16/2,0)*2&amp;" kg)",AC17="C","Este exercício usa o Peso Corporal como carga",AC17="E","Este exercício usa a resistência da banda elástica como carga",AC17="O","Carga Sugerida: "&amp;INT(AF16)&amp;" kg",TRUE,""))</f>
        <v>Este exercício usa o Peso Corporal como carga</v>
      </c>
      <c r="AA17" s="66"/>
      <c r="AB17" s="126">
        <f>AB16</f>
        <v>1</v>
      </c>
      <c r="AC17" s="120" t="str">
        <f>LEFT(AF17)</f>
        <v>C</v>
      </c>
      <c r="AD17" s="121" t="str">
        <f>MID(AF17,2,1)</f>
        <v>U</v>
      </c>
      <c r="AE17" s="122" t="str">
        <f>RIGHT(AF17)</f>
        <v>R</v>
      </c>
      <c r="AF17" s="123" t="str">
        <f>IF(AD16="","",OFFSET(Biblioteca!$I$2,MATCH(AD16,Biblioteca!$A$3:$A$200,0),0))</f>
        <v>CUR</v>
      </c>
      <c r="AG17" s="124"/>
      <c r="AH17" s="125"/>
      <c r="AI17" s="117" t="str">
        <f>IF(AI16="","",IFS(AT17="A",Montagem!$E$130,AV17="T","Realizar a maior quantidade de repetições por "&amp;AN16&amp;" segundos | ",AV17="I",IF(AU17="U","Manter a posição por "&amp;AN16&amp;" segundos de um lado e trocar para o outro na sequência | ","Manter a posição por "&amp;AN16&amp;" segundos | "),AU17="A","Realizar alternadamente "&amp;AN16&amp;" repetições cada lado | ",AU17="U","Realizar "&amp;AN16&amp;" repetições de um lado e trocar para o outro na sequência | ",AT17="P",OFFSET(Biblioteca!$H$2,MATCH(AU16,Biblioteca!$A$3:$A$200,0),0),TRUE,""))</f>
        <v>Manter a posição por 10 segundos | </v>
      </c>
      <c r="AM17" s="118" t="str">
        <f>IF(AI16="","",IFS(AT17="H","Carga Sugerida: "&amp;ROUNDUP(AW16/2,0)&amp;" kg de cada lado (Total: "&amp;ROUNDUP(AW16/2,0)*2&amp;" kg)",AT17="C","Este exercício usa o Peso Corporal como carga",AT17="E","Este exercício usa a resistência da banda elástica como carga",AT17="O","Carga Sugerida: "&amp;INT(AW16)&amp;" kg",TRUE,""))</f>
        <v>Este exercício usa o Peso Corporal como carga</v>
      </c>
      <c r="AR17" s="66"/>
      <c r="AS17" s="126">
        <f>AS16</f>
        <v>1</v>
      </c>
      <c r="AT17" s="120" t="str">
        <f>LEFT(AW17)</f>
        <v>C</v>
      </c>
      <c r="AU17" s="121" t="str">
        <f>MID(AW17,2,1)</f>
        <v>O</v>
      </c>
      <c r="AV17" s="122" t="str">
        <f>RIGHT(AW17)</f>
        <v>I</v>
      </c>
      <c r="AW17" s="123" t="str">
        <f>IF(AU16="","",OFFSET(Biblioteca!$I$2,MATCH(AU16,Biblioteca!$A$3:$A$200,0),0))</f>
        <v>COI</v>
      </c>
      <c r="AX17" s="124"/>
      <c r="AY17" s="125"/>
      <c r="AZ17" s="117" t="str">
        <f>IF(AZ16="","",IFS(BK17="A",Montagem!$F$130,BM17="T","Realizar a maior quantidade de repetições por "&amp;BE16&amp;" segundos | ",BM17="I",IF(BL17="U","Manter a posição por "&amp;BE16&amp;" segundos de um lado e trocar para o outro na sequência | ","Manter a posição por "&amp;BE16&amp;" segundos | "),BL17="A","Realizar alternadamente "&amp;BE16&amp;" repetições cada lado | ",BL17="U","Realizar "&amp;BE16&amp;" repetições de um lado e trocar para o outro na sequência | ",BK17="P",OFFSET(Biblioteca!$H$2,MATCH(BL16,Biblioteca!$A$3:$A$200,0),0),TRUE,""))</f>
        <v/>
      </c>
      <c r="BD17" s="118" t="str">
        <f>IF(AZ16="","",IFS(BK17="H","Carga Sugerida: "&amp;ROUNDUP(BN16/2,0)&amp;" kg de cada lado (Total: "&amp;ROUNDUP(BN16/2,0)*2&amp;" kg)",BK17="C","Este exercício usa o Peso Corporal como carga",BK17="E","Este exercício usa a resistência da banda elástica como carga",BK17="O","Carga Sugerida: "&amp;INT(BN16)&amp;" kg",TRUE,""))</f>
        <v>Este exercício usa o Peso Corporal como carga</v>
      </c>
      <c r="BI17" s="66"/>
      <c r="BJ17" s="126">
        <f>BJ16</f>
        <v>1</v>
      </c>
      <c r="BK17" s="120" t="str">
        <f>LEFT(BN17)</f>
        <v>C</v>
      </c>
      <c r="BL17" s="121" t="str">
        <f>MID(BN17,2,1)</f>
        <v>O</v>
      </c>
      <c r="BM17" s="122" t="str">
        <f>RIGHT(BN17)</f>
        <v>R</v>
      </c>
      <c r="BN17" s="123" t="str">
        <f>IF(BL16="","",OFFSET(Biblioteca!$I$2,MATCH(BL16,Biblioteca!$A$3:$A$200,0),0))</f>
        <v>COR</v>
      </c>
      <c r="BO17" s="124"/>
      <c r="BP17" s="125"/>
      <c r="BQ17" s="117" t="str">
        <f>IF(BQ16="","",IFS(CB17="A",Montagem!$G$130,CD17="T","Realizar a maior quantidade de repetições por "&amp;BV16&amp;" segundos | ",CD17="I",IF(CC17="U","Manter a posição por "&amp;BV16&amp;" segundos de um lado e trocar para o outro na sequência | ","Manter a posição por "&amp;BV16&amp;" segundos | "),CC17="A","Realizar alternadamente "&amp;BV16&amp;" repetições cada lado | ",CC17="U","Realizar "&amp;BV16&amp;" repetições de um lado e trocar para o outro na sequência | ",CB17="P",OFFSET(Biblioteca!$H$2,MATCH(CC16,Biblioteca!$A$3:$A$200,0),0),TRUE,""))</f>
        <v>Realizar 10 repetições de um lado e trocar para o outro na sequência | </v>
      </c>
      <c r="BU17" s="118" t="str">
        <f>IF(BQ16="","",IFS(CB17="H","Carga Sugerida: "&amp;ROUNDUP(CE16/2,0)&amp;" kg de cada lado (Total: "&amp;ROUNDUP(CE16/2,0)*2&amp;" kg)",CB17="C","Este exercício usa o Peso Corporal como carga",CB17="E","Este exercício usa a resistência da banda elástica como carga",CB17="O","Carga Sugerida: "&amp;INT(CE16)&amp;" kg",TRUE,""))</f>
        <v>Este exercício usa o Peso Corporal como carga</v>
      </c>
      <c r="BZ17" s="66"/>
      <c r="CA17" s="126">
        <f>CA16</f>
        <v>1</v>
      </c>
      <c r="CB17" s="120" t="str">
        <f>LEFT(CE17)</f>
        <v>C</v>
      </c>
      <c r="CC17" s="121" t="str">
        <f>MID(CE17,2,1)</f>
        <v>U</v>
      </c>
      <c r="CD17" s="122" t="str">
        <f>RIGHT(CE17)</f>
        <v>R</v>
      </c>
      <c r="CE17" s="123" t="str">
        <f>IF(CC16="","",OFFSET(Biblioteca!$I$2,MATCH(CC16,Biblioteca!$A$3:$A$200,0),0))</f>
        <v>CUR</v>
      </c>
      <c r="CF17" s="124"/>
      <c r="CG17" s="125"/>
      <c r="CH17" s="117" t="str">
        <f>IF(CH16="","",IFS(CS17="A",Montagem!$H$130,CU17="T","Realizar a maior quantidade de repetições por "&amp;CM16&amp;" segundos | ",CU17="I",IF(CT17="U","Manter a posição por "&amp;CM16&amp;" segundos de um lado e trocar para o outro na sequência | ","Manter a posição por "&amp;CM16&amp;" segundos | "),CT17="A","Realizar alternadamente "&amp;CM16&amp;" repetições cada lado | ",CT17="U","Realizar "&amp;CM16&amp;" repetições de um lado e trocar para o outro na sequência | ",CS17="P",OFFSET(Biblioteca!$H$2,MATCH(CT16,Biblioteca!$A$3:$A$200,0),0),TRUE,""))</f>
        <v>Manter a posição por 10 segundos | </v>
      </c>
      <c r="CL17" s="118" t="str">
        <f>IF(CH16="","",IFS(CS17="H","Carga Sugerida: "&amp;ROUNDUP(CV16/2,0)&amp;" kg de cada lado (Total: "&amp;ROUNDUP(CV16/2,0)*2&amp;" kg)",CS17="C","Este exercício usa o Peso Corporal como carga",CS17="E","Este exercício usa a resistência da banda elástica como carga",CS17="O","Carga Sugerida: "&amp;INT(CV16)&amp;" kg",TRUE,""))</f>
        <v>Este exercício usa o Peso Corporal como carga</v>
      </c>
      <c r="CQ17" s="66"/>
      <c r="CR17" s="126">
        <f>CR16</f>
        <v>1</v>
      </c>
      <c r="CS17" s="120" t="str">
        <f>LEFT(CV17)</f>
        <v>C</v>
      </c>
      <c r="CT17" s="121" t="str">
        <f>MID(CV17,2,1)</f>
        <v>O</v>
      </c>
      <c r="CU17" s="122" t="str">
        <f>RIGHT(CV17)</f>
        <v>I</v>
      </c>
      <c r="CV17" s="123" t="str">
        <f>IF(CT16="","",OFFSET(Biblioteca!$I$2,MATCH(CT16,Biblioteca!$A$3:$A$200,0),0))</f>
        <v>COI</v>
      </c>
      <c r="CW17" s="124"/>
      <c r="CX17" s="125"/>
      <c r="CY17" s="117" t="str">
        <f>IF(CY16="","",IFS(DJ17="A",Montagem!$I$130,DL17="T","Realizar a maior quantidade de repetições por "&amp;DD16&amp;" segundos | ",DL17="I",IF(DK17="U","Manter a posição por "&amp;DD16&amp;" segundos de um lado e trocar para o outro na sequência | ","Manter a posição por "&amp;DD16&amp;" segundos | "),DK17="A","Realizar alternadamente "&amp;DD16&amp;" repetições cada lado | ",DK17="U","Realizar "&amp;DD16&amp;" repetições de um lado e trocar para o outro na sequência | ",DJ17="P",OFFSET(Biblioteca!$H$2,MATCH(DK16,Biblioteca!$A$3:$A$200,0),0),TRUE,""))</f>
        <v/>
      </c>
      <c r="DC17" s="118" t="str">
        <f>IF(CY16="","",IFS(DJ17="H","Carga Sugerida: "&amp;ROUNDUP(DM16/2,0)&amp;" kg de cada lado (Total: "&amp;ROUNDUP(DM16/2,0)*2&amp;" kg)",DJ17="C","Este exercício usa o Peso Corporal como carga",DJ17="E","Este exercício usa a resistência da banda elástica como carga",DJ17="O","Carga Sugerida: "&amp;INT(DM16)&amp;" kg",TRUE,""))</f>
        <v/>
      </c>
      <c r="DH17" s="66"/>
      <c r="DI17" s="126">
        <f>DI16</f>
        <v>1</v>
      </c>
      <c r="DJ17" s="120" t="str">
        <f>LEFT(DM17)</f>
        <v/>
      </c>
      <c r="DK17" s="121" t="str">
        <f>MID(DM17,2,1)</f>
        <v/>
      </c>
      <c r="DL17" s="122" t="str">
        <f>RIGHT(DM17)</f>
        <v/>
      </c>
      <c r="DM17" s="123" t="str">
        <f>IF(DK16="","",OFFSET(Biblioteca!$I$2,MATCH(DK16,Biblioteca!$A$3:$A$200,0),0))</f>
        <v/>
      </c>
      <c r="DN17" s="124"/>
      <c r="DO17" s="125"/>
      <c r="DP17" s="73" t="s">
        <v>41</v>
      </c>
      <c r="DQ17" s="56">
        <f>J2</f>
        <v>6</v>
      </c>
      <c r="DR17" s="56"/>
      <c r="DS17" s="56"/>
      <c r="DT17" s="56"/>
      <c r="DU17" s="56"/>
      <c r="DV17" s="56"/>
      <c r="DW17" s="56"/>
      <c r="DX17" s="56"/>
      <c r="DY17" s="56"/>
    </row>
    <row r="18">
      <c r="A18" s="102" t="str">
        <f>IF(M18="","",HYPERLINK(OFFSET(Biblioteca!$B$2,MATCH(M18,Biblioteca!$A$3:$A$200,0),0),M18))</f>
        <v>Mobilidade de Ombro I</v>
      </c>
      <c r="D18" s="103" t="str">
        <f>Montagem!Q117</f>
        <v>Seriado</v>
      </c>
      <c r="E18" s="127">
        <f>Montagem!R117</f>
        <v>2</v>
      </c>
      <c r="F18" s="104">
        <f>Montagem!S117</f>
        <v>10</v>
      </c>
      <c r="G18" s="104">
        <f>Montagem!T117</f>
        <v>10</v>
      </c>
      <c r="H18" s="127">
        <f>Montagem!U117</f>
        <v>1</v>
      </c>
      <c r="I18" s="104">
        <f>Montagem!V117</f>
        <v>1</v>
      </c>
      <c r="J18" s="105">
        <v>10.0</v>
      </c>
      <c r="K18" s="106">
        <f>Montagem!K117</f>
        <v>2</v>
      </c>
      <c r="L18" s="111">
        <f>Montagem!W117</f>
        <v>0</v>
      </c>
      <c r="M18" s="106" t="str">
        <f>Montagem!L117</f>
        <v>Mobilidade de Ombro I</v>
      </c>
      <c r="N18" s="111" t="str">
        <f>Montagem!X117</f>
        <v/>
      </c>
      <c r="O18" s="106">
        <f>IF(N18="",L18,N18)</f>
        <v>0</v>
      </c>
      <c r="P18" s="106">
        <f>IF(L19="C",'Dados de Base'!$D$5*0.1,IF(L19="E",5,IF(J18="",O18,J18)))</f>
        <v>5</v>
      </c>
      <c r="Q18" s="108"/>
      <c r="R18" s="102" t="str">
        <f>IF(AD18="","",HYPERLINK(OFFSET(Biblioteca!$B$2,MATCH(AD18,Biblioteca!$A$3:$A$200,0),0),AD18))</f>
        <v>Mobilidade Posterior de Coxa</v>
      </c>
      <c r="U18" s="109" t="str">
        <f>Montagem!AF117</f>
        <v>Seriado</v>
      </c>
      <c r="V18" s="110">
        <f>Montagem!AG117</f>
        <v>2</v>
      </c>
      <c r="W18" s="110">
        <f>Montagem!AH117</f>
        <v>10</v>
      </c>
      <c r="X18" s="110">
        <f>Montagem!AI117</f>
        <v>10</v>
      </c>
      <c r="Y18" s="110">
        <f>Montagem!AJ117</f>
        <v>1</v>
      </c>
      <c r="Z18" s="110">
        <f>Montagem!AK117</f>
        <v>1</v>
      </c>
      <c r="AA18" s="105">
        <v>10.0</v>
      </c>
      <c r="AB18" s="111">
        <f>Montagem!Z117</f>
        <v>2</v>
      </c>
      <c r="AC18" s="111">
        <f>Montagem!AL117</f>
        <v>0</v>
      </c>
      <c r="AD18" s="129" t="str">
        <f>Montagem!AA117</f>
        <v>Mobilidade Posterior de Coxa</v>
      </c>
      <c r="AE18" s="111" t="str">
        <f>Montagem!AM117</f>
        <v/>
      </c>
      <c r="AF18" s="106">
        <f>IF(AE18="",AC18,AE18)</f>
        <v>0</v>
      </c>
      <c r="AG18" s="106">
        <f>IF(AC19="C",'Dados de Base'!$D$5*0.1,IF(AC19="E",5,IF(AA18="",AF18,AA18)))</f>
        <v>6.3</v>
      </c>
      <c r="AH18" s="108"/>
      <c r="AI18" s="102" t="str">
        <f>IF(AU18="","",HYPERLINK(OFFSET(Biblioteca!$B$2,MATCH(AU18,Biblioteca!$A$3:$A$200,0),0),AU18))</f>
        <v>Mobilidade de tornozelo</v>
      </c>
      <c r="AL18" s="109" t="str">
        <f>Montagem!AU117</f>
        <v>Seriado</v>
      </c>
      <c r="AM18" s="110">
        <f>Montagem!AV117</f>
        <v>2</v>
      </c>
      <c r="AN18" s="110">
        <f>Montagem!AW117</f>
        <v>10</v>
      </c>
      <c r="AO18" s="110">
        <f>Montagem!AX117</f>
        <v>10</v>
      </c>
      <c r="AP18" s="110">
        <f>Montagem!AY117</f>
        <v>1</v>
      </c>
      <c r="AQ18" s="110">
        <f>Montagem!AZ117</f>
        <v>1</v>
      </c>
      <c r="AR18" s="105">
        <v>10.0</v>
      </c>
      <c r="AS18" s="111">
        <f>Montagem!AO117</f>
        <v>2</v>
      </c>
      <c r="AT18" s="111">
        <f>Montagem!BA117</f>
        <v>0</v>
      </c>
      <c r="AU18" s="111" t="str">
        <f>Montagem!AP117</f>
        <v>Mobilidade de tornozelo</v>
      </c>
      <c r="AV18" s="111" t="str">
        <f>Montagem!BB117</f>
        <v/>
      </c>
      <c r="AW18" s="106">
        <f>IF(AV18="",AT18,AV18)</f>
        <v>0</v>
      </c>
      <c r="AX18" s="106">
        <f>IF(AT19="C",'Dados de Base'!$D$5*0.1,IF(AT19="E",5,IF(AR18="",AW18,AR18)))</f>
        <v>6.3</v>
      </c>
      <c r="AY18" s="108"/>
      <c r="AZ18" s="102" t="str">
        <f>IF(BL18="","",HYPERLINK(OFFSET(Biblioteca!$B$2,MATCH(BL18,Biblioteca!$A$3:$A$200,0),0),BL18))</f>
        <v>Rotação Externa com Elástico</v>
      </c>
      <c r="BC18" s="109" t="str">
        <f>Montagem!BJ117</f>
        <v>Seriado</v>
      </c>
      <c r="BD18" s="110">
        <f>Montagem!BK117</f>
        <v>2</v>
      </c>
      <c r="BE18" s="110">
        <f>Montagem!BL117</f>
        <v>10</v>
      </c>
      <c r="BF18" s="110">
        <f>Montagem!BM117</f>
        <v>10</v>
      </c>
      <c r="BG18" s="110">
        <f>Montagem!BN117</f>
        <v>1</v>
      </c>
      <c r="BH18" s="110">
        <f>Montagem!BO117</f>
        <v>2</v>
      </c>
      <c r="BI18" s="112">
        <v>10.0</v>
      </c>
      <c r="BJ18" s="111">
        <f>Montagem!BD117</f>
        <v>2</v>
      </c>
      <c r="BK18" s="111">
        <f>Montagem!BP117</f>
        <v>0</v>
      </c>
      <c r="BL18" s="111" t="str">
        <f>Montagem!BE117</f>
        <v>Rotação Externa com Elástico</v>
      </c>
      <c r="BM18" s="111" t="str">
        <f>Montagem!BQ117</f>
        <v/>
      </c>
      <c r="BN18" s="106">
        <f>IF(BM18="",BK18,BM18)</f>
        <v>0</v>
      </c>
      <c r="BO18" s="106">
        <f>IF(BK19="C",'Dados de Base'!$D$5*0.1,IF(BK19="E",5,IF(BI18="",BN18,BI18)))</f>
        <v>5</v>
      </c>
      <c r="BP18" s="108"/>
      <c r="BQ18" s="102" t="str">
        <f>IF(CC18="","",HYPERLINK(OFFSET(Biblioteca!$B$2,MATCH(CC18,Biblioteca!$A$3:$A$200,0),0),CC18))</f>
        <v>Rotação Externa com Elástico</v>
      </c>
      <c r="BT18" s="109" t="str">
        <f>Montagem!BY117</f>
        <v>Seriado</v>
      </c>
      <c r="BU18" s="110">
        <f>Montagem!BZ117</f>
        <v>2</v>
      </c>
      <c r="BV18" s="110">
        <f>Montagem!CA117</f>
        <v>10</v>
      </c>
      <c r="BW18" s="110">
        <f>Montagem!CB117</f>
        <v>10</v>
      </c>
      <c r="BX18" s="110">
        <f>Montagem!CC117</f>
        <v>1</v>
      </c>
      <c r="BY18" s="110">
        <f>Montagem!CD117</f>
        <v>2</v>
      </c>
      <c r="BZ18" s="113">
        <v>10.0</v>
      </c>
      <c r="CA18" s="111">
        <f>Montagem!BS117</f>
        <v>2</v>
      </c>
      <c r="CB18" s="111">
        <f>Montagem!CE117</f>
        <v>0</v>
      </c>
      <c r="CC18" s="111" t="str">
        <f>Montagem!BT117</f>
        <v>Rotação Externa com Elástico</v>
      </c>
      <c r="CD18" s="111" t="str">
        <f>Montagem!CF117</f>
        <v/>
      </c>
      <c r="CE18" s="106">
        <f>IF(CD18="",CB18,CD18)</f>
        <v>0</v>
      </c>
      <c r="CF18" s="106">
        <f>IF(CB19="C",'Dados de Base'!$D$5*0.1,IF(CB19="E",5,IF(BZ18="",CE18,BZ18)))</f>
        <v>5</v>
      </c>
      <c r="CG18" s="108"/>
      <c r="CH18" s="102" t="str">
        <f>IF(CT18="","",HYPERLINK(OFFSET(Biblioteca!$B$2,MATCH(CT18,Biblioteca!$A$3:$A$200,0),0),CT18))</f>
        <v>Mobilidade de tornozelo</v>
      </c>
      <c r="CK18" s="109" t="str">
        <f>Montagem!CN117</f>
        <v>Seriado</v>
      </c>
      <c r="CL18" s="110">
        <f>Montagem!CO117</f>
        <v>2</v>
      </c>
      <c r="CM18" s="110">
        <f>Montagem!CP117</f>
        <v>10</v>
      </c>
      <c r="CN18" s="110">
        <f>Montagem!CQ117</f>
        <v>10</v>
      </c>
      <c r="CO18" s="110">
        <f>Montagem!CR117</f>
        <v>1</v>
      </c>
      <c r="CP18" s="110">
        <f>Montagem!CS117</f>
        <v>1</v>
      </c>
      <c r="CQ18" s="113"/>
      <c r="CR18" s="111">
        <f>Montagem!CH117</f>
        <v>2</v>
      </c>
      <c r="CS18" s="111">
        <f>Montagem!CT117</f>
        <v>0</v>
      </c>
      <c r="CT18" s="111" t="str">
        <f>Montagem!CI117</f>
        <v>Mobilidade de tornozelo</v>
      </c>
      <c r="CU18" s="111" t="str">
        <f>Montagem!CU117</f>
        <v/>
      </c>
      <c r="CV18" s="106">
        <f>IF(CU18="",CS18,CU18)</f>
        <v>0</v>
      </c>
      <c r="CW18" s="106">
        <f>IF(CS19="C",'Dados de Base'!$D$5*0.1,IF(CS19="E",5,IF(CQ18="",CV18,CQ18)))</f>
        <v>6.3</v>
      </c>
      <c r="CX18" s="108"/>
      <c r="CY18" s="115" t="str">
        <f>IF(DK18="","",HYPERLINK(OFFSET(Biblioteca!$B$2,MATCH(DK18,Biblioteca!$A$3:$A$200,0),0),DK18))</f>
        <v/>
      </c>
      <c r="DB18" s="130" t="str">
        <f>Montagem!DC117</f>
        <v/>
      </c>
      <c r="DC18" s="131" t="str">
        <f>Montagem!DD117</f>
        <v/>
      </c>
      <c r="DD18" s="131" t="str">
        <f>Montagem!DE117</f>
        <v/>
      </c>
      <c r="DE18" s="131" t="str">
        <f>Montagem!DF117</f>
        <v/>
      </c>
      <c r="DF18" s="131" t="str">
        <f>Montagem!DG117</f>
        <v/>
      </c>
      <c r="DG18" s="131" t="str">
        <f>Montagem!DH117</f>
        <v/>
      </c>
      <c r="DH18" s="114"/>
      <c r="DI18" s="111">
        <f>Montagem!CW117</f>
        <v>1</v>
      </c>
      <c r="DJ18" s="111" t="str">
        <f>Montagem!DI117</f>
        <v/>
      </c>
      <c r="DK18" s="111" t="str">
        <f>Montagem!CX117</f>
        <v/>
      </c>
      <c r="DL18" s="111" t="str">
        <f>Montagem!DJ117</f>
        <v/>
      </c>
      <c r="DM18" s="106" t="str">
        <f>IF(DL18="",DJ18,DL18)</f>
        <v/>
      </c>
      <c r="DN18" s="106" t="str">
        <f>IF(DJ19="C",'Dados de Base'!$D$5*0.1,IF(DJ19="E",5,IF(DH18="",DM18,DH18)))</f>
        <v/>
      </c>
      <c r="DO18" s="108"/>
      <c r="DP18" s="116" t="s">
        <v>42</v>
      </c>
      <c r="DQ18" s="106">
        <f>IF(L80=0,0,1)+IF(AC80=0,0,1)+IF(AT80=0,0,1)+IF(BK80=0,0,1)+IF(CB80=0,0,1)+IF(CS80=0,0,1)+IF(DJ80=0,0,1)</f>
        <v>5</v>
      </c>
      <c r="DR18" s="106"/>
      <c r="DS18" s="106"/>
      <c r="DT18" s="106"/>
      <c r="DU18" s="106"/>
      <c r="DV18" s="106"/>
      <c r="DW18" s="106"/>
      <c r="DX18" s="106"/>
      <c r="DY18" s="106"/>
    </row>
    <row r="19">
      <c r="A19" s="117" t="str">
        <f>IF(A18="","",IFS(L19="A",Montagem!$C$130,N19="T","Realizar a maior quantidade de repetições por "&amp;F18&amp;" segundos | ",N19="I",IF(M19="U","Manter a posição por "&amp;F18&amp;" segundos de um lado e trocar para o outro na sequência | ","Manter a posição por "&amp;F18&amp;" segundos | "),M19="A","Realizar alternadamente "&amp;F18&amp;" repetições cada lado | ",M19="U","Realizar "&amp;F18&amp;" repetições de um lado e trocar para o outro na sequência | ",L19="P",OFFSET(Biblioteca!$H$2,MATCH(M18,Biblioteca!$A$3:$A$200,0),0),TRUE,""))</f>
        <v/>
      </c>
      <c r="E19" s="118" t="str">
        <f>IF(A18="","",IFS(L19="H","Carga Sugerida: "&amp;ROUNDUP(O18/2,0)&amp;" kg de cada lado (Total: "&amp;ROUNDUP(O18/2,0)*2&amp;" kg)",L19="C","Este exercício usa o Peso Corporal como carga",L19="E","Este exercício usa a resistência da banda elástica como carga",L19="O","Carga Sugerida: "&amp;INT(O18)&amp;" kg",TRUE,""))</f>
        <v>Este exercício usa a resistência da banda elástica como carga</v>
      </c>
      <c r="J19" s="66"/>
      <c r="K19" s="119">
        <f>K18</f>
        <v>2</v>
      </c>
      <c r="L19" s="120" t="str">
        <f>LEFT(O19)</f>
        <v>E</v>
      </c>
      <c r="M19" s="121" t="str">
        <f>MID(O19,2,1)</f>
        <v>O</v>
      </c>
      <c r="N19" s="122" t="str">
        <f>RIGHT(O19)</f>
        <v>R</v>
      </c>
      <c r="O19" s="123" t="str">
        <f>IF(M18="","",OFFSET(Biblioteca!$I$2,MATCH(M18,Biblioteca!$A$3:$A$200,0),0))</f>
        <v>EOR</v>
      </c>
      <c r="P19" s="124"/>
      <c r="Q19" s="125"/>
      <c r="R19" s="117" t="str">
        <f>IF(R18="","",IFS(AC19="A",Montagem!$D$130,AE19="T","Realizar a maior quantidade de repetições por "&amp;W18&amp;" segundos | ",AE19="I",IF(AD19="U","Manter a posição por "&amp;W18&amp;" segundos de um lado e trocar para o outro na sequência | ","Manter a posição por "&amp;W18&amp;" segundos | "),AD19="A","Realizar alternadamente "&amp;W18&amp;" repetições cada lado | ",AD19="U","Realizar "&amp;W18&amp;" repetições de um lado e trocar para o outro na sequência | ",AC19="P",OFFSET(Biblioteca!$H$2,MATCH(AD18,Biblioteca!$A$3:$A$200,0),0),TRUE,""))</f>
        <v/>
      </c>
      <c r="V19" s="118" t="str">
        <f>IF(R18="","",IFS(AC19="H","Carga Sugerida: "&amp;ROUNDUP(AF18/2,0)&amp;" kg de cada lado (Total: "&amp;ROUNDUP(AF18/2,0)*2&amp;" kg)",AC19="C","Este exercício usa o Peso Corporal como carga",AC19="E","Este exercício usa a resistência da banda elástica como carga",AC19="O","Carga Sugerida: "&amp;INT(AF18)&amp;" kg",TRUE,""))</f>
        <v>Este exercício usa o Peso Corporal como carga</v>
      </c>
      <c r="AA19" s="66"/>
      <c r="AB19" s="126">
        <f>AB18</f>
        <v>2</v>
      </c>
      <c r="AC19" s="120" t="str">
        <f>LEFT(AF19)</f>
        <v>C</v>
      </c>
      <c r="AD19" s="121" t="str">
        <f>MID(AF19,2,1)</f>
        <v>O</v>
      </c>
      <c r="AE19" s="122" t="str">
        <f>RIGHT(AF19)</f>
        <v>R</v>
      </c>
      <c r="AF19" s="123" t="str">
        <f>IF(AD18="","",OFFSET(Biblioteca!$I$2,MATCH(AD18,Biblioteca!$A$3:$A$200,0),0))</f>
        <v>COR</v>
      </c>
      <c r="AG19" s="124"/>
      <c r="AH19" s="125"/>
      <c r="AI19" s="117" t="str">
        <f>IF(AI18="","",IFS(AT19="A",Montagem!$E$130,AV19="T","Realizar a maior quantidade de repetições por "&amp;AN18&amp;" segundos | ",AV19="I",IF(AU19="U","Manter a posição por "&amp;AN18&amp;" segundos de um lado e trocar para o outro na sequência | ","Manter a posição por "&amp;AN18&amp;" segundos | "),AU19="A","Realizar alternadamente "&amp;AN18&amp;" repetições cada lado | ",AU19="U","Realizar "&amp;AN18&amp;" repetições de um lado e trocar para o outro na sequência | ",AT19="P",OFFSET(Biblioteca!$H$2,MATCH(AU18,Biblioteca!$A$3:$A$200,0),0),TRUE,""))</f>
        <v>Realizar 10 repetições de um lado e trocar para o outro na sequência | </v>
      </c>
      <c r="AM19" s="118" t="str">
        <f>IF(AI18="","",IFS(AT19="H","Carga Sugerida: "&amp;ROUNDUP(AW18/2,0)&amp;" kg de cada lado (Total: "&amp;ROUNDUP(AW18/2,0)*2&amp;" kg)",AT19="C","Este exercício usa o Peso Corporal como carga",AT19="E","Este exercício usa a resistência da banda elástica como carga",AT19="O","Carga Sugerida: "&amp;INT(AW18)&amp;" kg",TRUE,""))</f>
        <v>Este exercício usa o Peso Corporal como carga</v>
      </c>
      <c r="AR19" s="66"/>
      <c r="AS19" s="126">
        <f>AS18</f>
        <v>2</v>
      </c>
      <c r="AT19" s="120" t="str">
        <f>LEFT(AW19)</f>
        <v>C</v>
      </c>
      <c r="AU19" s="121" t="str">
        <f>MID(AW19,2,1)</f>
        <v>U</v>
      </c>
      <c r="AV19" s="122" t="str">
        <f>RIGHT(AW19)</f>
        <v>R</v>
      </c>
      <c r="AW19" s="123" t="str">
        <f>IF(AU18="","",OFFSET(Biblioteca!$I$2,MATCH(AU18,Biblioteca!$A$3:$A$200,0),0))</f>
        <v>CUR</v>
      </c>
      <c r="AX19" s="124"/>
      <c r="AY19" s="125"/>
      <c r="AZ19" s="117" t="str">
        <f>IF(AZ18="","",IFS(BK19="A",Montagem!$F$130,BM19="T","Realizar a maior quantidade de repetições por "&amp;BE18&amp;" segundos | ",BM19="I",IF(BL19="U","Manter a posição por "&amp;BE18&amp;" segundos de um lado e trocar para o outro na sequência | ","Manter a posição por "&amp;BE18&amp;" segundos | "),BL19="A","Realizar alternadamente "&amp;BE18&amp;" repetições cada lado | ",BL19="U","Realizar "&amp;BE18&amp;" repetições de um lado e trocar para o outro na sequência | ",BK19="P",OFFSET(Biblioteca!$H$2,MATCH(BL18,Biblioteca!$A$3:$A$200,0),0),TRUE,""))</f>
        <v/>
      </c>
      <c r="BD19" s="118" t="str">
        <f>IF(AZ18="","",IFS(BK19="H","Carga Sugerida: "&amp;ROUNDUP(BN18/2,0)&amp;" kg de cada lado (Total: "&amp;ROUNDUP(BN18/2,0)*2&amp;" kg)",BK19="C","Este exercício usa o Peso Corporal como carga",BK19="E","Este exercício usa a resistência da banda elástica como carga",BK19="O","Carga Sugerida: "&amp;INT(BN18)&amp;" kg",TRUE,""))</f>
        <v>Este exercício usa a resistência da banda elástica como carga</v>
      </c>
      <c r="BI19" s="66"/>
      <c r="BJ19" s="126">
        <f>BJ18</f>
        <v>2</v>
      </c>
      <c r="BK19" s="120" t="str">
        <f>LEFT(BN19)</f>
        <v>E</v>
      </c>
      <c r="BL19" s="121" t="str">
        <f>MID(BN19,2,1)</f>
        <v>O</v>
      </c>
      <c r="BM19" s="122" t="str">
        <f>RIGHT(BN19)</f>
        <v>R</v>
      </c>
      <c r="BN19" s="123" t="str">
        <f>IF(BL18="","",OFFSET(Biblioteca!$I$2,MATCH(BL18,Biblioteca!$A$3:$A$200,0),0))</f>
        <v>EOR</v>
      </c>
      <c r="BO19" s="124"/>
      <c r="BP19" s="125"/>
      <c r="BQ19" s="117" t="str">
        <f>IF(BQ18="","",IFS(CB19="A",Montagem!$G$130,CD19="T","Realizar a maior quantidade de repetições por "&amp;BV18&amp;" segundos | ",CD19="I",IF(CC19="U","Manter a posição por "&amp;BV18&amp;" segundos de um lado e trocar para o outro na sequência | ","Manter a posição por "&amp;BV18&amp;" segundos | "),CC19="A","Realizar alternadamente "&amp;BV18&amp;" repetições cada lado | ",CC19="U","Realizar "&amp;BV18&amp;" repetições de um lado e trocar para o outro na sequência | ",CB19="P",OFFSET(Biblioteca!$H$2,MATCH(CC18,Biblioteca!$A$3:$A$200,0),0),TRUE,""))</f>
        <v/>
      </c>
      <c r="BU19" s="118" t="str">
        <f>IF(BQ18="","",IFS(CB19="H","Carga Sugerida: "&amp;ROUNDUP(CE18/2,0)&amp;" kg de cada lado (Total: "&amp;ROUNDUP(CE18/2,0)*2&amp;" kg)",CB19="C","Este exercício usa o Peso Corporal como carga",CB19="E","Este exercício usa a resistência da banda elástica como carga",CB19="O","Carga Sugerida: "&amp;INT(CE18)&amp;" kg",TRUE,""))</f>
        <v>Este exercício usa a resistência da banda elástica como carga</v>
      </c>
      <c r="BZ19" s="66"/>
      <c r="CA19" s="126">
        <f>CA18</f>
        <v>2</v>
      </c>
      <c r="CB19" s="120" t="str">
        <f>LEFT(CE19)</f>
        <v>E</v>
      </c>
      <c r="CC19" s="121" t="str">
        <f>MID(CE19,2,1)</f>
        <v>O</v>
      </c>
      <c r="CD19" s="122" t="str">
        <f>RIGHT(CE19)</f>
        <v>R</v>
      </c>
      <c r="CE19" s="123" t="str">
        <f>IF(CC18="","",OFFSET(Biblioteca!$I$2,MATCH(CC18,Biblioteca!$A$3:$A$200,0),0))</f>
        <v>EOR</v>
      </c>
      <c r="CF19" s="124"/>
      <c r="CG19" s="125"/>
      <c r="CH19" s="117" t="str">
        <f>IF(CH18="","",IFS(CS19="A",Montagem!$H$130,CU19="T","Realizar a maior quantidade de repetições por "&amp;CM18&amp;" segundos | ",CU19="I",IF(CT19="U","Manter a posição por "&amp;CM18&amp;" segundos de um lado e trocar para o outro na sequência | ","Manter a posição por "&amp;CM18&amp;" segundos | "),CT19="A","Realizar alternadamente "&amp;CM18&amp;" repetições cada lado | ",CT19="U","Realizar "&amp;CM18&amp;" repetições de um lado e trocar para o outro na sequência | ",CS19="P",OFFSET(Biblioteca!$H$2,MATCH(CT18,Biblioteca!$A$3:$A$200,0),0),TRUE,""))</f>
        <v>Realizar 10 repetições de um lado e trocar para o outro na sequência | </v>
      </c>
      <c r="CL19" s="118" t="str">
        <f>IF(CH18="","",IFS(CS19="H","Carga Sugerida: "&amp;ROUNDUP(CV18/2,0)&amp;" kg de cada lado (Total: "&amp;ROUNDUP(CV18/2,0)*2&amp;" kg)",CS19="C","Este exercício usa o Peso Corporal como carga",CS19="E","Este exercício usa a resistência da banda elástica como carga",CS19="O","Carga Sugerida: "&amp;INT(CV18)&amp;" kg",TRUE,""))</f>
        <v>Este exercício usa o Peso Corporal como carga</v>
      </c>
      <c r="CQ19" s="66"/>
      <c r="CR19" s="126">
        <f>CR18</f>
        <v>2</v>
      </c>
      <c r="CS19" s="120" t="str">
        <f>LEFT(CV19)</f>
        <v>C</v>
      </c>
      <c r="CT19" s="121" t="str">
        <f>MID(CV19,2,1)</f>
        <v>U</v>
      </c>
      <c r="CU19" s="122" t="str">
        <f>RIGHT(CV19)</f>
        <v>R</v>
      </c>
      <c r="CV19" s="123" t="str">
        <f>IF(CT18="","",OFFSET(Biblioteca!$I$2,MATCH(CT18,Biblioteca!$A$3:$A$200,0),0))</f>
        <v>CUR</v>
      </c>
      <c r="CW19" s="124"/>
      <c r="CX19" s="125"/>
      <c r="CY19" s="117" t="str">
        <f>IF(CY18="","",IFS(DJ19="A",Montagem!$I$130,DL19="T","Realizar a maior quantidade de repetições por "&amp;DD18&amp;" segundos | ",DL19="I",IF(DK19="U","Manter a posição por "&amp;DD18&amp;" segundos de um lado e trocar para o outro na sequência | ","Manter a posição por "&amp;DD18&amp;" segundos | "),DK19="A","Realizar alternadamente "&amp;DD18&amp;" repetições cada lado | ",DK19="U","Realizar "&amp;DD18&amp;" repetições de um lado e trocar para o outro na sequência | ",DJ19="P",OFFSET(Biblioteca!$H$2,MATCH(DK18,Biblioteca!$A$3:$A$200,0),0),TRUE,""))</f>
        <v/>
      </c>
      <c r="DC19" s="118" t="str">
        <f>IF(CY18="","",IFS(DJ19="H","Carga Sugerida: "&amp;ROUNDUP(DM18/2,0)&amp;" kg de cada lado (Total: "&amp;ROUNDUP(DM18/2,0)*2&amp;" kg)",DJ19="C","Este exercício usa o Peso Corporal como carga",DJ19="E","Este exercício usa a resistência da banda elástica como carga",DJ19="O","Carga Sugerida: "&amp;INT(DM18)&amp;" kg",TRUE,""))</f>
        <v/>
      </c>
      <c r="DH19" s="66"/>
      <c r="DI19" s="126">
        <f>DI18</f>
        <v>1</v>
      </c>
      <c r="DJ19" s="120" t="str">
        <f>LEFT(DM19)</f>
        <v/>
      </c>
      <c r="DK19" s="121" t="str">
        <f>MID(DM19,2,1)</f>
        <v/>
      </c>
      <c r="DL19" s="122" t="str">
        <f>RIGHT(DM19)</f>
        <v/>
      </c>
      <c r="DM19" s="123" t="str">
        <f>IF(DK18="","",OFFSET(Biblioteca!$I$2,MATCH(DK18,Biblioteca!$A$3:$A$200,0),0))</f>
        <v/>
      </c>
      <c r="DN19" s="124"/>
      <c r="DO19" s="125"/>
      <c r="DP19" s="73" t="s">
        <v>43</v>
      </c>
      <c r="DQ19" s="56">
        <f>IF(DQ17=0,0,DQ18/DQ17)</f>
        <v>0.8333333333</v>
      </c>
      <c r="DR19" s="56"/>
      <c r="DS19" s="56"/>
      <c r="DT19" s="56"/>
      <c r="DU19" s="56"/>
      <c r="DV19" s="56"/>
      <c r="DW19" s="56"/>
      <c r="DX19" s="56"/>
      <c r="DY19" s="56"/>
    </row>
    <row r="20">
      <c r="A20" s="102" t="str">
        <f>IF(M20="","",HYPERLINK(OFFSET(Biblioteca!$B$2,MATCH(M20,Biblioteca!$A$3:$A$200,0),0),M20))</f>
        <v>Mobilidade Quadril - Sumô</v>
      </c>
      <c r="D20" s="132" t="str">
        <f>Montagem!Q118</f>
        <v>Seriado</v>
      </c>
      <c r="E20" s="104">
        <f>Montagem!R118</f>
        <v>2</v>
      </c>
      <c r="F20" s="104">
        <f>Montagem!S118</f>
        <v>10</v>
      </c>
      <c r="G20" s="127">
        <f>Montagem!T118</f>
        <v>10</v>
      </c>
      <c r="H20" s="127">
        <f>Montagem!U118</f>
        <v>1</v>
      </c>
      <c r="I20" s="104">
        <f>Montagem!V118</f>
        <v>1</v>
      </c>
      <c r="J20" s="105">
        <v>10.0</v>
      </c>
      <c r="K20" s="106">
        <f>Montagem!K118</f>
        <v>3</v>
      </c>
      <c r="L20" s="111">
        <f>Montagem!W118</f>
        <v>0</v>
      </c>
      <c r="M20" s="111" t="str">
        <f>Montagem!L118</f>
        <v>Mobilidade Quadril - Sumô</v>
      </c>
      <c r="N20" s="111" t="str">
        <f>Montagem!X118</f>
        <v/>
      </c>
      <c r="O20" s="106">
        <f>IF(N20="",L20,N20)</f>
        <v>0</v>
      </c>
      <c r="P20" s="106">
        <f>IF(L21="C",'Dados de Base'!$D$5*0.1,IF(L21="E",5,IF(J20="",O20,J20)))</f>
        <v>6.3</v>
      </c>
      <c r="Q20" s="108"/>
      <c r="R20" s="102" t="str">
        <f>IF(AD20="","",HYPERLINK(OFFSET(Biblioteca!$B$2,MATCH(AD20,Biblioteca!$A$3:$A$200,0),0),AD20))</f>
        <v>Mobilidade de tornozelo</v>
      </c>
      <c r="U20" s="109" t="str">
        <f>Montagem!AF118</f>
        <v>Seriado</v>
      </c>
      <c r="V20" s="110">
        <f>Montagem!AG118</f>
        <v>2</v>
      </c>
      <c r="W20" s="110">
        <f>Montagem!AH118</f>
        <v>10</v>
      </c>
      <c r="X20" s="110">
        <f>Montagem!AI118</f>
        <v>10</v>
      </c>
      <c r="Y20" s="110">
        <f>Montagem!AJ118</f>
        <v>1</v>
      </c>
      <c r="Z20" s="110">
        <f>Montagem!AK118</f>
        <v>1</v>
      </c>
      <c r="AA20" s="105">
        <v>10.0</v>
      </c>
      <c r="AB20" s="111">
        <f>Montagem!Z118</f>
        <v>3</v>
      </c>
      <c r="AC20" s="111">
        <f>Montagem!AL118</f>
        <v>0</v>
      </c>
      <c r="AD20" s="129" t="str">
        <f>Montagem!AA118</f>
        <v>Mobilidade de tornozelo</v>
      </c>
      <c r="AE20" s="111" t="str">
        <f>Montagem!AM118</f>
        <v/>
      </c>
      <c r="AF20" s="106">
        <f>IF(AE20="",AC20,AE20)</f>
        <v>0</v>
      </c>
      <c r="AG20" s="106">
        <f>IF(AC21="C",'Dados de Base'!$D$5*0.1,IF(AC21="E",5,IF(AA20="",AF20,AA20)))</f>
        <v>6.3</v>
      </c>
      <c r="AH20" s="108"/>
      <c r="AI20" s="102" t="str">
        <f>IF(AU20="","",HYPERLINK(OFFSET(Biblioteca!$B$2,MATCH(AU20,Biblioteca!$A$3:$A$200,0),0),AU20))</f>
        <v>Prancha</v>
      </c>
      <c r="AL20" s="109" t="str">
        <f>Montagem!AU118</f>
        <v>Seriado</v>
      </c>
      <c r="AM20" s="110">
        <f>Montagem!AV118</f>
        <v>1</v>
      </c>
      <c r="AN20" s="110">
        <f>Montagem!AW118</f>
        <v>50</v>
      </c>
      <c r="AO20" s="110">
        <f>Montagem!AX118</f>
        <v>60</v>
      </c>
      <c r="AP20" s="110">
        <f>Montagem!AY118</f>
        <v>0</v>
      </c>
      <c r="AQ20" s="110">
        <f>Montagem!AZ118</f>
        <v>1</v>
      </c>
      <c r="AR20" s="105">
        <v>10.0</v>
      </c>
      <c r="AS20" s="111">
        <f>Montagem!AO118</f>
        <v>3</v>
      </c>
      <c r="AT20" s="111">
        <f>Montagem!BA118</f>
        <v>0</v>
      </c>
      <c r="AU20" s="111" t="str">
        <f>Montagem!AP118</f>
        <v>Prancha</v>
      </c>
      <c r="AV20" s="111" t="str">
        <f>Montagem!BB118</f>
        <v/>
      </c>
      <c r="AW20" s="106">
        <f>IF(AV20="",AT20,AV20)</f>
        <v>0</v>
      </c>
      <c r="AX20" s="106">
        <f>IF(AT21="C",'Dados de Base'!$D$5*0.1,IF(AT21="E",5,IF(AR20="",AW20,AR20)))</f>
        <v>6.3</v>
      </c>
      <c r="AY20" s="108"/>
      <c r="AZ20" s="102" t="str">
        <f>IF(BL20="","",HYPERLINK(OFFSET(Biblioteca!$B$2,MATCH(BL20,Biblioteca!$A$3:$A$200,0),0),BL20))</f>
        <v>Prancha</v>
      </c>
      <c r="BC20" s="109" t="str">
        <f>Montagem!BJ118</f>
        <v>Seriado</v>
      </c>
      <c r="BD20" s="110">
        <f>Montagem!BK118</f>
        <v>1</v>
      </c>
      <c r="BE20" s="110">
        <f>Montagem!BL118</f>
        <v>50</v>
      </c>
      <c r="BF20" s="110" t="str">
        <f>Montagem!BM118</f>
        <v/>
      </c>
      <c r="BG20" s="110" t="str">
        <f>Montagem!BN118</f>
        <v/>
      </c>
      <c r="BH20" s="110" t="str">
        <f>Montagem!BO118</f>
        <v/>
      </c>
      <c r="BI20" s="112">
        <v>10.0</v>
      </c>
      <c r="BJ20" s="111">
        <f>Montagem!BD118</f>
        <v>3</v>
      </c>
      <c r="BK20" s="111">
        <f>Montagem!BP118</f>
        <v>0</v>
      </c>
      <c r="BL20" s="111" t="str">
        <f>Montagem!BE118</f>
        <v>Prancha</v>
      </c>
      <c r="BM20" s="111" t="str">
        <f>Montagem!BQ118</f>
        <v/>
      </c>
      <c r="BN20" s="106">
        <f>IF(BM20="",BK20,BM20)</f>
        <v>0</v>
      </c>
      <c r="BO20" s="106">
        <f>IF(BK21="C",'Dados de Base'!$D$5*0.1,IF(BK21="E",5,IF(BI20="",BN20,BI20)))</f>
        <v>6.3</v>
      </c>
      <c r="BP20" s="108"/>
      <c r="BQ20" s="102" t="str">
        <f>IF(CC20="","",HYPERLINK(OFFSET(Biblioteca!$B$2,MATCH(CC20,Biblioteca!$A$3:$A$200,0),0),CC20))</f>
        <v>Prancha</v>
      </c>
      <c r="BT20" s="109" t="str">
        <f>Montagem!BY118</f>
        <v>Seriado</v>
      </c>
      <c r="BU20" s="110">
        <f>Montagem!BZ118</f>
        <v>1</v>
      </c>
      <c r="BV20" s="110">
        <f>Montagem!CA118</f>
        <v>50</v>
      </c>
      <c r="BW20" s="110" t="str">
        <f>Montagem!CB118</f>
        <v/>
      </c>
      <c r="BX20" s="110" t="str">
        <f>Montagem!CC118</f>
        <v/>
      </c>
      <c r="BY20" s="110" t="str">
        <f>Montagem!CD118</f>
        <v/>
      </c>
      <c r="BZ20" s="113">
        <v>10.0</v>
      </c>
      <c r="CA20" s="111">
        <f>Montagem!BS118</f>
        <v>3</v>
      </c>
      <c r="CB20" s="111">
        <f>Montagem!CE118</f>
        <v>0</v>
      </c>
      <c r="CC20" s="111" t="str">
        <f>Montagem!BT118</f>
        <v>Prancha</v>
      </c>
      <c r="CD20" s="111" t="str">
        <f>Montagem!CF118</f>
        <v/>
      </c>
      <c r="CE20" s="106">
        <f>IF(CD20="",CB20,CD20)</f>
        <v>0</v>
      </c>
      <c r="CF20" s="106">
        <f>IF(CB21="C",'Dados de Base'!$D$5*0.1,IF(CB21="E",5,IF(BZ20="",CE20,BZ20)))</f>
        <v>6.3</v>
      </c>
      <c r="CG20" s="108"/>
      <c r="CH20" s="102" t="str">
        <f>IF(CT20="","",HYPERLINK(OFFSET(Biblioteca!$B$2,MATCH(CT20,Biblioteca!$A$3:$A$200,0),0),CT20))</f>
        <v>Prancha</v>
      </c>
      <c r="CK20" s="109" t="str">
        <f>Montagem!CN118</f>
        <v>Seriado</v>
      </c>
      <c r="CL20" s="110">
        <f>Montagem!CO118</f>
        <v>1</v>
      </c>
      <c r="CM20" s="110">
        <f>Montagem!CP118</f>
        <v>50</v>
      </c>
      <c r="CN20" s="110">
        <f>Montagem!CQ118</f>
        <v>60</v>
      </c>
      <c r="CO20" s="110">
        <f>Montagem!CR118</f>
        <v>0</v>
      </c>
      <c r="CP20" s="110">
        <f>Montagem!CS118</f>
        <v>1</v>
      </c>
      <c r="CQ20" s="113"/>
      <c r="CR20" s="111">
        <f>Montagem!CH118</f>
        <v>3</v>
      </c>
      <c r="CS20" s="111">
        <f>Montagem!CT118</f>
        <v>0</v>
      </c>
      <c r="CT20" s="111" t="str">
        <f>Montagem!CI118</f>
        <v>Prancha</v>
      </c>
      <c r="CU20" s="111" t="str">
        <f>Montagem!CU118</f>
        <v/>
      </c>
      <c r="CV20" s="106">
        <f>IF(CU20="",CS20,CU20)</f>
        <v>0</v>
      </c>
      <c r="CW20" s="106">
        <f>IF(CS21="C",'Dados de Base'!$D$5*0.1,IF(CS21="E",5,IF(CQ20="",CV20,CQ20)))</f>
        <v>6.3</v>
      </c>
      <c r="CX20" s="108"/>
      <c r="CY20" s="115" t="str">
        <f>IF(DK20="","",HYPERLINK(OFFSET(Biblioteca!$B$2,MATCH(DK20,Biblioteca!$A$3:$A$200,0),0),DK20))</f>
        <v/>
      </c>
      <c r="DB20" s="130" t="str">
        <f>Montagem!DC118</f>
        <v/>
      </c>
      <c r="DC20" s="131" t="str">
        <f>Montagem!DD118</f>
        <v/>
      </c>
      <c r="DD20" s="131" t="str">
        <f>Montagem!DE118</f>
        <v/>
      </c>
      <c r="DE20" s="131" t="str">
        <f>Montagem!DF118</f>
        <v/>
      </c>
      <c r="DF20" s="131" t="str">
        <f>Montagem!DG118</f>
        <v/>
      </c>
      <c r="DG20" s="131" t="str">
        <f>Montagem!DH118</f>
        <v/>
      </c>
      <c r="DH20" s="114"/>
      <c r="DI20" s="111">
        <f>Montagem!CW118</f>
        <v>1</v>
      </c>
      <c r="DJ20" s="111" t="str">
        <f>Montagem!DI118</f>
        <v/>
      </c>
      <c r="DK20" s="111" t="str">
        <f>Montagem!CX118</f>
        <v/>
      </c>
      <c r="DL20" s="111" t="str">
        <f>Montagem!DJ118</f>
        <v/>
      </c>
      <c r="DM20" s="106" t="str">
        <f>IF(DL20="",DJ20,DL20)</f>
        <v/>
      </c>
      <c r="DN20" s="106" t="str">
        <f>IF(DJ21="C",'Dados de Base'!$D$5*0.1,IF(DJ21="E",5,IF(DH20="",DM20,DH20)))</f>
        <v/>
      </c>
      <c r="DO20" s="108"/>
      <c r="DP20" s="116" t="s">
        <v>44</v>
      </c>
      <c r="DQ20" s="106">
        <f>IF(DQ14=0,0,DQ13/DQ14)</f>
        <v>1.088772081</v>
      </c>
      <c r="DR20" s="106"/>
      <c r="DS20" s="106"/>
      <c r="DT20" s="106"/>
      <c r="DU20" s="106"/>
      <c r="DV20" s="106"/>
      <c r="DW20" s="106"/>
      <c r="DX20" s="106"/>
      <c r="DY20" s="106"/>
    </row>
    <row r="21">
      <c r="A21" s="117" t="str">
        <f>IF(A20="","",IFS(L21="A",Montagem!$C$130,N21="T","Realizar a maior quantidade de repetições por "&amp;F20&amp;" segundos | ",N21="I",IF(M21="U","Manter a posição por "&amp;F20&amp;" segundos de um lado e trocar para o outro na sequência | ","Manter a posição por "&amp;F20&amp;" segundos | "),M21="A","Realizar alternadamente "&amp;F20&amp;" repetições cada lado | ",M21="U","Realizar "&amp;F20&amp;" repetições de um lado e trocar para o outro na sequência | ",L21="P",OFFSET(Biblioteca!$H$2,MATCH(M20,Biblioteca!$A$3:$A$200,0),0),TRUE,""))</f>
        <v/>
      </c>
      <c r="E21" s="118" t="str">
        <f>IF(A20="","",IFS(L21="H","Carga Sugerida: "&amp;ROUNDUP(O20/2,0)&amp;" kg de cada lado (Total: "&amp;ROUNDUP(O20/2,0)*2&amp;" kg)",L21="C","Este exercício usa o Peso Corporal como carga",L21="E","Este exercício usa a resistência da banda elástica como carga",L21="O","Carga Sugerida: "&amp;INT(O20)&amp;" kg",TRUE,""))</f>
        <v>Este exercício usa o Peso Corporal como carga</v>
      </c>
      <c r="J21" s="66"/>
      <c r="K21" s="126">
        <f>K20</f>
        <v>3</v>
      </c>
      <c r="L21" s="120" t="str">
        <f>LEFT(O21)</f>
        <v>C</v>
      </c>
      <c r="M21" s="121" t="str">
        <f>MID(O21,2,1)</f>
        <v>O</v>
      </c>
      <c r="N21" s="122" t="str">
        <f>RIGHT(O21)</f>
        <v>R</v>
      </c>
      <c r="O21" s="123" t="str">
        <f>IF(M20="","",OFFSET(Biblioteca!$I$2,MATCH(M20,Biblioteca!$A$3:$A$200,0),0))</f>
        <v>COR</v>
      </c>
      <c r="P21" s="124"/>
      <c r="Q21" s="125"/>
      <c r="R21" s="117" t="str">
        <f>IF(R20="","",IFS(AC21="A",Montagem!$D$130,AE21="T","Realizar a maior quantidade de repetições por "&amp;W20&amp;" segundos | ",AE21="I",IF(AD21="U","Manter a posição por "&amp;W20&amp;" segundos de um lado e trocar para o outro na sequência | ","Manter a posição por "&amp;W20&amp;" segundos | "),AD21="A","Realizar alternadamente "&amp;W20&amp;" repetições cada lado | ",AD21="U","Realizar "&amp;W20&amp;" repetições de um lado e trocar para o outro na sequência | ",AC21="P",OFFSET(Biblioteca!$H$2,MATCH(AD20,Biblioteca!$A$3:$A$200,0),0),TRUE,""))</f>
        <v>Realizar 10 repetições de um lado e trocar para o outro na sequência | </v>
      </c>
      <c r="V21" s="118" t="str">
        <f>IF(R20="","",IFS(AC21="H","Carga Sugerida: "&amp;ROUNDUP(AF20/2,0)&amp;" kg de cada lado (Total: "&amp;ROUNDUP(AF20/2,0)*2&amp;" kg)",AC21="C","Este exercício usa o Peso Corporal como carga",AC21="E","Este exercício usa a resistência da banda elástica como carga",AC21="O","Carga Sugerida: "&amp;INT(AF20)&amp;" kg",TRUE,""))</f>
        <v>Este exercício usa o Peso Corporal como carga</v>
      </c>
      <c r="AA21" s="66"/>
      <c r="AB21" s="126">
        <f>AB20</f>
        <v>3</v>
      </c>
      <c r="AC21" s="120" t="str">
        <f>LEFT(AF21)</f>
        <v>C</v>
      </c>
      <c r="AD21" s="121" t="str">
        <f>MID(AF21,2,1)</f>
        <v>U</v>
      </c>
      <c r="AE21" s="122" t="str">
        <f>RIGHT(AF21)</f>
        <v>R</v>
      </c>
      <c r="AF21" s="123" t="str">
        <f>IF(AD20="","",OFFSET(Biblioteca!$I$2,MATCH(AD20,Biblioteca!$A$3:$A$200,0),0))</f>
        <v>CUR</v>
      </c>
      <c r="AG21" s="124"/>
      <c r="AH21" s="125"/>
      <c r="AI21" s="117" t="str">
        <f>IF(AI20="","",IFS(AT21="A",Montagem!$E$130,AV21="T","Realizar a maior quantidade de repetições por "&amp;AN20&amp;" segundos | ",AV21="I",IF(AU21="U","Manter a posição por "&amp;AN20&amp;" segundos de um lado e trocar para o outro na sequência | ","Manter a posição por "&amp;AN20&amp;" segundos | "),AU21="A","Realizar alternadamente "&amp;AN20&amp;" repetições cada lado | ",AU21="U","Realizar "&amp;AN20&amp;" repetições de um lado e trocar para o outro na sequência | ",AT21="P",OFFSET(Biblioteca!$H$2,MATCH(AU20,Biblioteca!$A$3:$A$200,0),0),TRUE,""))</f>
        <v>Manter a posição por 50 segundos | </v>
      </c>
      <c r="AM21" s="118" t="str">
        <f>IF(AI20="","",IFS(AT21="H","Carga Sugerida: "&amp;ROUNDUP(AW20/2,0)&amp;" kg de cada lado (Total: "&amp;ROUNDUP(AW20/2,0)*2&amp;" kg)",AT21="C","Este exercício usa o Peso Corporal como carga",AT21="E","Este exercício usa a resistência da banda elástica como carga",AT21="O","Carga Sugerida: "&amp;INT(AW20)&amp;" kg",TRUE,""))</f>
        <v>Este exercício usa o Peso Corporal como carga</v>
      </c>
      <c r="AR21" s="66"/>
      <c r="AS21" s="126">
        <f>AS20</f>
        <v>3</v>
      </c>
      <c r="AT21" s="120" t="str">
        <f>LEFT(AW21)</f>
        <v>C</v>
      </c>
      <c r="AU21" s="121" t="str">
        <f>MID(AW21,2,1)</f>
        <v>O</v>
      </c>
      <c r="AV21" s="122" t="str">
        <f>RIGHT(AW21)</f>
        <v>I</v>
      </c>
      <c r="AW21" s="123" t="str">
        <f>IF(AU20="","",OFFSET(Biblioteca!$I$2,MATCH(AU20,Biblioteca!$A$3:$A$200,0),0))</f>
        <v>COI</v>
      </c>
      <c r="AX21" s="124"/>
      <c r="AY21" s="125"/>
      <c r="AZ21" s="117" t="str">
        <f>IF(AZ20="","",IFS(BK21="A",Montagem!$F$130,BM21="T","Realizar a maior quantidade de repetições por "&amp;BE20&amp;" segundos | ",BM21="I",IF(BL21="U","Manter a posição por "&amp;BE20&amp;" segundos de um lado e trocar para o outro na sequência | ","Manter a posição por "&amp;BE20&amp;" segundos | "),BL21="A","Realizar alternadamente "&amp;BE20&amp;" repetições cada lado | ",BL21="U","Realizar "&amp;BE20&amp;" repetições de um lado e trocar para o outro na sequência | ",BK21="P",OFFSET(Biblioteca!$H$2,MATCH(BL20,Biblioteca!$A$3:$A$200,0),0),TRUE,""))</f>
        <v>Manter a posição por 50 segundos | </v>
      </c>
      <c r="BD21" s="118" t="str">
        <f>IF(AZ20="","",IFS(BK21="H","Carga Sugerida: "&amp;ROUNDUP(BN20/2,0)&amp;" kg de cada lado (Total: "&amp;ROUNDUP(BN20/2,0)*2&amp;" kg)",BK21="C","Este exercício usa o Peso Corporal como carga",BK21="E","Este exercício usa a resistência da banda elástica como carga",BK21="O","Carga Sugerida: "&amp;INT(BN20)&amp;" kg",TRUE,""))</f>
        <v>Este exercício usa o Peso Corporal como carga</v>
      </c>
      <c r="BI21" s="66"/>
      <c r="BJ21" s="126">
        <f>BJ20</f>
        <v>3</v>
      </c>
      <c r="BK21" s="120" t="str">
        <f>LEFT(BN21)</f>
        <v>C</v>
      </c>
      <c r="BL21" s="121" t="str">
        <f>MID(BN21,2,1)</f>
        <v>O</v>
      </c>
      <c r="BM21" s="122" t="str">
        <f>RIGHT(BN21)</f>
        <v>I</v>
      </c>
      <c r="BN21" s="123" t="str">
        <f>IF(BL20="","",OFFSET(Biblioteca!$I$2,MATCH(BL20,Biblioteca!$A$3:$A$200,0),0))</f>
        <v>COI</v>
      </c>
      <c r="BO21" s="124"/>
      <c r="BP21" s="125"/>
      <c r="BQ21" s="117" t="str">
        <f>IF(BQ20="","",IFS(CB21="A",Montagem!$G$130,CD21="T","Realizar a maior quantidade de repetições por "&amp;BV20&amp;" segundos | ",CD21="I",IF(CC21="U","Manter a posição por "&amp;BV20&amp;" segundos de um lado e trocar para o outro na sequência | ","Manter a posição por "&amp;BV20&amp;" segundos | "),CC21="A","Realizar alternadamente "&amp;BV20&amp;" repetições cada lado | ",CC21="U","Realizar "&amp;BV20&amp;" repetições de um lado e trocar para o outro na sequência | ",CB21="P",OFFSET(Biblioteca!$H$2,MATCH(CC20,Biblioteca!$A$3:$A$200,0),0),TRUE,""))</f>
        <v>Manter a posição por 50 segundos | </v>
      </c>
      <c r="BU21" s="118" t="str">
        <f>IF(BQ20="","",IFS(CB21="H","Carga Sugerida: "&amp;ROUNDUP(CE20/2,0)&amp;" kg de cada lado (Total: "&amp;ROUNDUP(CE20/2,0)*2&amp;" kg)",CB21="C","Este exercício usa o Peso Corporal como carga",CB21="E","Este exercício usa a resistência da banda elástica como carga",CB21="O","Carga Sugerida: "&amp;INT(CE20)&amp;" kg",TRUE,""))</f>
        <v>Este exercício usa o Peso Corporal como carga</v>
      </c>
      <c r="BZ21" s="66"/>
      <c r="CA21" s="126">
        <f>CA20</f>
        <v>3</v>
      </c>
      <c r="CB21" s="120" t="str">
        <f>LEFT(CE21)</f>
        <v>C</v>
      </c>
      <c r="CC21" s="121" t="str">
        <f>MID(CE21,2,1)</f>
        <v>O</v>
      </c>
      <c r="CD21" s="122" t="str">
        <f>RIGHT(CE21)</f>
        <v>I</v>
      </c>
      <c r="CE21" s="123" t="str">
        <f>IF(CC20="","",OFFSET(Biblioteca!$I$2,MATCH(CC20,Biblioteca!$A$3:$A$200,0),0))</f>
        <v>COI</v>
      </c>
      <c r="CF21" s="124"/>
      <c r="CG21" s="125"/>
      <c r="CH21" s="117" t="str">
        <f>IF(CH20="","",IFS(CS21="A",Montagem!$H$130,CU21="T","Realizar a maior quantidade de repetições por "&amp;CM20&amp;" segundos | ",CU21="I",IF(CT21="U","Manter a posição por "&amp;CM20&amp;" segundos de um lado e trocar para o outro na sequência | ","Manter a posição por "&amp;CM20&amp;" segundos | "),CT21="A","Realizar alternadamente "&amp;CM20&amp;" repetições cada lado | ",CT21="U","Realizar "&amp;CM20&amp;" repetições de um lado e trocar para o outro na sequência | ",CS21="P",OFFSET(Biblioteca!$H$2,MATCH(CT20,Biblioteca!$A$3:$A$200,0),0),TRUE,""))</f>
        <v>Manter a posição por 50 segundos | </v>
      </c>
      <c r="CL21" s="118" t="str">
        <f>IF(CH20="","",IFS(CS21="H","Carga Sugerida: "&amp;ROUNDUP(CV20/2,0)&amp;" kg de cada lado (Total: "&amp;ROUNDUP(CV20/2,0)*2&amp;" kg)",CS21="C","Este exercício usa o Peso Corporal como carga",CS21="E","Este exercício usa a resistência da banda elástica como carga",CS21="O","Carga Sugerida: "&amp;INT(CV20)&amp;" kg",TRUE,""))</f>
        <v>Este exercício usa o Peso Corporal como carga</v>
      </c>
      <c r="CQ21" s="66"/>
      <c r="CR21" s="126">
        <f>CR20</f>
        <v>3</v>
      </c>
      <c r="CS21" s="120" t="str">
        <f>LEFT(CV21)</f>
        <v>C</v>
      </c>
      <c r="CT21" s="121" t="str">
        <f>MID(CV21,2,1)</f>
        <v>O</v>
      </c>
      <c r="CU21" s="122" t="str">
        <f>RIGHT(CV21)</f>
        <v>I</v>
      </c>
      <c r="CV21" s="123" t="str">
        <f>IF(CT20="","",OFFSET(Biblioteca!$I$2,MATCH(CT20,Biblioteca!$A$3:$A$200,0),0))</f>
        <v>COI</v>
      </c>
      <c r="CW21" s="124"/>
      <c r="CX21" s="125"/>
      <c r="CY21" s="117" t="str">
        <f>IF(CY20="","",IFS(DJ21="A",Montagem!$I$130,DL21="T","Realizar a maior quantidade de repetições por "&amp;DD20&amp;" segundos | ",DL21="I",IF(DK21="U","Manter a posição por "&amp;DD20&amp;" segundos de um lado e trocar para o outro na sequência | ","Manter a posição por "&amp;DD20&amp;" segundos | "),DK21="A","Realizar alternadamente "&amp;DD20&amp;" repetições cada lado | ",DK21="U","Realizar "&amp;DD20&amp;" repetições de um lado e trocar para o outro na sequência | ",DJ21="P",OFFSET(Biblioteca!$H$2,MATCH(DK20,Biblioteca!$A$3:$A$200,0),0),TRUE,""))</f>
        <v/>
      </c>
      <c r="DC21" s="118" t="str">
        <f>IF(CY20="","",IFS(DJ21="H","Carga Sugerida: "&amp;ROUNDUP(DM20/2,0)&amp;" kg de cada lado (Total: "&amp;ROUNDUP(DM20/2,0)*2&amp;" kg)",DJ21="C","Este exercício usa o Peso Corporal como carga",DJ21="E","Este exercício usa a resistência da banda elástica como carga",DJ21="O","Carga Sugerida: "&amp;INT(DM20)&amp;" kg",TRUE,""))</f>
        <v/>
      </c>
      <c r="DH21" s="66"/>
      <c r="DI21" s="126">
        <f>DI20</f>
        <v>1</v>
      </c>
      <c r="DJ21" s="120" t="str">
        <f>LEFT(DM21)</f>
        <v/>
      </c>
      <c r="DK21" s="121" t="str">
        <f>MID(DM21,2,1)</f>
        <v/>
      </c>
      <c r="DL21" s="122" t="str">
        <f>RIGHT(DM21)</f>
        <v/>
      </c>
      <c r="DM21" s="123" t="str">
        <f>IF(DK20="","",OFFSET(Biblioteca!$I$2,MATCH(DK20,Biblioteca!$A$3:$A$200,0),0))</f>
        <v/>
      </c>
      <c r="DN21" s="124"/>
      <c r="DO21" s="125"/>
      <c r="DP21" s="133" t="s">
        <v>45</v>
      </c>
      <c r="DQ21" s="56">
        <f>DQ20*DQ11</f>
        <v>540.6501912</v>
      </c>
      <c r="DR21" s="56"/>
      <c r="DS21" s="56"/>
      <c r="DT21" s="56"/>
      <c r="DU21" s="56"/>
      <c r="DV21" s="56"/>
      <c r="DW21" s="56"/>
      <c r="DX21" s="56"/>
      <c r="DY21" s="56"/>
    </row>
    <row r="22">
      <c r="A22" s="115" t="str">
        <f>IF(M22="","",HYPERLINK(OFFSET(Biblioteca!$B$2,MATCH(M22,Biblioteca!$A$3:$A$200,0),0),M22))</f>
        <v/>
      </c>
      <c r="D22" s="109" t="str">
        <f>Montagem!Q119</f>
        <v/>
      </c>
      <c r="E22" s="104" t="str">
        <f>Montagem!R119</f>
        <v/>
      </c>
      <c r="F22" s="110" t="str">
        <f>Montagem!S119</f>
        <v/>
      </c>
      <c r="G22" s="110" t="str">
        <f>Montagem!T119</f>
        <v/>
      </c>
      <c r="H22" s="110" t="str">
        <f>Montagem!U119</f>
        <v/>
      </c>
      <c r="I22" s="134" t="str">
        <f>Montagem!V119</f>
        <v/>
      </c>
      <c r="J22" s="105"/>
      <c r="K22" s="106">
        <f>Montagem!K119</f>
        <v>4</v>
      </c>
      <c r="L22" s="111" t="str">
        <f>Montagem!W119</f>
        <v/>
      </c>
      <c r="M22" s="111" t="str">
        <f>Montagem!L119</f>
        <v/>
      </c>
      <c r="N22" s="111" t="str">
        <f>Montagem!X119</f>
        <v/>
      </c>
      <c r="O22" s="106" t="str">
        <f>IF(N22="",L22,N22)</f>
        <v/>
      </c>
      <c r="P22" s="106" t="str">
        <f>IF(L23="C",'Dados de Base'!$D$5*0.1,IF(L23="E",5,IF(J22="",O22,J22)))</f>
        <v/>
      </c>
      <c r="Q22" s="108"/>
      <c r="R22" s="115" t="str">
        <f>IF(AD22="","",HYPERLINK(OFFSET(Biblioteca!$B$2,MATCH(AD22,Biblioteca!$A$3:$A$200,0),0),AD22))</f>
        <v/>
      </c>
      <c r="U22" s="109" t="str">
        <f>Montagem!AF119</f>
        <v/>
      </c>
      <c r="V22" s="110" t="str">
        <f>Montagem!AG119</f>
        <v/>
      </c>
      <c r="W22" s="110" t="str">
        <f>Montagem!AH119</f>
        <v/>
      </c>
      <c r="X22" s="110" t="str">
        <f>Montagem!AI119</f>
        <v/>
      </c>
      <c r="Y22" s="135" t="str">
        <f>Montagem!AJ119</f>
        <v/>
      </c>
      <c r="Z22" s="109" t="str">
        <f>Montagem!AK119</f>
        <v/>
      </c>
      <c r="AA22" s="105"/>
      <c r="AB22" s="111">
        <f>Montagem!Z119</f>
        <v>4</v>
      </c>
      <c r="AC22" s="111" t="str">
        <f>Montagem!AL119</f>
        <v/>
      </c>
      <c r="AD22" s="129" t="str">
        <f>Montagem!AA119</f>
        <v/>
      </c>
      <c r="AE22" s="111" t="str">
        <f>Montagem!AM119</f>
        <v/>
      </c>
      <c r="AF22" s="106" t="str">
        <f>IF(AE22="",AC22,AE22)</f>
        <v/>
      </c>
      <c r="AG22" s="106" t="str">
        <f>IF(AC23="C",'Dados de Base'!$D$5*0.1,IF(AC23="E",5,IF(AA22="",AF22,AA22)))</f>
        <v/>
      </c>
      <c r="AH22" s="108"/>
      <c r="AI22" s="115" t="str">
        <f>IF(AU22="","",HYPERLINK(OFFSET(Biblioteca!$B$2,MATCH(AU22,Biblioteca!$A$3:$A$200,0),0),AU22))</f>
        <v/>
      </c>
      <c r="AL22" s="109" t="str">
        <f>Montagem!AU119</f>
        <v/>
      </c>
      <c r="AM22" s="110" t="str">
        <f>Montagem!AV119</f>
        <v/>
      </c>
      <c r="AN22" s="110" t="str">
        <f>Montagem!AW119</f>
        <v/>
      </c>
      <c r="AO22" s="110" t="str">
        <f>Montagem!AX119</f>
        <v/>
      </c>
      <c r="AP22" s="135" t="str">
        <f>Montagem!AY119</f>
        <v/>
      </c>
      <c r="AQ22" s="109" t="str">
        <f>Montagem!AZ119</f>
        <v/>
      </c>
      <c r="AR22" s="105"/>
      <c r="AS22" s="111">
        <f>Montagem!AO119</f>
        <v>4</v>
      </c>
      <c r="AT22" s="111" t="str">
        <f>Montagem!BA119</f>
        <v/>
      </c>
      <c r="AU22" s="111" t="str">
        <f>Montagem!AP119</f>
        <v/>
      </c>
      <c r="AV22" s="111" t="str">
        <f>Montagem!BB119</f>
        <v/>
      </c>
      <c r="AW22" s="106" t="str">
        <f>IF(AV22="",AT22,AV22)</f>
        <v/>
      </c>
      <c r="AX22" s="106" t="str">
        <f>IF(AT23="C",'Dados de Base'!$D$5*0.1,IF(AT23="E",5,IF(AR22="",AW22,AR22)))</f>
        <v/>
      </c>
      <c r="AY22" s="108"/>
      <c r="AZ22" s="115" t="str">
        <f>IF(BL22="","",HYPERLINK(OFFSET(Biblioteca!$B$2,MATCH(BL22,Biblioteca!$A$3:$A$200,0),0),BL22))</f>
        <v/>
      </c>
      <c r="BC22" s="109" t="str">
        <f>Montagem!BJ119</f>
        <v/>
      </c>
      <c r="BD22" s="110" t="str">
        <f>Montagem!BK119</f>
        <v/>
      </c>
      <c r="BE22" s="110" t="str">
        <f>Montagem!BL119</f>
        <v/>
      </c>
      <c r="BF22" s="110" t="str">
        <f>Montagem!BM119</f>
        <v/>
      </c>
      <c r="BG22" s="110" t="str">
        <f>Montagem!BN119</f>
        <v/>
      </c>
      <c r="BH22" s="110" t="str">
        <f>Montagem!BO119</f>
        <v/>
      </c>
      <c r="BI22" s="112"/>
      <c r="BJ22" s="111">
        <f>Montagem!BD119</f>
        <v>3</v>
      </c>
      <c r="BK22" s="111" t="str">
        <f>Montagem!BP119</f>
        <v/>
      </c>
      <c r="BL22" s="111" t="str">
        <f>Montagem!BE119</f>
        <v/>
      </c>
      <c r="BM22" s="111" t="str">
        <f>Montagem!BQ119</f>
        <v/>
      </c>
      <c r="BN22" s="106" t="str">
        <f>IF(BM22="",BK22,BM22)</f>
        <v/>
      </c>
      <c r="BO22" s="106" t="str">
        <f>IF(BK23="C",'Dados de Base'!$D$5*0.1,IF(BK23="E",5,IF(BI22="",BN22,BI22)))</f>
        <v/>
      </c>
      <c r="BP22" s="108"/>
      <c r="BQ22" s="115" t="str">
        <f>IF(CC22="","",HYPERLINK(OFFSET(Biblioteca!$B$2,MATCH(CC22,Biblioteca!$A$3:$A$200,0),0),CC22))</f>
        <v/>
      </c>
      <c r="BT22" s="109" t="str">
        <f>Montagem!BY119</f>
        <v/>
      </c>
      <c r="BU22" s="110" t="str">
        <f>Montagem!BZ119</f>
        <v/>
      </c>
      <c r="BV22" s="110" t="str">
        <f>Montagem!CA119</f>
        <v/>
      </c>
      <c r="BW22" s="110" t="str">
        <f>Montagem!CB119</f>
        <v/>
      </c>
      <c r="BX22" s="135" t="str">
        <f>Montagem!CC119</f>
        <v/>
      </c>
      <c r="BY22" s="109" t="str">
        <f>Montagem!CD119</f>
        <v/>
      </c>
      <c r="BZ22" s="113"/>
      <c r="CA22" s="111">
        <f>Montagem!BS119</f>
        <v>3</v>
      </c>
      <c r="CB22" s="111" t="str">
        <f>Montagem!CE119</f>
        <v/>
      </c>
      <c r="CC22" s="111" t="str">
        <f>Montagem!BT119</f>
        <v/>
      </c>
      <c r="CD22" s="111" t="str">
        <f>Montagem!CF119</f>
        <v/>
      </c>
      <c r="CE22" s="106" t="str">
        <f>IF(CD22="",CB22,CD22)</f>
        <v/>
      </c>
      <c r="CF22" s="106" t="str">
        <f>IF(CB23="C",'Dados de Base'!$D$5*0.1,IF(CB23="E",5,IF(BZ22="",CE22,BZ22)))</f>
        <v/>
      </c>
      <c r="CG22" s="108"/>
      <c r="CH22" s="115" t="str">
        <f>IF(CT22="","",HYPERLINK(OFFSET(Biblioteca!$B$2,MATCH(CT22,Biblioteca!$A$3:$A$200,0),0),CT22))</f>
        <v/>
      </c>
      <c r="CK22" s="109" t="str">
        <f>Montagem!CN119</f>
        <v/>
      </c>
      <c r="CL22" s="110" t="str">
        <f>Montagem!CO119</f>
        <v/>
      </c>
      <c r="CM22" s="110" t="str">
        <f>Montagem!CP119</f>
        <v/>
      </c>
      <c r="CN22" s="110" t="str">
        <f>Montagem!CQ119</f>
        <v/>
      </c>
      <c r="CO22" s="135" t="str">
        <f>Montagem!CR119</f>
        <v/>
      </c>
      <c r="CP22" s="109" t="str">
        <f>Montagem!CS119</f>
        <v/>
      </c>
      <c r="CQ22" s="114"/>
      <c r="CR22" s="111">
        <f>Montagem!CH119</f>
        <v>4</v>
      </c>
      <c r="CS22" s="111" t="str">
        <f>Montagem!CT119</f>
        <v/>
      </c>
      <c r="CT22" s="111" t="str">
        <f>Montagem!CI119</f>
        <v/>
      </c>
      <c r="CU22" s="111" t="str">
        <f>Montagem!CU119</f>
        <v/>
      </c>
      <c r="CV22" s="106" t="str">
        <f>IF(CU22="",CS22,CU22)</f>
        <v/>
      </c>
      <c r="CW22" s="106" t="str">
        <f>IF(CS23="C",'Dados de Base'!$D$5*0.1,IF(CS23="E",5,IF(CQ22="",CV22,CQ22)))</f>
        <v/>
      </c>
      <c r="CX22" s="108"/>
      <c r="CY22" s="115" t="str">
        <f>IF(DK22="","",HYPERLINK(OFFSET(Biblioteca!$B$2,MATCH(DK22,Biblioteca!$A$3:$A$200,0),0),DK22))</f>
        <v/>
      </c>
      <c r="DB22" s="130" t="str">
        <f>Montagem!DC119</f>
        <v/>
      </c>
      <c r="DC22" s="131" t="str">
        <f>Montagem!DD119</f>
        <v/>
      </c>
      <c r="DD22" s="131" t="str">
        <f>Montagem!DE119</f>
        <v/>
      </c>
      <c r="DE22" s="131" t="str">
        <f>Montagem!DF119</f>
        <v/>
      </c>
      <c r="DF22" s="136" t="str">
        <f>Montagem!DG119</f>
        <v/>
      </c>
      <c r="DG22" s="130" t="str">
        <f>Montagem!DH119</f>
        <v/>
      </c>
      <c r="DH22" s="114"/>
      <c r="DI22" s="111">
        <f>Montagem!CW119</f>
        <v>1</v>
      </c>
      <c r="DJ22" s="111" t="str">
        <f>Montagem!DI119</f>
        <v/>
      </c>
      <c r="DK22" s="111" t="str">
        <f>Montagem!CX119</f>
        <v/>
      </c>
      <c r="DL22" s="111" t="str">
        <f>Montagem!DJ119</f>
        <v/>
      </c>
      <c r="DM22" s="106" t="str">
        <f>IF(DL22="",DJ22,DL22)</f>
        <v/>
      </c>
      <c r="DN22" s="106" t="str">
        <f>IF(DJ23="C",'Dados de Base'!$D$5*0.1,IF(DJ23="E",5,IF(DH22="",DM22,DH22)))</f>
        <v/>
      </c>
      <c r="DO22" s="108"/>
      <c r="DP22" s="116" t="s">
        <v>46</v>
      </c>
      <c r="DQ22" s="106">
        <f>COUNTA(A75,R75,AI75,AZ75,BQ75,CH75,CY75)</f>
        <v>0</v>
      </c>
      <c r="DR22" s="106"/>
      <c r="DS22" s="106"/>
      <c r="DT22" s="106"/>
      <c r="DU22" s="106"/>
      <c r="DV22" s="106"/>
      <c r="DW22" s="106"/>
      <c r="DX22" s="106"/>
      <c r="DY22" s="106"/>
    </row>
    <row r="23">
      <c r="A23" s="117" t="str">
        <f>IF(A22="","",IFS(L23="A",Montagem!$C$130,N23="T","Realizar a maior quantidade de repetições por "&amp;F22&amp;" segundos | ",N23="I",IF(M23="U","Manter a posição por "&amp;F22&amp;" segundos de um lado e trocar para o outro na sequência | ","Manter a posição por "&amp;F22&amp;" segundos | "),M23="A","Realizar alternadamente "&amp;F22&amp;" repetições cada lado | ",M23="U","Realizar "&amp;F22&amp;" repetições de um lado e trocar para o outro na sequência | ",L23="P",OFFSET(Biblioteca!$H$2,MATCH(M22,Biblioteca!$A$3:$A$200,0),0),TRUE,""))</f>
        <v/>
      </c>
      <c r="E23" s="118" t="str">
        <f>IF(A22="","",IFS(L23="H","Carga Sugerida: "&amp;ROUNDUP(O22/2,0)&amp;" kg de cada lado (Total: "&amp;ROUNDUP(O22/2,0)*2&amp;" kg)",L23="C","Este exercício usa o Peso Corporal como carga",L23="E","Este exercício usa a resistência da banda elástica como carga",L23="O","Carga Sugerida: "&amp;INT(O22)&amp;" kg",TRUE,""))</f>
        <v/>
      </c>
      <c r="J23" s="66"/>
      <c r="K23" s="126">
        <f>K22</f>
        <v>4</v>
      </c>
      <c r="L23" s="120" t="str">
        <f>LEFT(O23)</f>
        <v/>
      </c>
      <c r="M23" s="121" t="str">
        <f>MID(O23,2,1)</f>
        <v/>
      </c>
      <c r="N23" s="122" t="str">
        <f>RIGHT(O23)</f>
        <v/>
      </c>
      <c r="O23" s="123" t="str">
        <f>IF(M22="","",OFFSET(Biblioteca!$I$2,MATCH(M22,Biblioteca!$A$3:$A$200,0),0))</f>
        <v/>
      </c>
      <c r="P23" s="124"/>
      <c r="Q23" s="125"/>
      <c r="R23" s="117" t="str">
        <f>IF(R22="","",IFS(AC23="A",Montagem!$D$130,AE23="T","Realizar a maior quantidade de repetições por "&amp;W22&amp;" segundos | ",AE23="I",IF(AD23="U","Manter a posição por "&amp;W22&amp;" segundos de um lado e trocar para o outro na sequência | ","Manter a posição por "&amp;W22&amp;" segundos | "),AD23="A","Realizar alternadamente "&amp;W22&amp;" repetições cada lado | ",AD23="U","Realizar "&amp;W22&amp;" repetições de um lado e trocar para o outro na sequência | ",AC23="P",OFFSET(Biblioteca!$H$2,MATCH(AD22,Biblioteca!$A$3:$A$200,0),0),TRUE,""))</f>
        <v/>
      </c>
      <c r="V23" s="118" t="str">
        <f>IF(R22="","",IFS(AC23="H","Carga Sugerida: "&amp;ROUNDUP(AF22/2,0)&amp;" kg de cada lado (Total: "&amp;ROUNDUP(AF22/2,0)*2&amp;" kg)",AC23="C","Este exercício usa o Peso Corporal como carga",AC23="E","Este exercício usa a resistência da banda elástica como carga",AC23="O","Carga Sugerida: "&amp;INT(AF22)&amp;" kg",TRUE,""))</f>
        <v/>
      </c>
      <c r="AA23" s="66"/>
      <c r="AB23" s="126">
        <f>AB22</f>
        <v>4</v>
      </c>
      <c r="AC23" s="120" t="str">
        <f>LEFT(AF23)</f>
        <v/>
      </c>
      <c r="AD23" s="121" t="str">
        <f>MID(AF23,2,1)</f>
        <v/>
      </c>
      <c r="AE23" s="122" t="str">
        <f>RIGHT(AF23)</f>
        <v/>
      </c>
      <c r="AF23" s="123" t="str">
        <f>IF(AD22="","",OFFSET(Biblioteca!$I$2,MATCH(AD22,Biblioteca!$A$3:$A$200,0),0))</f>
        <v/>
      </c>
      <c r="AG23" s="124"/>
      <c r="AH23" s="125"/>
      <c r="AI23" s="117" t="str">
        <f>IF(AI22="","",IFS(AT23="A",Montagem!$E$130,AV23="T","Realizar a maior quantidade de repetições por "&amp;AN22&amp;" segundos | ",AV23="I",IF(AU23="U","Manter a posição por "&amp;AN22&amp;" segundos de um lado e trocar para o outro na sequência | ","Manter a posição por "&amp;AN22&amp;" segundos | "),AU23="A","Realizar alternadamente "&amp;AN22&amp;" repetições cada lado | ",AU23="U","Realizar "&amp;AN22&amp;" repetições de um lado e trocar para o outro na sequência | ",AT23="P",OFFSET(Biblioteca!$H$2,MATCH(AU22,Biblioteca!$A$3:$A$200,0),0),TRUE,""))</f>
        <v/>
      </c>
      <c r="AM23" s="118" t="str">
        <f>IF(AI22="","",IFS(AT23="H","Carga Sugerida: "&amp;ROUNDUP(AW22/2,0)&amp;" kg de cada lado (Total: "&amp;ROUNDUP(AW22/2,0)*2&amp;" kg)",AT23="C","Este exercício usa o Peso Corporal como carga",AT23="E","Este exercício usa a resistência da banda elástica como carga",AT23="O","Carga Sugerida: "&amp;INT(AW22)&amp;" kg",TRUE,""))</f>
        <v/>
      </c>
      <c r="AR23" s="66"/>
      <c r="AS23" s="126">
        <f>AS22</f>
        <v>4</v>
      </c>
      <c r="AT23" s="120" t="str">
        <f>LEFT(AW23)</f>
        <v/>
      </c>
      <c r="AU23" s="121" t="str">
        <f>MID(AW23,2,1)</f>
        <v/>
      </c>
      <c r="AV23" s="122" t="str">
        <f>RIGHT(AW23)</f>
        <v/>
      </c>
      <c r="AW23" s="123" t="str">
        <f>IF(AU22="","",OFFSET(Biblioteca!$I$2,MATCH(AU22,Biblioteca!$A$3:$A$200,0),0))</f>
        <v/>
      </c>
      <c r="AX23" s="124"/>
      <c r="AY23" s="125"/>
      <c r="AZ23" s="117" t="str">
        <f>IF(AZ22="","",IFS(BK23="A",Montagem!$F$130,BM23="T","Realizar a maior quantidade de repetições por "&amp;BE22&amp;" segundos | ",BM23="I",IF(BL23="U","Manter a posição por "&amp;BE22&amp;" segundos de um lado e trocar para o outro na sequência | ","Manter a posição por "&amp;BE22&amp;" segundos | "),BL23="A","Realizar alternadamente "&amp;BE22&amp;" repetições cada lado | ",BL23="U","Realizar "&amp;BE22&amp;" repetições de um lado e trocar para o outro na sequência | ",BK23="P",OFFSET(Biblioteca!$H$2,MATCH(BL22,Biblioteca!$A$3:$A$200,0),0),TRUE,""))</f>
        <v/>
      </c>
      <c r="BD23" s="118" t="str">
        <f>IF(AZ22="","",IFS(BK23="H","Carga Sugerida: "&amp;ROUNDUP(BN22/2,0)&amp;" kg de cada lado (Total: "&amp;ROUNDUP(BN22/2,0)*2&amp;" kg)",BK23="C","Este exercício usa o Peso Corporal como carga",BK23="E","Este exercício usa a resistência da banda elástica como carga",BK23="O","Carga Sugerida: "&amp;INT(BN22)&amp;" kg",TRUE,""))</f>
        <v/>
      </c>
      <c r="BI23" s="66"/>
      <c r="BJ23" s="126">
        <f>BJ22</f>
        <v>3</v>
      </c>
      <c r="BK23" s="120" t="str">
        <f>LEFT(BN23)</f>
        <v/>
      </c>
      <c r="BL23" s="121" t="str">
        <f>MID(BN23,2,1)</f>
        <v/>
      </c>
      <c r="BM23" s="122" t="str">
        <f>RIGHT(BN23)</f>
        <v/>
      </c>
      <c r="BN23" s="123" t="str">
        <f>IF(BL22="","",OFFSET(Biblioteca!$I$2,MATCH(BL22,Biblioteca!$A$3:$A$200,0),0))</f>
        <v/>
      </c>
      <c r="BO23" s="124"/>
      <c r="BP23" s="125"/>
      <c r="BQ23" s="117" t="str">
        <f>IF(BQ22="","",IFS(CB23="A",Montagem!$G$130,CD23="T","Realizar a maior quantidade de repetições por "&amp;BV22&amp;" segundos | ",CD23="I",IF(CC23="U","Manter a posição por "&amp;BV22&amp;" segundos de um lado e trocar para o outro na sequência | ","Manter a posição por "&amp;BV22&amp;" segundos | "),CC23="A","Realizar alternadamente "&amp;BV22&amp;" repetições cada lado | ",CC23="U","Realizar "&amp;BV22&amp;" repetições de um lado e trocar para o outro na sequência | ",CB23="P",OFFSET(Biblioteca!$H$2,MATCH(CC22,Biblioteca!$A$3:$A$200,0),0),TRUE,""))</f>
        <v/>
      </c>
      <c r="BU23" s="118" t="str">
        <f>IF(BQ22="","",IFS(CB23="H","Carga Sugerida: "&amp;ROUNDUP(CE22/2,0)&amp;" kg de cada lado (Total: "&amp;ROUNDUP(CE22/2,0)*2&amp;" kg)",CB23="C","Este exercício usa o Peso Corporal como carga",CB23="E","Este exercício usa a resistência da banda elástica como carga",CB23="O","Carga Sugerida: "&amp;INT(CE22)&amp;" kg",TRUE,""))</f>
        <v/>
      </c>
      <c r="BZ23" s="66"/>
      <c r="CA23" s="126">
        <f>CA22</f>
        <v>3</v>
      </c>
      <c r="CB23" s="120" t="str">
        <f>LEFT(CE23)</f>
        <v/>
      </c>
      <c r="CC23" s="121" t="str">
        <f>MID(CE23,2,1)</f>
        <v/>
      </c>
      <c r="CD23" s="122" t="str">
        <f>RIGHT(CE23)</f>
        <v/>
      </c>
      <c r="CE23" s="123" t="str">
        <f>IF(CC22="","",OFFSET(Biblioteca!$I$2,MATCH(CC22,Biblioteca!$A$3:$A$200,0),0))</f>
        <v/>
      </c>
      <c r="CF23" s="124"/>
      <c r="CG23" s="125"/>
      <c r="CH23" s="117" t="str">
        <f>IF(CH22="","",IFS(CS23="A",Montagem!$H$130,CU23="T","Realizar a maior quantidade de repetições por "&amp;CM22&amp;" segundos | ",CU23="I",IF(CT23="U","Manter a posição por "&amp;CM22&amp;" segundos de um lado e trocar para o outro na sequência | ","Manter a posição por "&amp;CM22&amp;" segundos | "),CT23="A","Realizar alternadamente "&amp;CM22&amp;" repetições cada lado | ",CT23="U","Realizar "&amp;CM22&amp;" repetições de um lado e trocar para o outro na sequência | ",CS23="P",OFFSET(Biblioteca!$H$2,MATCH(CT22,Biblioteca!$A$3:$A$200,0),0),TRUE,""))</f>
        <v/>
      </c>
      <c r="CL23" s="118" t="str">
        <f>IF(CH22="","",IFS(CS23="H","Carga Sugerida: "&amp;ROUNDUP(CV22/2,0)&amp;" kg de cada lado (Total: "&amp;ROUNDUP(CV22/2,0)*2&amp;" kg)",CS23="C","Este exercício usa o Peso Corporal como carga",CS23="E","Este exercício usa a resistência da banda elástica como carga",CS23="O","Carga Sugerida: "&amp;INT(CV22)&amp;" kg",TRUE,""))</f>
        <v/>
      </c>
      <c r="CQ23" s="66"/>
      <c r="CR23" s="126">
        <f>CR22</f>
        <v>4</v>
      </c>
      <c r="CS23" s="120" t="str">
        <f>LEFT(CV23)</f>
        <v/>
      </c>
      <c r="CT23" s="121" t="str">
        <f>MID(CV23,2,1)</f>
        <v/>
      </c>
      <c r="CU23" s="122" t="str">
        <f>RIGHT(CV23)</f>
        <v/>
      </c>
      <c r="CV23" s="123" t="str">
        <f>IF(CT22="","",OFFSET(Biblioteca!$I$2,MATCH(CT22,Biblioteca!$A$3:$A$200,0),0))</f>
        <v/>
      </c>
      <c r="CW23" s="124"/>
      <c r="CX23" s="125"/>
      <c r="CY23" s="117" t="str">
        <f>IF(CY22="","",IFS(DJ23="A",Montagem!$I$130,DL23="T","Realizar a maior quantidade de repetições por "&amp;DD22&amp;" segundos | ",DL23="I",IF(DK23="U","Manter a posição por "&amp;DD22&amp;" segundos de um lado e trocar para o outro na sequência | ","Manter a posição por "&amp;DD22&amp;" segundos | "),DK23="A","Realizar alternadamente "&amp;DD22&amp;" repetições cada lado | ",DK23="U","Realizar "&amp;DD22&amp;" repetições de um lado e trocar para o outro na sequência | ",DJ23="P",OFFSET(Biblioteca!$H$2,MATCH(DK22,Biblioteca!$A$3:$A$200,0),0),TRUE,""))</f>
        <v/>
      </c>
      <c r="DC23" s="118" t="str">
        <f>IF(CY22="","",IFS(DJ23="H","Carga Sugerida: "&amp;ROUNDUP(DM22/2,0)&amp;" kg de cada lado (Total: "&amp;ROUNDUP(DM22/2,0)*2&amp;" kg)",DJ23="C","Este exercício usa o Peso Corporal como carga",DJ23="E","Este exercício usa a resistência da banda elástica como carga",DJ23="O","Carga Sugerida: "&amp;INT(DM22)&amp;" kg",TRUE,""))</f>
        <v/>
      </c>
      <c r="DH23" s="66"/>
      <c r="DI23" s="126">
        <f>DI22</f>
        <v>1</v>
      </c>
      <c r="DJ23" s="120" t="str">
        <f>LEFT(DM23)</f>
        <v/>
      </c>
      <c r="DK23" s="121" t="str">
        <f>MID(DM23,2,1)</f>
        <v/>
      </c>
      <c r="DL23" s="122" t="str">
        <f>RIGHT(DM23)</f>
        <v/>
      </c>
      <c r="DM23" s="123" t="str">
        <f>IF(DK22="","",OFFSET(Biblioteca!$I$2,MATCH(DK22,Biblioteca!$A$3:$A$200,0),0))</f>
        <v/>
      </c>
      <c r="DN23" s="124"/>
      <c r="DO23" s="125"/>
      <c r="DP23" s="57"/>
      <c r="DQ23" s="56"/>
      <c r="DR23" s="56"/>
      <c r="DS23" s="56"/>
      <c r="DT23" s="56"/>
      <c r="DU23" s="56"/>
      <c r="DV23" s="56"/>
      <c r="DW23" s="56"/>
      <c r="DX23" s="56"/>
      <c r="DY23" s="56"/>
    </row>
    <row r="24">
      <c r="A24" s="90" t="s">
        <v>47</v>
      </c>
      <c r="J24" s="66"/>
      <c r="K24" s="57"/>
      <c r="L24" s="57"/>
      <c r="M24" s="57"/>
      <c r="N24" s="57"/>
      <c r="O24" s="57"/>
      <c r="P24" s="57"/>
      <c r="Q24" s="58"/>
      <c r="R24" s="90" t="s">
        <v>47</v>
      </c>
      <c r="AA24" s="66"/>
      <c r="AB24" s="138"/>
      <c r="AC24" s="57"/>
      <c r="AD24" s="138"/>
      <c r="AE24" s="138"/>
      <c r="AF24" s="57"/>
      <c r="AG24" s="57"/>
      <c r="AH24" s="58"/>
      <c r="AI24" s="90" t="s">
        <v>47</v>
      </c>
      <c r="AR24" s="66"/>
      <c r="AS24" s="138"/>
      <c r="AT24" s="57"/>
      <c r="AU24" s="138"/>
      <c r="AV24" s="138"/>
      <c r="AW24" s="57"/>
      <c r="AX24" s="57"/>
      <c r="AY24" s="58"/>
      <c r="AZ24" s="90" t="s">
        <v>47</v>
      </c>
      <c r="BI24" s="66"/>
      <c r="BJ24" s="138"/>
      <c r="BK24" s="57"/>
      <c r="BL24" s="138"/>
      <c r="BM24" s="138"/>
      <c r="BN24" s="57"/>
      <c r="BO24" s="57"/>
      <c r="BP24" s="58"/>
      <c r="BQ24" s="90" t="s">
        <v>47</v>
      </c>
      <c r="BZ24" s="66"/>
      <c r="CA24" s="138"/>
      <c r="CB24" s="57"/>
      <c r="CC24" s="138"/>
      <c r="CD24" s="138"/>
      <c r="CE24" s="57"/>
      <c r="CF24" s="57"/>
      <c r="CG24" s="58"/>
      <c r="CH24" s="90" t="s">
        <v>47</v>
      </c>
      <c r="CQ24" s="66"/>
      <c r="CR24" s="138"/>
      <c r="CS24" s="57"/>
      <c r="CT24" s="138"/>
      <c r="CU24" s="138"/>
      <c r="CV24" s="57"/>
      <c r="CW24" s="57"/>
      <c r="CX24" s="58"/>
      <c r="CY24" s="90" t="s">
        <v>47</v>
      </c>
      <c r="DH24" s="66"/>
      <c r="DI24" s="138"/>
      <c r="DJ24" s="57"/>
      <c r="DK24" s="138"/>
      <c r="DL24" s="138"/>
      <c r="DM24" s="57"/>
      <c r="DN24" s="57"/>
      <c r="DO24" s="58"/>
      <c r="DP24" s="57"/>
      <c r="DQ24" s="56"/>
      <c r="DR24" s="56"/>
      <c r="DS24" s="56"/>
      <c r="DT24" s="56"/>
      <c r="DU24" s="56"/>
      <c r="DV24" s="56"/>
      <c r="DW24" s="56"/>
      <c r="DX24" s="56"/>
      <c r="DY24" s="56"/>
    </row>
    <row r="25">
      <c r="A25" s="96" t="s">
        <v>31</v>
      </c>
      <c r="D25" s="97" t="s">
        <v>32</v>
      </c>
      <c r="E25" s="98" t="s">
        <v>33</v>
      </c>
      <c r="F25" s="98" t="s">
        <v>34</v>
      </c>
      <c r="G25" s="98" t="s">
        <v>35</v>
      </c>
      <c r="H25" s="98" t="s">
        <v>36</v>
      </c>
      <c r="I25" s="98" t="s">
        <v>37</v>
      </c>
      <c r="J25" s="99" t="s">
        <v>38</v>
      </c>
      <c r="K25" s="57"/>
      <c r="L25" s="57"/>
      <c r="M25" s="57"/>
      <c r="N25" s="57"/>
      <c r="O25" s="57"/>
      <c r="P25" s="57"/>
      <c r="Q25" s="58"/>
      <c r="R25" s="96" t="s">
        <v>31</v>
      </c>
      <c r="U25" s="139" t="s">
        <v>32</v>
      </c>
      <c r="V25" s="140" t="s">
        <v>33</v>
      </c>
      <c r="W25" s="140" t="s">
        <v>34</v>
      </c>
      <c r="X25" s="140" t="s">
        <v>35</v>
      </c>
      <c r="Y25" s="140" t="s">
        <v>36</v>
      </c>
      <c r="Z25" s="140" t="s">
        <v>37</v>
      </c>
      <c r="AA25" s="141" t="s">
        <v>38</v>
      </c>
      <c r="AB25" s="138"/>
      <c r="AC25" s="57"/>
      <c r="AD25" s="138"/>
      <c r="AE25" s="138"/>
      <c r="AF25" s="57"/>
      <c r="AG25" s="57"/>
      <c r="AH25" s="58"/>
      <c r="AI25" s="96" t="s">
        <v>31</v>
      </c>
      <c r="AL25" s="139" t="s">
        <v>32</v>
      </c>
      <c r="AM25" s="140" t="s">
        <v>33</v>
      </c>
      <c r="AN25" s="140" t="s">
        <v>34</v>
      </c>
      <c r="AO25" s="140" t="s">
        <v>35</v>
      </c>
      <c r="AP25" s="140" t="s">
        <v>36</v>
      </c>
      <c r="AQ25" s="140" t="s">
        <v>37</v>
      </c>
      <c r="AR25" s="141" t="s">
        <v>38</v>
      </c>
      <c r="AS25" s="138"/>
      <c r="AT25" s="57"/>
      <c r="AU25" s="138"/>
      <c r="AV25" s="138"/>
      <c r="AW25" s="57"/>
      <c r="AX25" s="57"/>
      <c r="AY25" s="58"/>
      <c r="AZ25" s="96" t="s">
        <v>31</v>
      </c>
      <c r="BC25" s="139" t="s">
        <v>32</v>
      </c>
      <c r="BD25" s="140" t="s">
        <v>33</v>
      </c>
      <c r="BE25" s="140" t="s">
        <v>34</v>
      </c>
      <c r="BF25" s="140" t="s">
        <v>35</v>
      </c>
      <c r="BG25" s="140" t="s">
        <v>36</v>
      </c>
      <c r="BH25" s="140" t="s">
        <v>37</v>
      </c>
      <c r="BI25" s="141" t="s">
        <v>38</v>
      </c>
      <c r="BJ25" s="138"/>
      <c r="BK25" s="57"/>
      <c r="BL25" s="138"/>
      <c r="BM25" s="138"/>
      <c r="BN25" s="57"/>
      <c r="BO25" s="57"/>
      <c r="BP25" s="58"/>
      <c r="BQ25" s="96" t="s">
        <v>31</v>
      </c>
      <c r="BT25" s="139" t="s">
        <v>32</v>
      </c>
      <c r="BU25" s="140" t="s">
        <v>33</v>
      </c>
      <c r="BV25" s="140" t="s">
        <v>34</v>
      </c>
      <c r="BW25" s="140" t="s">
        <v>35</v>
      </c>
      <c r="BX25" s="140" t="s">
        <v>36</v>
      </c>
      <c r="BY25" s="140" t="s">
        <v>37</v>
      </c>
      <c r="BZ25" s="141" t="s">
        <v>38</v>
      </c>
      <c r="CA25" s="138"/>
      <c r="CB25" s="57"/>
      <c r="CC25" s="138"/>
      <c r="CD25" s="138"/>
      <c r="CE25" s="57"/>
      <c r="CF25" s="57"/>
      <c r="CG25" s="58"/>
      <c r="CH25" s="96" t="s">
        <v>31</v>
      </c>
      <c r="CK25" s="139" t="s">
        <v>32</v>
      </c>
      <c r="CL25" s="140" t="s">
        <v>33</v>
      </c>
      <c r="CM25" s="140" t="s">
        <v>34</v>
      </c>
      <c r="CN25" s="140" t="s">
        <v>35</v>
      </c>
      <c r="CO25" s="140" t="s">
        <v>36</v>
      </c>
      <c r="CP25" s="140" t="s">
        <v>37</v>
      </c>
      <c r="CQ25" s="141" t="s">
        <v>38</v>
      </c>
      <c r="CR25" s="138"/>
      <c r="CS25" s="57"/>
      <c r="CT25" s="138"/>
      <c r="CU25" s="138"/>
      <c r="CV25" s="57"/>
      <c r="CW25" s="57"/>
      <c r="CX25" s="58"/>
      <c r="CY25" s="96" t="s">
        <v>31</v>
      </c>
      <c r="DB25" s="139" t="s">
        <v>32</v>
      </c>
      <c r="DC25" s="140" t="s">
        <v>33</v>
      </c>
      <c r="DD25" s="140" t="s">
        <v>34</v>
      </c>
      <c r="DE25" s="140" t="s">
        <v>35</v>
      </c>
      <c r="DF25" s="140" t="s">
        <v>36</v>
      </c>
      <c r="DG25" s="140" t="s">
        <v>37</v>
      </c>
      <c r="DH25" s="141" t="s">
        <v>38</v>
      </c>
      <c r="DI25" s="138"/>
      <c r="DJ25" s="57"/>
      <c r="DK25" s="138"/>
      <c r="DL25" s="138"/>
      <c r="DM25" s="57"/>
      <c r="DN25" s="57"/>
      <c r="DO25" s="58"/>
      <c r="DP25" s="142"/>
      <c r="DQ25" s="56"/>
      <c r="DR25" s="56"/>
      <c r="DS25" s="56"/>
      <c r="DT25" s="56"/>
      <c r="DU25" s="56"/>
      <c r="DV25" s="56"/>
      <c r="DW25" s="56"/>
      <c r="DX25" s="56"/>
      <c r="DY25" s="56"/>
    </row>
    <row r="26">
      <c r="A26" s="213" t="str">
        <f>IF(M26="","",HYPERLINK(OFFSET(Biblioteca!$B$2,MATCH(M26,Biblioteca!$A$3:$A$200,0),0),M26))</f>
        <v>Esteira</v>
      </c>
      <c r="D26" s="103" t="str">
        <f>Montagem!Q121</f>
        <v/>
      </c>
      <c r="E26" s="104" t="str">
        <f>Montagem!R121</f>
        <v/>
      </c>
      <c r="F26" s="104" t="str">
        <f>Montagem!S121</f>
        <v/>
      </c>
      <c r="G26" s="104">
        <f>Montagem!T121</f>
        <v>60</v>
      </c>
      <c r="H26" s="104" t="str">
        <f>Montagem!U121</f>
        <v/>
      </c>
      <c r="I26" s="132" t="str">
        <f>Montagem!V121</f>
        <v/>
      </c>
      <c r="J26" s="105">
        <v>10.0</v>
      </c>
      <c r="K26" s="106">
        <f>Montagem!K121</f>
        <v>1</v>
      </c>
      <c r="L26" s="111">
        <f>Montagem!W121</f>
        <v>0</v>
      </c>
      <c r="M26" s="111" t="str">
        <f>Montagem!L121</f>
        <v>Esteira</v>
      </c>
      <c r="N26" s="111" t="str">
        <f>Montagem!X121</f>
        <v/>
      </c>
      <c r="O26" s="106">
        <f>IF(N26="",L26,N26)</f>
        <v>0</v>
      </c>
      <c r="P26" s="106">
        <f>IF(L27="C",'Dados de Base'!$D$5*0.1,IF(L27="E",5,IF(J26="",O26,J26)))</f>
        <v>10</v>
      </c>
      <c r="Q26" s="108"/>
      <c r="R26" s="115" t="str">
        <f>IF(AD26="","",HYPERLINK(OFFSET(Biblioteca!$B$2,MATCH(AD26,Biblioteca!$A$3:$A$200,0),0),AD26))</f>
        <v>Bicicleta</v>
      </c>
      <c r="U26" s="109" t="str">
        <f>Montagem!AF121</f>
        <v/>
      </c>
      <c r="V26" s="110" t="str">
        <f>Montagem!AG121</f>
        <v/>
      </c>
      <c r="W26" s="110" t="str">
        <f>Montagem!AH121</f>
        <v/>
      </c>
      <c r="X26" s="110">
        <f>Montagem!AI121</f>
        <v>60</v>
      </c>
      <c r="Y26" s="135" t="str">
        <f>Montagem!AJ121</f>
        <v/>
      </c>
      <c r="Z26" s="109" t="str">
        <f>Montagem!AK121</f>
        <v/>
      </c>
      <c r="AA26" s="113">
        <v>10.0</v>
      </c>
      <c r="AB26" s="111">
        <f>Montagem!Z121</f>
        <v>1</v>
      </c>
      <c r="AC26" s="111">
        <f>Montagem!AL121</f>
        <v>0</v>
      </c>
      <c r="AD26" s="129" t="str">
        <f>Montagem!AA121</f>
        <v>Bicicleta</v>
      </c>
      <c r="AE26" s="111" t="str">
        <f>Montagem!AM121</f>
        <v/>
      </c>
      <c r="AF26" s="106">
        <f>IF(AE26="",AC26,AE26)</f>
        <v>0</v>
      </c>
      <c r="AG26" s="106">
        <f>IF(AC27="C",'Dados de Base'!$D$5*0.1,IF(AC27="E",5,IF(AA26="",AF26,AA26)))</f>
        <v>10</v>
      </c>
      <c r="AH26" s="108"/>
      <c r="AI26" s="115" t="str">
        <f>IF(AU26="","",HYPERLINK(OFFSET(Biblioteca!$B$2,MATCH(AU26,Biblioteca!$A$3:$A$200,0),0),AU26))</f>
        <v>Pista</v>
      </c>
      <c r="AL26" s="109" t="str">
        <f>Montagem!AU121</f>
        <v/>
      </c>
      <c r="AM26" s="110" t="str">
        <f>Montagem!AV121</f>
        <v/>
      </c>
      <c r="AN26" s="110" t="str">
        <f>Montagem!AW121</f>
        <v/>
      </c>
      <c r="AO26" s="110" t="str">
        <f>Montagem!AX121</f>
        <v/>
      </c>
      <c r="AP26" s="135" t="str">
        <f>Montagem!AY121</f>
        <v/>
      </c>
      <c r="AQ26" s="109" t="str">
        <f>Montagem!AZ121</f>
        <v/>
      </c>
      <c r="AR26" s="113"/>
      <c r="AS26" s="111">
        <f>Montagem!AO121</f>
        <v>1</v>
      </c>
      <c r="AT26" s="111">
        <f>Montagem!BA121</f>
        <v>0</v>
      </c>
      <c r="AU26" s="111" t="str">
        <f>Montagem!AP121</f>
        <v>Pista</v>
      </c>
      <c r="AV26" s="111" t="str">
        <f>Montagem!BB121</f>
        <v/>
      </c>
      <c r="AW26" s="106">
        <f>IF(AV26="",AT26,AV26)</f>
        <v>0</v>
      </c>
      <c r="AX26" s="106">
        <f>IF(AT27="C",'Dados de Base'!$D$5*0.1,IF(AT27="E",5,IF(AR26="",AW26,AR26)))</f>
        <v>0</v>
      </c>
      <c r="AY26" s="108"/>
      <c r="AZ26" s="115" t="str">
        <f>IF(BL26="","",HYPERLINK(OFFSET(Biblioteca!$B$2,MATCH(BL26,Biblioteca!$A$3:$A$200,0),0),BL26))</f>
        <v>Flexão com impulsão</v>
      </c>
      <c r="BC26" s="109" t="str">
        <f>Montagem!BJ121</f>
        <v>Bi-SET</v>
      </c>
      <c r="BD26" s="110">
        <f>Montagem!BK121</f>
        <v>3</v>
      </c>
      <c r="BE26" s="110">
        <f>Montagem!BL121</f>
        <v>10</v>
      </c>
      <c r="BF26" s="110" t="str">
        <f>Montagem!BM121</f>
        <v/>
      </c>
      <c r="BG26" s="110">
        <f>Montagem!BN121</f>
        <v>1</v>
      </c>
      <c r="BH26" s="110">
        <f>Montagem!BO121</f>
        <v>2</v>
      </c>
      <c r="BI26" s="113">
        <v>10.0</v>
      </c>
      <c r="BJ26" s="111">
        <f>Montagem!BD121</f>
        <v>1</v>
      </c>
      <c r="BK26" s="111">
        <f>Montagem!BP121</f>
        <v>0</v>
      </c>
      <c r="BL26" s="111" t="str">
        <f>Montagem!BE121</f>
        <v>Flexão com impulsão</v>
      </c>
      <c r="BM26" s="111" t="str">
        <f>Montagem!BQ121</f>
        <v/>
      </c>
      <c r="BN26" s="106">
        <f>IF(BM26="",BK26,BM26)</f>
        <v>0</v>
      </c>
      <c r="BO26" s="106">
        <f>IF(BK27="C",'Dados de Base'!$D$5*0.1,IF(BK27="E",5,IF(BI26="",BN26,BI26)))</f>
        <v>10</v>
      </c>
      <c r="BP26" s="108"/>
      <c r="BQ26" s="102" t="str">
        <f>IF(CC26="","",HYPERLINK(OFFSET(Biblioteca!$B$2,MATCH(CC26,Biblioteca!$A$3:$A$200,0),0),CC26))</f>
        <v>Corda</v>
      </c>
      <c r="BT26" s="109" t="str">
        <f>Montagem!BY121</f>
        <v/>
      </c>
      <c r="BU26" s="110" t="str">
        <f>Montagem!BZ121</f>
        <v/>
      </c>
      <c r="BV26" s="110" t="str">
        <f>Montagem!CA121</f>
        <v/>
      </c>
      <c r="BW26" s="110">
        <f>Montagem!CB121</f>
        <v>60</v>
      </c>
      <c r="BX26" s="135" t="str">
        <f>Montagem!CC121</f>
        <v/>
      </c>
      <c r="BY26" s="109" t="str">
        <f>Montagem!CD121</f>
        <v/>
      </c>
      <c r="BZ26" s="113">
        <v>10.0</v>
      </c>
      <c r="CA26" s="111">
        <f>Montagem!BS121</f>
        <v>1</v>
      </c>
      <c r="CB26" s="111">
        <f>Montagem!CE121</f>
        <v>0</v>
      </c>
      <c r="CC26" s="111" t="str">
        <f>Montagem!BT121</f>
        <v>Corda</v>
      </c>
      <c r="CD26" s="111" t="str">
        <f>Montagem!CF121</f>
        <v/>
      </c>
      <c r="CE26" s="106">
        <f>IF(CD26="",CB26,CD26)</f>
        <v>0</v>
      </c>
      <c r="CF26" s="106">
        <f>IF(CB27="C",'Dados de Base'!$D$5*0.1,IF(CB27="E",5,IF(BZ26="",CE26,BZ26)))</f>
        <v>10</v>
      </c>
      <c r="CG26" s="108"/>
      <c r="CH26" s="115" t="str">
        <f>IF(CT26="","",HYPERLINK(OFFSET(Biblioteca!$B$2,MATCH(CT26,Biblioteca!$A$3:$A$200,0),0),CT26))</f>
        <v>Pista</v>
      </c>
      <c r="CK26" s="109" t="str">
        <f>Montagem!CN121</f>
        <v/>
      </c>
      <c r="CL26" s="110" t="str">
        <f>Montagem!CO121</f>
        <v/>
      </c>
      <c r="CM26" s="110" t="str">
        <f>Montagem!CP121</f>
        <v/>
      </c>
      <c r="CN26" s="110" t="str">
        <f>Montagem!CQ121</f>
        <v/>
      </c>
      <c r="CO26" s="135" t="str">
        <f>Montagem!CR121</f>
        <v/>
      </c>
      <c r="CP26" s="109" t="str">
        <f>Montagem!CS121</f>
        <v/>
      </c>
      <c r="CQ26" s="113"/>
      <c r="CR26" s="111">
        <f>Montagem!CH121</f>
        <v>1</v>
      </c>
      <c r="CS26" s="111">
        <f>Montagem!CT121</f>
        <v>0</v>
      </c>
      <c r="CT26" s="111" t="str">
        <f>Montagem!CI121</f>
        <v>Pista</v>
      </c>
      <c r="CU26" s="111" t="str">
        <f>Montagem!CU121</f>
        <v/>
      </c>
      <c r="CV26" s="106">
        <f>IF(CU26="",CS26,CU26)</f>
        <v>0</v>
      </c>
      <c r="CW26" s="106">
        <f>IF(CS27="C",'Dados de Base'!$D$5*0.1,IF(CS27="E",5,IF(CQ26="",CV26,CQ26)))</f>
        <v>0</v>
      </c>
      <c r="CX26" s="108"/>
      <c r="CY26" s="115" t="str">
        <f>IF(DK26="","",HYPERLINK(OFFSET(Biblioteca!$B$2,MATCH(DK26,Biblioteca!$A$3:$A$200,0),0),DK26))</f>
        <v/>
      </c>
      <c r="DB26" s="130" t="str">
        <f>Montagem!DC121</f>
        <v/>
      </c>
      <c r="DC26" s="131" t="str">
        <f>Montagem!DD121</f>
        <v/>
      </c>
      <c r="DD26" s="131" t="str">
        <f>Montagem!DE121</f>
        <v/>
      </c>
      <c r="DE26" s="131" t="str">
        <f>Montagem!DF121</f>
        <v/>
      </c>
      <c r="DF26" s="136" t="str">
        <f>Montagem!DG121</f>
        <v/>
      </c>
      <c r="DG26" s="130" t="str">
        <f>Montagem!DH121</f>
        <v/>
      </c>
      <c r="DH26" s="113"/>
      <c r="DI26" s="111">
        <f>Montagem!CW121</f>
        <v>1</v>
      </c>
      <c r="DJ26" s="111" t="str">
        <f>Montagem!DI121</f>
        <v/>
      </c>
      <c r="DK26" s="111" t="str">
        <f>Montagem!CX121</f>
        <v/>
      </c>
      <c r="DL26" s="111" t="str">
        <f>Montagem!DJ121</f>
        <v/>
      </c>
      <c r="DM26" s="106" t="str">
        <f>IF(DL26="",DJ26,DL26)</f>
        <v/>
      </c>
      <c r="DN26" s="106" t="str">
        <f>IF(DJ27="C",'Dados de Base'!$D$5*0.1,IF(DJ27="E",5,IF(DH26="",DM26,DH26)))</f>
        <v/>
      </c>
      <c r="DO26" s="108"/>
      <c r="DP26" s="106"/>
      <c r="DQ26" s="106"/>
      <c r="DR26" s="106"/>
      <c r="DS26" s="106"/>
      <c r="DT26" s="106"/>
      <c r="DU26" s="106"/>
      <c r="DV26" s="106"/>
      <c r="DW26" s="106"/>
      <c r="DX26" s="106"/>
      <c r="DY26" s="106"/>
    </row>
    <row r="27">
      <c r="A27" s="117" t="str">
        <f>IF(A26="","",IFS(L27="A",Montagem!$C$130,N27="T","Realizar a maior quantidade de repetições por "&amp;F26&amp;" segundos | ",N27="I",IF(M27="U","Manter a posição por "&amp;F26&amp;" segundos de um lado e trocar para o outro na sequência | ","Manter a posição por "&amp;F26&amp;" segundos | "),M27="A","Realizar alternadamente "&amp;F26&amp;" repetições cada lado | ",M27="U","Realizar "&amp;F26&amp;" repetições de um lado e trocar para o outro na sequência | ",L27="P",OFFSET(Biblioteca!$H$2,MATCH(M26,Biblioteca!$A$3:$A$200,0),0),TRUE,"")&amp;IF(N27="R","Ajuste a carga para que tenha "&amp;$K$2&amp;" repetições de reserva",""))</f>
        <v>1x (3m a 142,95 - 148,3 bpm-&gt; 15,4 - 16,4km/h)</v>
      </c>
      <c r="E27" s="118" t="str">
        <f>IF(A26="","",IFS(L27="H","Carga Sugerida: "&amp;ROUNDUP(O26/2,0)&amp;" kg de cada lado (Total: "&amp;ROUNDUP(O26/2,0)*2&amp;" kg)",L27="C","Este exercício usa o Peso Corporal como carga",L27="E","Este exercício usa a resistência da banda elástica como carga",L27="O","Carga Sugerida: "&amp;INT(O26)&amp;" kg",TRUE,""))</f>
        <v/>
      </c>
      <c r="J27" s="66"/>
      <c r="K27" s="126">
        <f>K26</f>
        <v>1</v>
      </c>
      <c r="L27" s="120" t="str">
        <f>LEFT(O27)</f>
        <v>A</v>
      </c>
      <c r="M27" s="121" t="str">
        <f>MID(O27,2,1)</f>
        <v>-</v>
      </c>
      <c r="N27" s="122" t="str">
        <f>RIGHT(O27)</f>
        <v>-</v>
      </c>
      <c r="O27" s="123" t="str">
        <f>IF(M26="","",OFFSET(Biblioteca!$I$2,MATCH(M26,Biblioteca!$A$3:$A$200,0),0))</f>
        <v>A--</v>
      </c>
      <c r="P27" s="124"/>
      <c r="Q27" s="125"/>
      <c r="R27" s="117" t="str">
        <f>IF(R26="","",IFS(AC27="A",Montagem!$D$130,AE27="T","Realizar a maior quantidade de repetições por "&amp;W26&amp;" segundos | ",AE27="I",IF(AD27="U","Manter a posição por "&amp;W26&amp;" segundos de um lado e trocar para o outro na sequência | ","Manter a posição por "&amp;W26&amp;" segundos | "),AD27="A","Realizar alternadamente "&amp;W26&amp;" repetições cada lado | ",AD27="U","Realizar "&amp;W26&amp;" repetições de um lado e trocar para o outro na sequência | ",AC27="P",OFFSET(Biblioteca!$H$2,MATCH(AD26,Biblioteca!$A$3:$A$200,0),0),TRUE,"")&amp;IF(AE27="R","Ajuste a carga para que tenha "&amp;$K$2&amp;" repetições de reserva",""))</f>
        <v>1x (3m all out)</v>
      </c>
      <c r="V27" s="118" t="str">
        <f>IF(R26="","",IFS(AC27="H","Carga Sugerida: "&amp;ROUNDUP(AF26/2,0)&amp;" kg de cada lado (Total: "&amp;ROUNDUP(AF26/2,0)*2&amp;" kg)",AC27="C","Este exercício usa o Peso Corporal como carga",AC27="E","Este exercício usa a resistência da banda elástica como carga",AC27="O","Carga Sugerida: "&amp;INT(AF26)&amp;" kg",TRUE,""))</f>
        <v/>
      </c>
      <c r="AA27" s="66"/>
      <c r="AB27" s="126">
        <f>AB26</f>
        <v>1</v>
      </c>
      <c r="AC27" s="120" t="str">
        <f>LEFT(AF27)</f>
        <v>A</v>
      </c>
      <c r="AD27" s="121" t="str">
        <f>MID(AF27,2,1)</f>
        <v>-</v>
      </c>
      <c r="AE27" s="122" t="str">
        <f>RIGHT(AF27)</f>
        <v>-</v>
      </c>
      <c r="AF27" s="123" t="str">
        <f>IF(AD26="","",OFFSET(Biblioteca!$I$2,MATCH(AD26,Biblioteca!$A$3:$A$200,0),0))</f>
        <v>A--</v>
      </c>
      <c r="AG27" s="124"/>
      <c r="AH27" s="125"/>
      <c r="AI27" s="117" t="str">
        <f>IF(AI26="","",IFS(AT27="A",Montagem!$E$130,AV27="T","Realizar a maior quantidade de repetições por "&amp;AN26&amp;" segundos | ",AV27="I",IF(AU27="U","Manter a posição por "&amp;AN26&amp;" segundos de um lado e trocar para o outro na sequência | ","Manter a posição por "&amp;AN26&amp;" segundos | "),AU27="A","Realizar alternadamente "&amp;AN26&amp;" repetições cada lado | ",AU27="U","Realizar "&amp;AN26&amp;" repetições de um lado e trocar para o outro na sequência | ",AT27="P",OFFSET(Biblioteca!$H$2,MATCH(AU26,Biblioteca!$A$3:$A$200,0),0),TRUE,"")&amp;IF(AV27="R","Ajuste a carga para que tenha "&amp;$K$2&amp;" repetições de reserva",""))</f>
        <v>- Correr 15 km no menor tempo possível.
</v>
      </c>
      <c r="AM27" s="118" t="str">
        <f>IF(AI26="","",IFS(AT27="H","Carga Sugerida: "&amp;ROUNDUP(AW26/2,0)&amp;" kg de cada lado (Total: "&amp;ROUNDUP(AW26/2,0)*2&amp;" kg)",AT27="C","Este exercício usa o Peso Corporal como carga",AT27="E","Este exercício usa a resistência da banda elástica como carga",AT27="O","Carga Sugerida: "&amp;INT(AW26)&amp;" kg",TRUE,""))</f>
        <v/>
      </c>
      <c r="AR27" s="66"/>
      <c r="AS27" s="126">
        <f>AS26</f>
        <v>1</v>
      </c>
      <c r="AT27" s="120" t="str">
        <f>LEFT(AW27)</f>
        <v>A</v>
      </c>
      <c r="AU27" s="121" t="str">
        <f>MID(AW27,2,1)</f>
        <v>-</v>
      </c>
      <c r="AV27" s="122" t="str">
        <f>RIGHT(AW27)</f>
        <v>-</v>
      </c>
      <c r="AW27" s="123" t="str">
        <f>IF(AU26="","",OFFSET(Biblioteca!$I$2,MATCH(AU26,Biblioteca!$A$3:$A$200,0),0))</f>
        <v>A--</v>
      </c>
      <c r="AX27" s="124"/>
      <c r="AY27" s="125"/>
      <c r="AZ27" s="117" t="str">
        <f>IF(AZ26="","",IFS(BK27="A",Montagem!$F$130,BM27="T","Realizar a maior quantidade de repetições por "&amp;BE26&amp;" segundos | ",BM27="I",IF(BL27="U","Manter a posição por "&amp;BE26&amp;" segundos de um lado e trocar para o outro na sequência | ","Manter a posição por "&amp;BE26&amp;" segundos | "),BL27="A","Realizar alternadamente "&amp;BE26&amp;" repetições cada lado | ",BL27="U","Realizar "&amp;BE26&amp;" repetições de um lado e trocar para o outro na sequência | ",BK27="P",OFFSET(Biblioteca!$H$2,MATCH(BL26,Biblioteca!$A$3:$A$200,0),0),TRUE,"")&amp;IF(BM27="R","Ajuste a carga para que tenha "&amp;$K$2&amp;" repetições de reserva",""))</f>
        <v/>
      </c>
      <c r="BD27" s="118" t="str">
        <f>IF(AZ26="","",IFS(BK27="H","Carga Sugerida: "&amp;ROUNDUP(BN26/2,0)&amp;" kg de cada lado (Total: "&amp;ROUNDUP(BN26/2,0)*2&amp;" kg)",BK27="C","Este exercício usa o Peso Corporal como carga",BK27="E","Este exercício usa a resistência da banda elástica como carga",BK27="O","Carga Sugerida: "&amp;INT(BN26)&amp;" kg",TRUE,""))</f>
        <v/>
      </c>
      <c r="BI27" s="66"/>
      <c r="BJ27" s="126">
        <f>BJ26</f>
        <v>1</v>
      </c>
      <c r="BK27" s="120" t="str">
        <f>LEFT(BN27)</f>
        <v/>
      </c>
      <c r="BL27" s="121" t="str">
        <f>MID(BN27,2,1)</f>
        <v/>
      </c>
      <c r="BM27" s="122" t="str">
        <f>RIGHT(BN27)</f>
        <v/>
      </c>
      <c r="BN27" s="123" t="str">
        <f>IF(BL26="","",OFFSET(Biblioteca!$I$2,MATCH(BL26,Biblioteca!$A$3:$A$200,0),0))</f>
        <v/>
      </c>
      <c r="BO27" s="124"/>
      <c r="BP27" s="125"/>
      <c r="BQ27" s="117" t="str">
        <f>IF(BQ26="","",IFS(CB27="A",Montagem!$G$130,CD27="T","Realizar a maior quantidade de repetições por "&amp;BV26&amp;" segundos | ",CD27="I",IF(CC27="U","Manter a posição por "&amp;BV26&amp;" segundos de um lado e trocar para o outro na sequência | ","Manter a posição por "&amp;BV26&amp;" segundos | "),CC27="A","Realizar alternadamente "&amp;BV26&amp;" repetições cada lado | ",CC27="U","Realizar "&amp;BV26&amp;" repetições de um lado e trocar para o outro na sequência | ",CB27="P",OFFSET(Biblioteca!$H$2,MATCH(CC26,Biblioteca!$A$3:$A$200,0),0),TRUE,"")&amp;IF(CD27="R","Ajuste a carga para que tenha "&amp;$K$2&amp;" repetições de reserva",""))</f>
        <v>1x (5m all out)</v>
      </c>
      <c r="BU27" s="118" t="str">
        <f>IF(BQ26="","",IFS(CB27="H","Carga Sugerida: "&amp;ROUNDUP(CE26/2,0)&amp;" kg de cada lado (Total: "&amp;ROUNDUP(CE26/2,0)*2&amp;" kg)",CB27="C","Este exercício usa o Peso Corporal como carga",CB27="E","Este exercício usa a resistência da banda elástica como carga",CB27="O","Carga Sugerida: "&amp;INT(CE26)&amp;" kg",TRUE,""))</f>
        <v/>
      </c>
      <c r="BZ27" s="66"/>
      <c r="CA27" s="126">
        <f>CA26</f>
        <v>1</v>
      </c>
      <c r="CB27" s="120" t="str">
        <f>LEFT(CE27)</f>
        <v>A</v>
      </c>
      <c r="CC27" s="121" t="str">
        <f>MID(CE27,2,1)</f>
        <v>T</v>
      </c>
      <c r="CD27" s="122" t="str">
        <f>RIGHT(CE27)</f>
        <v>T</v>
      </c>
      <c r="CE27" s="123" t="str">
        <f>IF(CC26="","",OFFSET(Biblioteca!$I$2,MATCH(CC26,Biblioteca!$A$3:$A$200,0),0))</f>
        <v>AT</v>
      </c>
      <c r="CF27" s="124"/>
      <c r="CG27" s="125"/>
      <c r="CH27" s="117" t="str">
        <f>IF(CH26="","",IFS(CS27="A",Montagem!$H$130,CU27="T","Realizar a maior quantidade de repetições por "&amp;CM26&amp;" segundos | ",CU27="I",IF(CT27="U","Manter a posição por "&amp;CM26&amp;" segundos de um lado e trocar para o outro na sequência | ","Manter a posição por "&amp;CM26&amp;" segundos | "),CT27="A","Realizar alternadamente "&amp;CM26&amp;" repetições cada lado | ",CT27="U","Realizar "&amp;CM26&amp;" repetições de um lado e trocar para o outro na sequência | ",CS27="P",OFFSET(Biblioteca!$H$2,MATCH(CT26,Biblioteca!$A$3:$A$200,0),0),TRUE,"")&amp;IF(CU27="R","Ajuste a carga para que tenha "&amp;$K$2&amp;" repetições de reserva",""))</f>
        <v>***TRAJETO***
- 2 km à 11,0km/h;
- 20km à 12,5 km/h;
- 2 km All out </v>
      </c>
      <c r="CL27" s="118" t="str">
        <f>IF(CH26="","",IFS(CS27="H","Carga Sugerida: "&amp;ROUNDUP(CV26/2,0)&amp;" kg de cada lado (Total: "&amp;ROUNDUP(CV26/2,0)*2&amp;" kg)",CS27="C","Este exercício usa o Peso Corporal como carga",CS27="E","Este exercício usa a resistência da banda elástica como carga",CS27="O","Carga Sugerida: "&amp;INT(CV26)&amp;" kg",TRUE,""))</f>
        <v/>
      </c>
      <c r="CQ27" s="66"/>
      <c r="CR27" s="126">
        <f>CR26</f>
        <v>1</v>
      </c>
      <c r="CS27" s="120" t="str">
        <f>LEFT(CV27)</f>
        <v>A</v>
      </c>
      <c r="CT27" s="121" t="str">
        <f>MID(CV27,2,1)</f>
        <v>-</v>
      </c>
      <c r="CU27" s="122" t="str">
        <f>RIGHT(CV27)</f>
        <v>-</v>
      </c>
      <c r="CV27" s="123" t="str">
        <f>IF(CT26="","",OFFSET(Biblioteca!$I$2,MATCH(CT26,Biblioteca!$A$3:$A$200,0),0))</f>
        <v>A--</v>
      </c>
      <c r="CW27" s="124"/>
      <c r="CX27" s="125"/>
      <c r="CY27" s="117" t="str">
        <f>IF(CY26="","",IFS(DJ27="A",Montagem!$I$130,DL27="T","Realizar a maior quantidade de repetições por "&amp;DD26&amp;" segundos | ",DL27="I",IF(DK27="U","Manter a posição por "&amp;DD26&amp;" segundos de um lado e trocar para o outro na sequência | ","Manter a posição por "&amp;DD26&amp;" segundos | "),DK27="A","Realizar alternadamente "&amp;DD26&amp;" repetições cada lado | ",DK27="U","Realizar "&amp;DD26&amp;" repetições de um lado e trocar para o outro na sequência | ",DJ27="P",OFFSET(Biblioteca!$H$2,MATCH(DK26,Biblioteca!$A$3:$A$200,0),0),TRUE,"")&amp;IF(DL27="R","Ajuste a carga para que tenha "&amp;$K$2&amp;" repetições de reserva",""))</f>
        <v/>
      </c>
      <c r="DC27" s="118" t="str">
        <f>IF(CY26="","",IFS(DJ27="H","Carga Sugerida: "&amp;ROUNDUP(DM26/2,0)&amp;" kg de cada lado (Total: "&amp;ROUNDUP(DM26/2,0)*2&amp;" kg)",DJ27="C","Este exercício usa o Peso Corporal como carga",DJ27="E","Este exercício usa a resistência da banda elástica como carga",DJ27="O","Carga Sugerida: "&amp;INT(DM26)&amp;" kg",TRUE,""))</f>
        <v/>
      </c>
      <c r="DH27" s="66"/>
      <c r="DI27" s="126">
        <f>DI26</f>
        <v>1</v>
      </c>
      <c r="DJ27" s="120" t="str">
        <f>LEFT(DM27)</f>
        <v/>
      </c>
      <c r="DK27" s="121" t="str">
        <f>MID(DM27,2,1)</f>
        <v/>
      </c>
      <c r="DL27" s="122" t="str">
        <f>RIGHT(DM27)</f>
        <v/>
      </c>
      <c r="DM27" s="123" t="str">
        <f>IF(DK26="","",OFFSET(Biblioteca!$I$2,MATCH(DK26,Biblioteca!$A$3:$A$200,0),0))</f>
        <v/>
      </c>
      <c r="DN27" s="124"/>
      <c r="DO27" s="125"/>
      <c r="DP27" s="57"/>
      <c r="DQ27" s="56"/>
      <c r="DR27" s="56"/>
      <c r="DS27" s="56"/>
      <c r="DT27" s="56"/>
      <c r="DU27" s="56"/>
      <c r="DV27" s="56"/>
      <c r="DW27" s="56"/>
      <c r="DX27" s="56"/>
      <c r="DY27" s="56"/>
    </row>
    <row r="28">
      <c r="A28" s="102" t="str">
        <f>IF(M28="","",HYPERLINK(OFFSET(Biblioteca!$B$2,MATCH(M28,Biblioteca!$A$3:$A$200,0),0),M28))</f>
        <v>Supino</v>
      </c>
      <c r="D28" s="103" t="str">
        <f>Montagem!Q122</f>
        <v>Bi-SET</v>
      </c>
      <c r="E28" s="104">
        <f>Montagem!R122</f>
        <v>3</v>
      </c>
      <c r="F28" s="104">
        <f>Montagem!S122</f>
        <v>10</v>
      </c>
      <c r="G28" s="104" t="str">
        <f>Montagem!T122</f>
        <v/>
      </c>
      <c r="H28" s="104">
        <f>Montagem!U122</f>
        <v>1</v>
      </c>
      <c r="I28" s="127">
        <f>Montagem!V122</f>
        <v>2</v>
      </c>
      <c r="J28" s="105">
        <v>60.0</v>
      </c>
      <c r="K28" s="106">
        <f>Montagem!K122</f>
        <v>2</v>
      </c>
      <c r="L28" s="111">
        <f>Montagem!W122</f>
        <v>60</v>
      </c>
      <c r="M28" s="111" t="str">
        <f>Montagem!L122</f>
        <v>Supino</v>
      </c>
      <c r="N28" s="111" t="str">
        <f>Montagem!X122</f>
        <v/>
      </c>
      <c r="O28" s="106">
        <f>IF(N28="",L28,N28)</f>
        <v>60</v>
      </c>
      <c r="P28" s="106">
        <f>IF(L29="C",'Dados de Base'!$D$5*0.1,IF(L29="E",5,IF(J28="",O28,J28)))</f>
        <v>60</v>
      </c>
      <c r="Q28" s="108"/>
      <c r="R28" s="102" t="str">
        <f>IF(AD28="","",HYPERLINK(OFFSET(Biblioteca!$B$2,MATCH(AD28,Biblioteca!$A$3:$A$200,0),0),AD28))</f>
        <v>Agachamento</v>
      </c>
      <c r="U28" s="109" t="str">
        <f>Montagem!AF122</f>
        <v>Bi-SET</v>
      </c>
      <c r="V28" s="110">
        <f>Montagem!AG122</f>
        <v>3</v>
      </c>
      <c r="W28" s="110">
        <f>Montagem!AH122</f>
        <v>10</v>
      </c>
      <c r="X28" s="110" t="str">
        <f>Montagem!AI122</f>
        <v/>
      </c>
      <c r="Y28" s="110">
        <f>Montagem!AJ122</f>
        <v>1</v>
      </c>
      <c r="Z28" s="110">
        <f>Montagem!AK122</f>
        <v>2</v>
      </c>
      <c r="AA28" s="113">
        <v>90.0</v>
      </c>
      <c r="AB28" s="111">
        <f>Montagem!Z122</f>
        <v>2</v>
      </c>
      <c r="AC28" s="111">
        <f>Montagem!AL122</f>
        <v>90</v>
      </c>
      <c r="AD28" s="129" t="str">
        <f>Montagem!AA122</f>
        <v>Agachamento</v>
      </c>
      <c r="AE28" s="111" t="str">
        <f>Montagem!AM122</f>
        <v/>
      </c>
      <c r="AF28" s="106">
        <f>IF(AE28="",AC28,AE28)</f>
        <v>90</v>
      </c>
      <c r="AG28" s="106">
        <f>IF(AC29="C",'Dados de Base'!$D$5*0.1,IF(AC29="E",5,IF(AA28="",AF28,AA28)))</f>
        <v>90</v>
      </c>
      <c r="AH28" s="108"/>
      <c r="AI28" s="115" t="str">
        <f>IF(AU28="","",HYPERLINK(OFFSET(Biblioteca!$B$2,MATCH(AU28,Biblioteca!$A$3:$A$200,0),0),AU28))</f>
        <v/>
      </c>
      <c r="AL28" s="109" t="str">
        <f>Montagem!AU122</f>
        <v/>
      </c>
      <c r="AM28" s="110" t="str">
        <f>Montagem!AV122</f>
        <v/>
      </c>
      <c r="AN28" s="110" t="str">
        <f>Montagem!AW122</f>
        <v/>
      </c>
      <c r="AO28" s="110" t="str">
        <f>Montagem!AX122</f>
        <v/>
      </c>
      <c r="AP28" s="110" t="str">
        <f>Montagem!AY122</f>
        <v/>
      </c>
      <c r="AQ28" s="110" t="str">
        <f>Montagem!AZ122</f>
        <v/>
      </c>
      <c r="AR28" s="114"/>
      <c r="AS28" s="111">
        <f>Montagem!AO122</f>
        <v>1</v>
      </c>
      <c r="AT28" s="111" t="str">
        <f>Montagem!BA122</f>
        <v/>
      </c>
      <c r="AU28" s="111" t="str">
        <f>Montagem!AP122</f>
        <v/>
      </c>
      <c r="AV28" s="111" t="str">
        <f>Montagem!BB122</f>
        <v/>
      </c>
      <c r="AW28" s="106" t="str">
        <f>IF(AV28="",AT28,AV28)</f>
        <v/>
      </c>
      <c r="AX28" s="106" t="str">
        <f>IF(AT29="C",'Dados de Base'!$D$5*0.1,IF(AT29="E",5,IF(AR28="",AW28,AR28)))</f>
        <v/>
      </c>
      <c r="AY28" s="108"/>
      <c r="AZ28" s="102" t="str">
        <f>IF(BL28="","",HYPERLINK(OFFSET(Biblioteca!$B$2,MATCH(BL28,Biblioteca!$A$3:$A$200,0),0),BL28))</f>
        <v>Remada Horizontal com Movimentação do Tronco</v>
      </c>
      <c r="BC28" s="109" t="str">
        <f>Montagem!BJ122</f>
        <v>Bi-SET</v>
      </c>
      <c r="BD28" s="110">
        <f>Montagem!BK122</f>
        <v>3</v>
      </c>
      <c r="BE28" s="110">
        <f>Montagem!BL122</f>
        <v>10</v>
      </c>
      <c r="BF28" s="110">
        <f>Montagem!BM122</f>
        <v>60</v>
      </c>
      <c r="BG28" s="110">
        <f>Montagem!BN122</f>
        <v>1</v>
      </c>
      <c r="BH28" s="110">
        <f>Montagem!BO122</f>
        <v>2</v>
      </c>
      <c r="BI28" s="113">
        <v>11.0</v>
      </c>
      <c r="BJ28" s="111">
        <f>Montagem!BD122</f>
        <v>1</v>
      </c>
      <c r="BK28" s="111">
        <f>Montagem!BP122</f>
        <v>11.025</v>
      </c>
      <c r="BL28" s="111" t="str">
        <f>Montagem!BE122</f>
        <v>Remada Horizontal com Movimentação do Tronco</v>
      </c>
      <c r="BM28" s="111" t="str">
        <f>Montagem!BQ122</f>
        <v/>
      </c>
      <c r="BN28" s="106">
        <f>IF(BM28="",BK28,BM28)</f>
        <v>11.025</v>
      </c>
      <c r="BO28" s="106">
        <f>IF(BK29="C",'Dados de Base'!$D$5*0.1,IF(BK29="E",5,IF(BI28="",BN28,BI28)))</f>
        <v>11</v>
      </c>
      <c r="BP28" s="108"/>
      <c r="BQ28" s="102" t="str">
        <f>IF(CC28="","",HYPERLINK(OFFSET(Biblioteca!$B$2,MATCH(CC28,Biblioteca!$A$3:$A$200,0),0),CC28))</f>
        <v>Levantamento Terra</v>
      </c>
      <c r="BT28" s="109" t="str">
        <f>Montagem!BY122</f>
        <v>Bi-SET</v>
      </c>
      <c r="BU28" s="110">
        <f>Montagem!BZ122</f>
        <v>3</v>
      </c>
      <c r="BV28" s="110">
        <f>Montagem!CA122</f>
        <v>10</v>
      </c>
      <c r="BW28" s="110" t="str">
        <f>Montagem!CB122</f>
        <v/>
      </c>
      <c r="BX28" s="110">
        <f>Montagem!CC122</f>
        <v>1</v>
      </c>
      <c r="BY28" s="110">
        <f>Montagem!CD122</f>
        <v>2</v>
      </c>
      <c r="BZ28" s="113">
        <v>78.0</v>
      </c>
      <c r="CA28" s="111">
        <f>Montagem!BS122</f>
        <v>2</v>
      </c>
      <c r="CB28" s="111">
        <f>Montagem!CE122</f>
        <v>78</v>
      </c>
      <c r="CC28" s="111" t="str">
        <f>Montagem!BT122</f>
        <v>Levantamento Terra</v>
      </c>
      <c r="CD28" s="111" t="str">
        <f>Montagem!CF122</f>
        <v/>
      </c>
      <c r="CE28" s="106">
        <f>IF(CD28="",CB28,CD28)</f>
        <v>78</v>
      </c>
      <c r="CF28" s="106">
        <f>IF(CB29="C",'Dados de Base'!$D$5*0.1,IF(CB29="E",5,IF(BZ28="",CE28,BZ28)))</f>
        <v>78</v>
      </c>
      <c r="CG28" s="108"/>
      <c r="CH28" s="115" t="str">
        <f>IF(CT28="","",HYPERLINK(OFFSET(Biblioteca!$B$2,MATCH(CT28,Biblioteca!$A$3:$A$200,0),0),CT28))</f>
        <v/>
      </c>
      <c r="CK28" s="109" t="str">
        <f>Montagem!CN122</f>
        <v/>
      </c>
      <c r="CL28" s="110" t="str">
        <f>Montagem!CO122</f>
        <v/>
      </c>
      <c r="CM28" s="110" t="str">
        <f>Montagem!CP122</f>
        <v/>
      </c>
      <c r="CN28" s="110" t="str">
        <f>Montagem!CQ122</f>
        <v/>
      </c>
      <c r="CO28" s="110" t="str">
        <f>Montagem!CR122</f>
        <v/>
      </c>
      <c r="CP28" s="110" t="str">
        <f>Montagem!CS122</f>
        <v/>
      </c>
      <c r="CQ28" s="114"/>
      <c r="CR28" s="111">
        <f>Montagem!CH122</f>
        <v>1</v>
      </c>
      <c r="CS28" s="111" t="str">
        <f>Montagem!CT122</f>
        <v/>
      </c>
      <c r="CT28" s="111" t="str">
        <f>Montagem!CI122</f>
        <v/>
      </c>
      <c r="CU28" s="111" t="str">
        <f>Montagem!CU122</f>
        <v/>
      </c>
      <c r="CV28" s="106" t="str">
        <f>IF(CU28="",CS28,CU28)</f>
        <v/>
      </c>
      <c r="CW28" s="106" t="str">
        <f>IF(CS29="C",'Dados de Base'!$D$5*0.1,IF(CS29="E",5,IF(CQ28="",CV28,CQ28)))</f>
        <v/>
      </c>
      <c r="CX28" s="108"/>
      <c r="CY28" s="115" t="str">
        <f>IF(DK28="","",HYPERLINK(OFFSET(Biblioteca!$B$2,MATCH(DK28,Biblioteca!$A$3:$A$200,0),0),DK28))</f>
        <v/>
      </c>
      <c r="DB28" s="130" t="str">
        <f>Montagem!DC122</f>
        <v/>
      </c>
      <c r="DC28" s="131" t="str">
        <f>Montagem!DD122</f>
        <v/>
      </c>
      <c r="DD28" s="131" t="str">
        <f>Montagem!DE122</f>
        <v/>
      </c>
      <c r="DE28" s="131" t="str">
        <f>Montagem!DF122</f>
        <v/>
      </c>
      <c r="DF28" s="131" t="str">
        <f>Montagem!DG122</f>
        <v/>
      </c>
      <c r="DG28" s="131" t="str">
        <f>Montagem!DH122</f>
        <v/>
      </c>
      <c r="DH28" s="114"/>
      <c r="DI28" s="111">
        <f>Montagem!CW122</f>
        <v>1</v>
      </c>
      <c r="DJ28" s="111" t="str">
        <f>Montagem!DI122</f>
        <v/>
      </c>
      <c r="DK28" s="111" t="str">
        <f>Montagem!CX122</f>
        <v/>
      </c>
      <c r="DL28" s="111" t="str">
        <f>Montagem!DJ122</f>
        <v/>
      </c>
      <c r="DM28" s="106" t="str">
        <f>IF(DL28="",DJ28,DL28)</f>
        <v/>
      </c>
      <c r="DN28" s="106" t="str">
        <f>IF(DJ29="C",'Dados de Base'!$D$5*0.1,IF(DJ29="E",5,IF(DH28="",DM28,DH28)))</f>
        <v/>
      </c>
      <c r="DO28" s="108"/>
      <c r="DP28" s="106"/>
      <c r="DQ28" s="106"/>
      <c r="DR28" s="106"/>
      <c r="DS28" s="106"/>
      <c r="DT28" s="106"/>
      <c r="DU28" s="106"/>
      <c r="DV28" s="106"/>
      <c r="DW28" s="106"/>
      <c r="DX28" s="106"/>
      <c r="DY28" s="106"/>
    </row>
    <row r="29">
      <c r="A29" s="117" t="str">
        <f>IF(A28="","",IFS(L29="A",Montagem!$C$130,N29="T","Realizar a maior quantidade de repetições por "&amp;F28&amp;" segundos | ",N29="I",IF(M29="U","Manter a posição por "&amp;F28&amp;" segundos de um lado e trocar para o outro na sequência | ","Manter a posição por "&amp;F28&amp;" segundos | "),M29="A","Realizar alternadamente "&amp;F28&amp;" repetições cada lado | ",M29="U","Realizar "&amp;F28&amp;" repetições de um lado e trocar para o outro na sequência | ",L29="P",OFFSET(Biblioteca!$H$2,MATCH(M28,Biblioteca!$A$3:$A$200,0),0),TRUE,"")&amp;IF(N29="R","Ajuste a carga para que tenha "&amp;$K$2&amp;" repetições de reserva",""))</f>
        <v>Ajuste a carga para que tenha 0 a 2 repetições de reserva</v>
      </c>
      <c r="E29" s="118" t="str">
        <f>IF(A28="","",IFS(L29="H","Carga Sugerida: "&amp;ROUNDUP(O28/2,0)&amp;" kg de cada lado (Total: "&amp;ROUNDUP(O28/2,0)*2&amp;" kg)",L29="C","Este exercício usa o Peso Corporal como carga",L29="E","Este exercício usa a resistência da banda elástica como carga",L29="O","Carga Sugerida: "&amp;INT(O28)&amp;" kg",TRUE,""))</f>
        <v>Carga Sugerida: 60 kg</v>
      </c>
      <c r="J29" s="66"/>
      <c r="K29" s="126">
        <f>K28</f>
        <v>2</v>
      </c>
      <c r="L29" s="120" t="str">
        <f>LEFT(O29)</f>
        <v>O</v>
      </c>
      <c r="M29" s="121" t="str">
        <f>MID(O29,2,1)</f>
        <v>O</v>
      </c>
      <c r="N29" s="122" t="str">
        <f>RIGHT(O29)</f>
        <v>R</v>
      </c>
      <c r="O29" s="123" t="str">
        <f>IF(M28="","",OFFSET(Biblioteca!$I$2,MATCH(M28,Biblioteca!$A$3:$A$200,0),0))</f>
        <v>OOR</v>
      </c>
      <c r="P29" s="124"/>
      <c r="Q29" s="125"/>
      <c r="R29" s="117" t="str">
        <f>IF(R28="","",IFS(AC29="A",Montagem!$D$130,AE29="T","Realizar a maior quantidade de repetições por "&amp;W28&amp;" segundos | ",AE29="I",IF(AD29="U","Manter a posição por "&amp;W28&amp;" segundos de um lado e trocar para o outro na sequência | ","Manter a posição por "&amp;W28&amp;" segundos | "),AD29="A","Realizar alternadamente "&amp;W28&amp;" repetições cada lado | ",AD29="U","Realizar "&amp;W28&amp;" repetições de um lado e trocar para o outro na sequência | ",AC29="P",OFFSET(Biblioteca!$H$2,MATCH(AD28,Biblioteca!$A$3:$A$200,0),0),TRUE,"")&amp;IF(AE29="R","Ajuste a carga para que tenha "&amp;$K$2&amp;" repetições de reserva",""))</f>
        <v>Ajuste a carga para que tenha 0 a 2 repetições de reserva</v>
      </c>
      <c r="V29" s="118" t="str">
        <f>IF(R28="","",IFS(AC29="H","Carga Sugerida: "&amp;ROUNDUP(AF28/2,0)&amp;" kg de cada lado (Total: "&amp;ROUNDUP(AF28/2,0)*2&amp;" kg)",AC29="C","Este exercício usa o Peso Corporal como carga",AC29="E","Este exercício usa a resistência da banda elástica como carga",AC29="O","Carga Sugerida: "&amp;INT(AF28)&amp;" kg",TRUE,""))</f>
        <v>Carga Sugerida: 90 kg</v>
      </c>
      <c r="AA29" s="66"/>
      <c r="AB29" s="126">
        <f>AB28</f>
        <v>2</v>
      </c>
      <c r="AC29" s="120" t="str">
        <f>LEFT(AF29)</f>
        <v>O</v>
      </c>
      <c r="AD29" s="121" t="str">
        <f>MID(AF29,2,1)</f>
        <v>O</v>
      </c>
      <c r="AE29" s="122" t="str">
        <f>RIGHT(AF29)</f>
        <v>R</v>
      </c>
      <c r="AF29" s="123" t="str">
        <f>IF(AD28="","",OFFSET(Biblioteca!$I$2,MATCH(AD28,Biblioteca!$A$3:$A$200,0),0))</f>
        <v>OOR</v>
      </c>
      <c r="AG29" s="124"/>
      <c r="AH29" s="125"/>
      <c r="AI29" s="117" t="str">
        <f>IF(AI28="","",IFS(AT29="A",Montagem!$E$130,AV29="T","Realizar a maior quantidade de repetições por "&amp;AN28&amp;" segundos | ",AV29="I",IF(AU29="U","Manter a posição por "&amp;AN28&amp;" segundos de um lado e trocar para o outro na sequência | ","Manter a posição por "&amp;AN28&amp;" segundos | "),AU29="A","Realizar alternadamente "&amp;AN28&amp;" repetições cada lado | ",AU29="U","Realizar "&amp;AN28&amp;" repetições de um lado e trocar para o outro na sequência | ",AT29="P",OFFSET(Biblioteca!$H$2,MATCH(AU28,Biblioteca!$A$3:$A$200,0),0),TRUE,"")&amp;IF(AV29="R","Ajuste a carga para que tenha "&amp;$K$2&amp;" repetições de reserva",""))</f>
        <v/>
      </c>
      <c r="AM29" s="118" t="str">
        <f>IF(AI28="","",IFS(AT29="H","Carga Sugerida: "&amp;ROUNDUP(AW28/2,0)&amp;" kg de cada lado (Total: "&amp;ROUNDUP(AW28/2,0)*2&amp;" kg)",AT29="C","Este exercício usa o Peso Corporal como carga",AT29="E","Este exercício usa a resistência da banda elástica como carga",AT29="O","Carga Sugerida: "&amp;INT(AW28)&amp;" kg",TRUE,""))</f>
        <v/>
      </c>
      <c r="AR29" s="66"/>
      <c r="AS29" s="126">
        <f>AS28</f>
        <v>1</v>
      </c>
      <c r="AT29" s="120" t="str">
        <f>LEFT(AW29)</f>
        <v/>
      </c>
      <c r="AU29" s="121" t="str">
        <f>MID(AW29,2,1)</f>
        <v/>
      </c>
      <c r="AV29" s="122" t="str">
        <f>RIGHT(AW29)</f>
        <v/>
      </c>
      <c r="AW29" s="123" t="str">
        <f>IF(AU28="","",OFFSET(Biblioteca!$I$2,MATCH(AU28,Biblioteca!$A$3:$A$200,0),0))</f>
        <v/>
      </c>
      <c r="AX29" s="124"/>
      <c r="AY29" s="125"/>
      <c r="AZ29" s="117" t="str">
        <f>IF(AZ28="","",IFS(BK29="A",Montagem!$F$130,BM29="T","Realizar a maior quantidade de repetições por "&amp;BE28&amp;" segundos | ",BM29="I",IF(BL29="U","Manter a posição por "&amp;BE28&amp;" segundos de um lado e trocar para o outro na sequência | ","Manter a posição por "&amp;BE28&amp;" segundos | "),BL29="A","Realizar alternadamente "&amp;BE28&amp;" repetições cada lado | ",BL29="U","Realizar "&amp;BE28&amp;" repetições de um lado e trocar para o outro na sequência | ",BK29="P",OFFSET(Biblioteca!$H$2,MATCH(BL28,Biblioteca!$A$3:$A$200,0),0),TRUE,"")&amp;IF(BM29="R","Ajuste a carga para que tenha "&amp;$K$2&amp;" repetições de reserva",""))</f>
        <v>Ajuste a carga para que tenha 0 a 2 repetições de reserva</v>
      </c>
      <c r="BD29" s="118" t="str">
        <f>IF(AZ28="","",IFS(BK29="H","Carga Sugerida: "&amp;ROUNDUP(BN28/2,0)&amp;" kg de cada lado (Total: "&amp;ROUNDUP(BN28/2,0)*2&amp;" kg)",BK29="C","Este exercício usa o Peso Corporal como carga",BK29="E","Este exercício usa a resistência da banda elástica como carga",BK29="O","Carga Sugerida: "&amp;INT(BN28)&amp;" kg",TRUE,""))</f>
        <v>Carga Sugerida: 11 kg</v>
      </c>
      <c r="BI29" s="66"/>
      <c r="BJ29" s="126">
        <f>BJ28</f>
        <v>1</v>
      </c>
      <c r="BK29" s="120" t="str">
        <f>LEFT(BN29)</f>
        <v>O</v>
      </c>
      <c r="BL29" s="121" t="str">
        <f>MID(BN29,2,1)</f>
        <v>O</v>
      </c>
      <c r="BM29" s="122" t="str">
        <f>RIGHT(BN29)</f>
        <v>R</v>
      </c>
      <c r="BN29" s="123" t="str">
        <f>IF(BL28="","",OFFSET(Biblioteca!$I$2,MATCH(BL28,Biblioteca!$A$3:$A$200,0),0))</f>
        <v>OOR</v>
      </c>
      <c r="BO29" s="124"/>
      <c r="BP29" s="125"/>
      <c r="BQ29" s="117" t="str">
        <f>IF(BQ28="","",IFS(CB29="A",Montagem!$G$130,CD29="T","Realizar a maior quantidade de repetições por "&amp;BV28&amp;" segundos | ",CD29="I",IF(CC29="U","Manter a posição por "&amp;BV28&amp;" segundos de um lado e trocar para o outro na sequência | ","Manter a posição por "&amp;BV28&amp;" segundos | "),CC29="A","Realizar alternadamente "&amp;BV28&amp;" repetições cada lado | ",CC29="U","Realizar "&amp;BV28&amp;" repetições de um lado e trocar para o outro na sequência | ",CB29="P",OFFSET(Biblioteca!$H$2,MATCH(CC28,Biblioteca!$A$3:$A$200,0),0),TRUE,"")&amp;IF(CD29="R","Ajuste a carga para que tenha "&amp;$K$2&amp;" repetições de reserva",""))</f>
        <v>Ajuste a carga para que tenha 0 a 2 repetições de reserva</v>
      </c>
      <c r="BU29" s="118" t="str">
        <f>IF(BQ28="","",IFS(CB29="H","Carga Sugerida: "&amp;ROUNDUP(CE28/2,0)&amp;" kg de cada lado (Total: "&amp;ROUNDUP(CE28/2,0)*2&amp;" kg)",CB29="C","Este exercício usa o Peso Corporal como carga",CB29="E","Este exercício usa a resistência da banda elástica como carga",CB29="O","Carga Sugerida: "&amp;INT(CE28)&amp;" kg",TRUE,""))</f>
        <v>Carga Sugerida: 78 kg</v>
      </c>
      <c r="BZ29" s="66"/>
      <c r="CA29" s="126">
        <f>CA28</f>
        <v>2</v>
      </c>
      <c r="CB29" s="120" t="str">
        <f>LEFT(CE29)</f>
        <v>O</v>
      </c>
      <c r="CC29" s="121" t="str">
        <f>MID(CE29,2,1)</f>
        <v>O</v>
      </c>
      <c r="CD29" s="122" t="str">
        <f>RIGHT(CE29)</f>
        <v>R</v>
      </c>
      <c r="CE29" s="123" t="str">
        <f>IF(CC28="","",OFFSET(Biblioteca!$I$2,MATCH(CC28,Biblioteca!$A$3:$A$200,0),0))</f>
        <v>OOR</v>
      </c>
      <c r="CF29" s="124"/>
      <c r="CG29" s="125"/>
      <c r="CH29" s="117" t="str">
        <f>IF(CH28="","",IFS(CS29="A",Montagem!$H$130,CU29="T","Realizar a maior quantidade de repetições por "&amp;CM28&amp;" segundos | ",CU29="I",IF(CT29="U","Manter a posição por "&amp;CM28&amp;" segundos de um lado e trocar para o outro na sequência | ","Manter a posição por "&amp;CM28&amp;" segundos | "),CT29="A","Realizar alternadamente "&amp;CM28&amp;" repetições cada lado | ",CT29="U","Realizar "&amp;CM28&amp;" repetições de um lado e trocar para o outro na sequência | ",CS29="P",OFFSET(Biblioteca!$H$2,MATCH(CT28,Biblioteca!$A$3:$A$200,0),0),TRUE,"")&amp;IF(CU29="R","Ajuste a carga para que tenha "&amp;$K$2&amp;" repetições de reserva",""))</f>
        <v/>
      </c>
      <c r="CL29" s="118" t="str">
        <f>IF(CH28="","",IFS(CS29="H","Carga Sugerida: "&amp;ROUNDUP(CV28/2,0)&amp;" kg de cada lado (Total: "&amp;ROUNDUP(CV28/2,0)*2&amp;" kg)",CS29="C","Este exercício usa o Peso Corporal como carga",CS29="E","Este exercício usa a resistência da banda elástica como carga",CS29="O","Carga Sugerida: "&amp;INT(CV28)&amp;" kg",TRUE,""))</f>
        <v/>
      </c>
      <c r="CQ29" s="66"/>
      <c r="CR29" s="126">
        <f>CR28</f>
        <v>1</v>
      </c>
      <c r="CS29" s="120" t="str">
        <f>LEFT(CV29)</f>
        <v/>
      </c>
      <c r="CT29" s="121" t="str">
        <f>MID(CV29,2,1)</f>
        <v/>
      </c>
      <c r="CU29" s="122" t="str">
        <f>RIGHT(CV29)</f>
        <v/>
      </c>
      <c r="CV29" s="123" t="str">
        <f>IF(CT28="","",OFFSET(Biblioteca!$I$2,MATCH(CT28,Biblioteca!$A$3:$A$200,0),0))</f>
        <v/>
      </c>
      <c r="CW29" s="124"/>
      <c r="CX29" s="125"/>
      <c r="CY29" s="117" t="str">
        <f>IF(CY28="","",IFS(DJ29="A",Montagem!$I$130,DL29="T","Realizar a maior quantidade de repetições por "&amp;DD28&amp;" segundos | ",DL29="I",IF(DK29="U","Manter a posição por "&amp;DD28&amp;" segundos de um lado e trocar para o outro na sequência | ","Manter a posição por "&amp;DD28&amp;" segundos | "),DK29="A","Realizar alternadamente "&amp;DD28&amp;" repetições cada lado | ",DK29="U","Realizar "&amp;DD28&amp;" repetições de um lado e trocar para o outro na sequência | ",DJ29="P",OFFSET(Biblioteca!$H$2,MATCH(DK28,Biblioteca!$A$3:$A$200,0),0),TRUE,"")&amp;IF(DL29="R","Ajuste a carga para que tenha "&amp;$K$2&amp;" repetições de reserva",""))</f>
        <v/>
      </c>
      <c r="DC29" s="118" t="str">
        <f>IF(CY28="","",IFS(DJ29="H","Carga Sugerida: "&amp;ROUNDUP(DM28/2,0)&amp;" kg de cada lado (Total: "&amp;ROUNDUP(DM28/2,0)*2&amp;" kg)",DJ29="C","Este exercício usa o Peso Corporal como carga",DJ29="E","Este exercício usa a resistência da banda elástica como carga",DJ29="O","Carga Sugerida: "&amp;INT(DM28)&amp;" kg",TRUE,""))</f>
        <v/>
      </c>
      <c r="DH29" s="66"/>
      <c r="DI29" s="126">
        <f>DI28</f>
        <v>1</v>
      </c>
      <c r="DJ29" s="120" t="str">
        <f>LEFT(DM29)</f>
        <v/>
      </c>
      <c r="DK29" s="121" t="str">
        <f>MID(DM29,2,1)</f>
        <v/>
      </c>
      <c r="DL29" s="122" t="str">
        <f>RIGHT(DM29)</f>
        <v/>
      </c>
      <c r="DM29" s="123" t="str">
        <f>IF(DK28="","",OFFSET(Biblioteca!$I$2,MATCH(DK28,Biblioteca!$A$3:$A$200,0),0))</f>
        <v/>
      </c>
      <c r="DN29" s="124"/>
      <c r="DO29" s="125"/>
      <c r="DP29" s="57"/>
      <c r="DQ29" s="56"/>
      <c r="DR29" s="56"/>
      <c r="DS29" s="56"/>
      <c r="DT29" s="56"/>
      <c r="DU29" s="56"/>
      <c r="DV29" s="56"/>
      <c r="DW29" s="56"/>
      <c r="DX29" s="56"/>
      <c r="DY29" s="56"/>
    </row>
    <row r="30">
      <c r="A30" s="102" t="str">
        <f>IF(M30="","",HYPERLINK(OFFSET(Biblioteca!$B$2,MATCH(M30,Biblioteca!$A$3:$A$200,0),0),M30))</f>
        <v>Remada Frontal Máquina</v>
      </c>
      <c r="D30" s="103" t="str">
        <f>Montagem!Q123</f>
        <v>Bi-SET</v>
      </c>
      <c r="E30" s="104">
        <f>Montagem!R123</f>
        <v>3</v>
      </c>
      <c r="F30" s="104">
        <f>Montagem!S123</f>
        <v>10</v>
      </c>
      <c r="G30" s="104">
        <f>Montagem!T123</f>
        <v>60</v>
      </c>
      <c r="H30" s="104">
        <f>Montagem!U123</f>
        <v>1</v>
      </c>
      <c r="I30" s="127">
        <f>Montagem!V123</f>
        <v>2</v>
      </c>
      <c r="J30" s="105">
        <v>68.0</v>
      </c>
      <c r="K30" s="106">
        <f>Montagem!K123</f>
        <v>2</v>
      </c>
      <c r="L30" s="111">
        <f>Montagem!W123</f>
        <v>68</v>
      </c>
      <c r="M30" s="111" t="str">
        <f>Montagem!L123</f>
        <v>Remada Frontal Máquina</v>
      </c>
      <c r="N30" s="111" t="str">
        <f>Montagem!X123</f>
        <v/>
      </c>
      <c r="O30" s="106">
        <f>IF(N30="",L30,N30)</f>
        <v>68</v>
      </c>
      <c r="P30" s="106">
        <f>IF(L31="C",'Dados de Base'!$D$5*0.1,IF(L31="E",5,IF(J30="",O30,J30)))</f>
        <v>68</v>
      </c>
      <c r="Q30" s="108"/>
      <c r="R30" s="102" t="str">
        <f>IF(AD30="","",HYPERLINK(OFFSET(Biblioteca!$B$2,MATCH(AD30,Biblioteca!$A$3:$A$200,0),0),AD30))</f>
        <v>Stiff</v>
      </c>
      <c r="U30" s="109" t="str">
        <f>Montagem!AF123</f>
        <v>Bi-SET</v>
      </c>
      <c r="V30" s="110">
        <f>Montagem!AG123</f>
        <v>3</v>
      </c>
      <c r="W30" s="110">
        <f>Montagem!AH123</f>
        <v>10</v>
      </c>
      <c r="X30" s="110">
        <f>Montagem!AI123</f>
        <v>60</v>
      </c>
      <c r="Y30" s="110">
        <f>Montagem!AJ123</f>
        <v>1</v>
      </c>
      <c r="Z30" s="110">
        <f>Montagem!AK123</f>
        <v>2</v>
      </c>
      <c r="AA30" s="113">
        <v>100.0</v>
      </c>
      <c r="AB30" s="111">
        <f>Montagem!Z123</f>
        <v>2</v>
      </c>
      <c r="AC30" s="111">
        <f>Montagem!AL123</f>
        <v>100</v>
      </c>
      <c r="AD30" s="129" t="str">
        <f>Montagem!AA123</f>
        <v>Stiff</v>
      </c>
      <c r="AE30" s="111" t="str">
        <f>Montagem!AM123</f>
        <v/>
      </c>
      <c r="AF30" s="106">
        <f>IF(AE30="",AC30,AE30)</f>
        <v>100</v>
      </c>
      <c r="AG30" s="106">
        <f>IF(AC31="C",'Dados de Base'!$D$5*0.1,IF(AC31="E",5,IF(AA30="",AF30,AA30)))</f>
        <v>100</v>
      </c>
      <c r="AH30" s="108"/>
      <c r="AI30" s="115" t="str">
        <f>IF(AU30="","",HYPERLINK(OFFSET(Biblioteca!$B$2,MATCH(AU30,Biblioteca!$A$3:$A$200,0),0),AU30))</f>
        <v/>
      </c>
      <c r="AL30" s="109" t="str">
        <f>Montagem!AU123</f>
        <v/>
      </c>
      <c r="AM30" s="110" t="str">
        <f>Montagem!AV123</f>
        <v/>
      </c>
      <c r="AN30" s="110" t="str">
        <f>Montagem!AW123</f>
        <v/>
      </c>
      <c r="AO30" s="110" t="str">
        <f>Montagem!AX123</f>
        <v/>
      </c>
      <c r="AP30" s="110" t="str">
        <f>Montagem!AY123</f>
        <v/>
      </c>
      <c r="AQ30" s="110" t="str">
        <f>Montagem!AZ123</f>
        <v/>
      </c>
      <c r="AR30" s="114"/>
      <c r="AS30" s="111">
        <f>Montagem!AO123</f>
        <v>1</v>
      </c>
      <c r="AT30" s="111" t="str">
        <f>Montagem!BA123</f>
        <v/>
      </c>
      <c r="AU30" s="111" t="str">
        <f>Montagem!AP123</f>
        <v/>
      </c>
      <c r="AV30" s="111" t="str">
        <f>Montagem!BB123</f>
        <v/>
      </c>
      <c r="AW30" s="106" t="str">
        <f>IF(AV30="",AT30,AV30)</f>
        <v/>
      </c>
      <c r="AX30" s="106" t="str">
        <f>IF(AT31="C",'Dados de Base'!$D$5*0.1,IF(AT31="E",5,IF(AR30="",AW30,AR30)))</f>
        <v/>
      </c>
      <c r="AY30" s="108"/>
      <c r="AZ30" s="102" t="str">
        <f>IF(BL30="","",HYPERLINK(OFFSET(Biblioteca!$B$2,MATCH(BL30,Biblioteca!$A$3:$A$200,0),0),BL30))</f>
        <v>Remada Alta na Polia</v>
      </c>
      <c r="BC30" s="109" t="str">
        <f>Montagem!BJ123</f>
        <v>Bi-SET</v>
      </c>
      <c r="BD30" s="110">
        <f>Montagem!BK123</f>
        <v>3</v>
      </c>
      <c r="BE30" s="110">
        <f>Montagem!BL123</f>
        <v>10</v>
      </c>
      <c r="BF30" s="110" t="str">
        <f>Montagem!BM123</f>
        <v/>
      </c>
      <c r="BG30" s="110">
        <f>Montagem!BN123</f>
        <v>1</v>
      </c>
      <c r="BH30" s="110">
        <f>Montagem!BO123</f>
        <v>2</v>
      </c>
      <c r="BI30" s="113">
        <v>8.0</v>
      </c>
      <c r="BJ30" s="111">
        <f>Montagem!BD123</f>
        <v>2</v>
      </c>
      <c r="BK30" s="111">
        <f>Montagem!BP123</f>
        <v>8.081938266</v>
      </c>
      <c r="BL30" s="111" t="str">
        <f>Montagem!BE123</f>
        <v>Remada Alta na Polia</v>
      </c>
      <c r="BM30" s="111" t="str">
        <f>Montagem!BQ123</f>
        <v/>
      </c>
      <c r="BN30" s="106">
        <f>IF(BM30="",BK30,BM30)</f>
        <v>8.081938266</v>
      </c>
      <c r="BO30" s="106">
        <f>IF(BK31="C",'Dados de Base'!$D$5*0.1,IF(BK31="E",5,IF(BI30="",BN30,BI30)))</f>
        <v>8</v>
      </c>
      <c r="BP30" s="108"/>
      <c r="BQ30" s="102" t="str">
        <f>IF(CC30="","",HYPERLINK(OFFSET(Biblioteca!$B$2,MATCH(CC30,Biblioteca!$A$3:$A$200,0),0),CC30))</f>
        <v>Banco Sóleo</v>
      </c>
      <c r="BT30" s="109" t="str">
        <f>Montagem!BY123</f>
        <v>Bi-SET</v>
      </c>
      <c r="BU30" s="110">
        <f>Montagem!BZ123</f>
        <v>3</v>
      </c>
      <c r="BV30" s="110">
        <f>Montagem!CA123</f>
        <v>10</v>
      </c>
      <c r="BW30" s="110">
        <f>Montagem!CB123</f>
        <v>60</v>
      </c>
      <c r="BX30" s="110">
        <f>Montagem!CC123</f>
        <v>1</v>
      </c>
      <c r="BY30" s="110">
        <f>Montagem!CD123</f>
        <v>2</v>
      </c>
      <c r="BZ30" s="113">
        <v>78.0</v>
      </c>
      <c r="CA30" s="111">
        <f>Montagem!BS123</f>
        <v>2</v>
      </c>
      <c r="CB30" s="111">
        <f>Montagem!CE123</f>
        <v>78</v>
      </c>
      <c r="CC30" s="111" t="str">
        <f>Montagem!BT123</f>
        <v>Banco Sóleo</v>
      </c>
      <c r="CD30" s="111" t="str">
        <f>Montagem!CF123</f>
        <v/>
      </c>
      <c r="CE30" s="106">
        <f>IF(CD30="",CB30,CD30)</f>
        <v>78</v>
      </c>
      <c r="CF30" s="106">
        <f>IF(CB31="C",'Dados de Base'!$D$5*0.1,IF(CB31="E",5,IF(BZ30="",CE30,BZ30)))</f>
        <v>78</v>
      </c>
      <c r="CG30" s="108"/>
      <c r="CH30" s="115" t="str">
        <f>IF(CT30="","",HYPERLINK(OFFSET(Biblioteca!$B$2,MATCH(CT30,Biblioteca!$A$3:$A$200,0),0),CT30))</f>
        <v/>
      </c>
      <c r="CK30" s="109" t="str">
        <f>Montagem!CN123</f>
        <v/>
      </c>
      <c r="CL30" s="110" t="str">
        <f>Montagem!CO123</f>
        <v/>
      </c>
      <c r="CM30" s="110" t="str">
        <f>Montagem!CP123</f>
        <v/>
      </c>
      <c r="CN30" s="110" t="str">
        <f>Montagem!CQ123</f>
        <v/>
      </c>
      <c r="CO30" s="110" t="str">
        <f>Montagem!CR123</f>
        <v/>
      </c>
      <c r="CP30" s="110" t="str">
        <f>Montagem!CS123</f>
        <v/>
      </c>
      <c r="CQ30" s="114"/>
      <c r="CR30" s="111">
        <f>Montagem!CH123</f>
        <v>1</v>
      </c>
      <c r="CS30" s="111" t="str">
        <f>Montagem!CT123</f>
        <v/>
      </c>
      <c r="CT30" s="111" t="str">
        <f>Montagem!CI123</f>
        <v/>
      </c>
      <c r="CU30" s="111" t="str">
        <f>Montagem!CU123</f>
        <v/>
      </c>
      <c r="CV30" s="106" t="str">
        <f>IF(CU30="",CS30,CU30)</f>
        <v/>
      </c>
      <c r="CW30" s="106" t="str">
        <f>IF(CS31="C",'Dados de Base'!$D$5*0.1,IF(CS31="E",5,IF(CQ30="",CV30,CQ30)))</f>
        <v/>
      </c>
      <c r="CX30" s="108"/>
      <c r="CY30" s="115" t="str">
        <f>IF(DK30="","",HYPERLINK(OFFSET(Biblioteca!$B$2,MATCH(DK30,Biblioteca!$A$3:$A$200,0),0),DK30))</f>
        <v/>
      </c>
      <c r="DB30" s="130" t="str">
        <f>Montagem!DC123</f>
        <v/>
      </c>
      <c r="DC30" s="131" t="str">
        <f>Montagem!DD123</f>
        <v/>
      </c>
      <c r="DD30" s="131" t="str">
        <f>Montagem!DE123</f>
        <v/>
      </c>
      <c r="DE30" s="131" t="str">
        <f>Montagem!DF123</f>
        <v/>
      </c>
      <c r="DF30" s="131" t="str">
        <f>Montagem!DG123</f>
        <v/>
      </c>
      <c r="DG30" s="131" t="str">
        <f>Montagem!DH123</f>
        <v/>
      </c>
      <c r="DH30" s="114"/>
      <c r="DI30" s="111">
        <f>Montagem!CW123</f>
        <v>1</v>
      </c>
      <c r="DJ30" s="111" t="str">
        <f>Montagem!DI123</f>
        <v/>
      </c>
      <c r="DK30" s="111" t="str">
        <f>Montagem!CX123</f>
        <v/>
      </c>
      <c r="DL30" s="111" t="str">
        <f>Montagem!DJ123</f>
        <v/>
      </c>
      <c r="DM30" s="106" t="str">
        <f>IF(DL30="",DJ30,DL30)</f>
        <v/>
      </c>
      <c r="DN30" s="106" t="str">
        <f>IF(DJ31="C",'Dados de Base'!$D$5*0.1,IF(DJ31="E",5,IF(DH30="",DM30,DH30)))</f>
        <v/>
      </c>
      <c r="DO30" s="108"/>
      <c r="DP30" s="106"/>
      <c r="DQ30" s="106"/>
      <c r="DR30" s="106"/>
      <c r="DS30" s="106"/>
      <c r="DT30" s="106"/>
      <c r="DU30" s="106"/>
      <c r="DV30" s="106"/>
      <c r="DW30" s="106"/>
      <c r="DX30" s="106"/>
      <c r="DY30" s="106"/>
    </row>
    <row r="31">
      <c r="A31" s="117" t="str">
        <f>IF(A30="","",IFS(L31="A",Montagem!$C$130,N31="T","Realizar a maior quantidade de repetições por "&amp;F30&amp;" segundos | ",N31="I",IF(M31="U","Manter a posição por "&amp;F30&amp;" segundos de um lado e trocar para o outro na sequência | ","Manter a posição por "&amp;F30&amp;" segundos | "),M31="A","Realizar alternadamente "&amp;F30&amp;" repetições cada lado | ",M31="U","Realizar "&amp;F30&amp;" repetições de um lado e trocar para o outro na sequência | ",L31="P",OFFSET(Biblioteca!$H$2,MATCH(M30,Biblioteca!$A$3:$A$200,0),0),TRUE,"")&amp;IF(N31="R","Ajuste a carga para que tenha "&amp;$K$2&amp;" repetições de reserva",""))</f>
        <v>Ajuste a carga para que tenha 0 a 2 repetições de reserva</v>
      </c>
      <c r="E31" s="118" t="str">
        <f>IF(A30="","",IFS(L31="H","Carga Sugerida: "&amp;ROUNDUP(O30/2,0)&amp;" kg de cada lado (Total: "&amp;ROUNDUP(O30/2,0)*2&amp;" kg)",L31="C","Este exercício usa o Peso Corporal como carga",L31="E","Este exercício usa a resistência da banda elástica como carga",L31="O","Carga Sugerida: "&amp;INT(O30)&amp;" kg",TRUE,""))</f>
        <v>Carga Sugerida: 68 kg</v>
      </c>
      <c r="J31" s="66"/>
      <c r="K31" s="126">
        <f>K30</f>
        <v>2</v>
      </c>
      <c r="L31" s="120" t="str">
        <f>LEFT(O31)</f>
        <v>O</v>
      </c>
      <c r="M31" s="121" t="str">
        <f>MID(O31,2,1)</f>
        <v>O</v>
      </c>
      <c r="N31" s="122" t="str">
        <f>RIGHT(O31)</f>
        <v>R</v>
      </c>
      <c r="O31" s="123" t="str">
        <f>IF(M30="","",OFFSET(Biblioteca!$I$2,MATCH(M30,Biblioteca!$A$3:$A$200,0),0))</f>
        <v>OOR</v>
      </c>
      <c r="P31" s="124"/>
      <c r="Q31" s="125"/>
      <c r="R31" s="117" t="str">
        <f>IF(R30="","",IFS(AC31="A",Montagem!$D$130,AE31="T","Realizar a maior quantidade de repetições por "&amp;W30&amp;" segundos | ",AE31="I",IF(AD31="U","Manter a posição por "&amp;W30&amp;" segundos de um lado e trocar para o outro na sequência | ","Manter a posição por "&amp;W30&amp;" segundos | "),AD31="A","Realizar alternadamente "&amp;W30&amp;" repetições cada lado | ",AD31="U","Realizar "&amp;W30&amp;" repetições de um lado e trocar para o outro na sequência | ",AC31="P",OFFSET(Biblioteca!$H$2,MATCH(AD30,Biblioteca!$A$3:$A$200,0),0),TRUE,"")&amp;IF(AE31="R","Ajuste a carga para que tenha "&amp;$K$2&amp;" repetições de reserva",""))</f>
        <v>Ajuste a carga para que tenha 0 a 2 repetições de reserva</v>
      </c>
      <c r="V31" s="118" t="str">
        <f>IF(R30="","",IFS(AC31="H","Carga Sugerida: "&amp;ROUNDUP(AF30/2,0)&amp;" kg de cada lado (Total: "&amp;ROUNDUP(AF30/2,0)*2&amp;" kg)",AC31="C","Este exercício usa o Peso Corporal como carga",AC31="E","Este exercício usa a resistência da banda elástica como carga",AC31="O","Carga Sugerida: "&amp;INT(AF30)&amp;" kg",TRUE,""))</f>
        <v>Carga Sugerida: 100 kg</v>
      </c>
      <c r="AA31" s="66"/>
      <c r="AB31" s="126">
        <f>AB30</f>
        <v>2</v>
      </c>
      <c r="AC31" s="120" t="str">
        <f>LEFT(AF31)</f>
        <v>O</v>
      </c>
      <c r="AD31" s="121" t="str">
        <f>MID(AF31,2,1)</f>
        <v>O</v>
      </c>
      <c r="AE31" s="122" t="str">
        <f>RIGHT(AF31)</f>
        <v>R</v>
      </c>
      <c r="AF31" s="123" t="str">
        <f>IF(AD30="","",OFFSET(Biblioteca!$I$2,MATCH(AD30,Biblioteca!$A$3:$A$200,0),0))</f>
        <v>OOR</v>
      </c>
      <c r="AG31" s="124"/>
      <c r="AH31" s="125"/>
      <c r="AI31" s="117" t="str">
        <f>IF(AI30="","",IFS(AT31="A",Montagem!$E$130,AV31="T","Realizar a maior quantidade de repetições por "&amp;AN30&amp;" segundos | ",AV31="I",IF(AU31="U","Manter a posição por "&amp;AN30&amp;" segundos de um lado e trocar para o outro na sequência | ","Manter a posição por "&amp;AN30&amp;" segundos | "),AU31="A","Realizar alternadamente "&amp;AN30&amp;" repetições cada lado | ",AU31="U","Realizar "&amp;AN30&amp;" repetições de um lado e trocar para o outro na sequência | ",AT31="P",OFFSET(Biblioteca!$H$2,MATCH(AU30,Biblioteca!$A$3:$A$200,0),0),TRUE,"")&amp;IF(AV31="R","Ajuste a carga para que tenha "&amp;$K$2&amp;" repetições de reserva",""))</f>
        <v/>
      </c>
      <c r="AM31" s="118" t="str">
        <f>IF(AI30="","",IFS(AT31="H","Carga Sugerida: "&amp;ROUNDUP(AW30/2,0)&amp;" kg de cada lado (Total: "&amp;ROUNDUP(AW30/2,0)*2&amp;" kg)",AT31="C","Este exercício usa o Peso Corporal como carga",AT31="E","Este exercício usa a resistência da banda elástica como carga",AT31="O","Carga Sugerida: "&amp;INT(AW30)&amp;" kg",TRUE,""))</f>
        <v/>
      </c>
      <c r="AR31" s="66"/>
      <c r="AS31" s="126">
        <f>AS30</f>
        <v>1</v>
      </c>
      <c r="AT31" s="120" t="str">
        <f>LEFT(AW31)</f>
        <v/>
      </c>
      <c r="AU31" s="121" t="str">
        <f>MID(AW31,2,1)</f>
        <v/>
      </c>
      <c r="AV31" s="122" t="str">
        <f>RIGHT(AW31)</f>
        <v/>
      </c>
      <c r="AW31" s="123" t="str">
        <f>IF(AU30="","",OFFSET(Biblioteca!$I$2,MATCH(AU30,Biblioteca!$A$3:$A$200,0),0))</f>
        <v/>
      </c>
      <c r="AX31" s="124"/>
      <c r="AY31" s="125"/>
      <c r="AZ31" s="117" t="str">
        <f>IF(AZ30="","",IFS(BK31="A",Montagem!$F$130,BM31="T","Realizar a maior quantidade de repetições por "&amp;BE30&amp;" segundos | ",BM31="I",IF(BL31="U","Manter a posição por "&amp;BE30&amp;" segundos de um lado e trocar para o outro na sequência | ","Manter a posição por "&amp;BE30&amp;" segundos | "),BL31="A","Realizar alternadamente "&amp;BE30&amp;" repetições cada lado | ",BL31="U","Realizar "&amp;BE30&amp;" repetições de um lado e trocar para o outro na sequência | ",BK31="P",OFFSET(Biblioteca!$H$2,MATCH(BL30,Biblioteca!$A$3:$A$200,0),0),TRUE,"")&amp;IF(BM31="R","Ajuste a carga para que tenha "&amp;$K$2&amp;" repetições de reserva",""))</f>
        <v>Ajuste a carga para que tenha 0 a 2 repetições de reserva</v>
      </c>
      <c r="BD31" s="118" t="str">
        <f>IF(AZ30="","",IFS(BK31="H","Carga Sugerida: "&amp;ROUNDUP(BN30/2,0)&amp;" kg de cada lado (Total: "&amp;ROUNDUP(BN30/2,0)*2&amp;" kg)",BK31="C","Este exercício usa o Peso Corporal como carga",BK31="E","Este exercício usa a resistência da banda elástica como carga",BK31="O","Carga Sugerida: "&amp;INT(BN30)&amp;" kg",TRUE,""))</f>
        <v>Carga Sugerida: 8 kg</v>
      </c>
      <c r="BI31" s="66"/>
      <c r="BJ31" s="126">
        <f>BJ30</f>
        <v>2</v>
      </c>
      <c r="BK31" s="120" t="str">
        <f>LEFT(BN31)</f>
        <v>O</v>
      </c>
      <c r="BL31" s="121" t="str">
        <f>MID(BN31,2,1)</f>
        <v>O</v>
      </c>
      <c r="BM31" s="122" t="str">
        <f>RIGHT(BN31)</f>
        <v>R</v>
      </c>
      <c r="BN31" s="123" t="str">
        <f>IF(BL30="","",OFFSET(Biblioteca!$I$2,MATCH(BL30,Biblioteca!$A$3:$A$200,0),0))</f>
        <v>OOR</v>
      </c>
      <c r="BO31" s="124"/>
      <c r="BP31" s="125"/>
      <c r="BQ31" s="117" t="str">
        <f>IF(BQ30="","",IFS(CB31="A",Montagem!$G$130,CD31="T","Realizar a maior quantidade de repetições por "&amp;BV30&amp;" segundos | ",CD31="I",IF(CC31="U","Manter a posição por "&amp;BV30&amp;" segundos de um lado e trocar para o outro na sequência | ","Manter a posição por "&amp;BV30&amp;" segundos | "),CC31="A","Realizar alternadamente "&amp;BV30&amp;" repetições cada lado | ",CC31="U","Realizar "&amp;BV30&amp;" repetições de um lado e trocar para o outro na sequência | ",CB31="P",OFFSET(Biblioteca!$H$2,MATCH(CC30,Biblioteca!$A$3:$A$200,0),0),TRUE,"")&amp;IF(CD31="R","Ajuste a carga para que tenha "&amp;$K$2&amp;" repetições de reserva",""))</f>
        <v>Ajuste a carga para que tenha 0 a 2 repetições de reserva</v>
      </c>
      <c r="BU31" s="118" t="str">
        <f>IF(BQ30="","",IFS(CB31="H","Carga Sugerida: "&amp;ROUNDUP(CE30/2,0)&amp;" kg de cada lado (Total: "&amp;ROUNDUP(CE30/2,0)*2&amp;" kg)",CB31="C","Este exercício usa o Peso Corporal como carga",CB31="E","Este exercício usa a resistência da banda elástica como carga",CB31="O","Carga Sugerida: "&amp;INT(CE30)&amp;" kg",TRUE,""))</f>
        <v>Carga Sugerida: 78 kg</v>
      </c>
      <c r="BZ31" s="66"/>
      <c r="CA31" s="126">
        <f>CA30</f>
        <v>2</v>
      </c>
      <c r="CB31" s="120" t="str">
        <f>LEFT(CE31)</f>
        <v>O</v>
      </c>
      <c r="CC31" s="121" t="str">
        <f>MID(CE31,2,1)</f>
        <v>O</v>
      </c>
      <c r="CD31" s="122" t="str">
        <f>RIGHT(CE31)</f>
        <v>R</v>
      </c>
      <c r="CE31" s="123" t="str">
        <f>IF(CC30="","",OFFSET(Biblioteca!$I$2,MATCH(CC30,Biblioteca!$A$3:$A$200,0),0))</f>
        <v>OOR</v>
      </c>
      <c r="CF31" s="124"/>
      <c r="CG31" s="125"/>
      <c r="CH31" s="117" t="str">
        <f>IF(CH30="","",IFS(CS31="A",Montagem!$H$130,CU31="T","Realizar a maior quantidade de repetições por "&amp;CM30&amp;" segundos | ",CU31="I",IF(CT31="U","Manter a posição por "&amp;CM30&amp;" segundos de um lado e trocar para o outro na sequência | ","Manter a posição por "&amp;CM30&amp;" segundos | "),CT31="A","Realizar alternadamente "&amp;CM30&amp;" repetições cada lado | ",CT31="U","Realizar "&amp;CM30&amp;" repetições de um lado e trocar para o outro na sequência | ",CS31="P",OFFSET(Biblioteca!$H$2,MATCH(CT30,Biblioteca!$A$3:$A$200,0),0),TRUE,"")&amp;IF(CU31="R","Ajuste a carga para que tenha "&amp;$K$2&amp;" repetições de reserva",""))</f>
        <v/>
      </c>
      <c r="CL31" s="118" t="str">
        <f>IF(CH30="","",IFS(CS31="H","Carga Sugerida: "&amp;ROUNDUP(CV30/2,0)&amp;" kg de cada lado (Total: "&amp;ROUNDUP(CV30/2,0)*2&amp;" kg)",CS31="C","Este exercício usa o Peso Corporal como carga",CS31="E","Este exercício usa a resistência da banda elástica como carga",CS31="O","Carga Sugerida: "&amp;INT(CV30)&amp;" kg",TRUE,""))</f>
        <v/>
      </c>
      <c r="CQ31" s="66"/>
      <c r="CR31" s="126">
        <f>CR30</f>
        <v>1</v>
      </c>
      <c r="CS31" s="120" t="str">
        <f>LEFT(CV31)</f>
        <v/>
      </c>
      <c r="CT31" s="121" t="str">
        <f>MID(CV31,2,1)</f>
        <v/>
      </c>
      <c r="CU31" s="122" t="str">
        <f>RIGHT(CV31)</f>
        <v/>
      </c>
      <c r="CV31" s="123" t="str">
        <f>IF(CT30="","",OFFSET(Biblioteca!$I$2,MATCH(CT30,Biblioteca!$A$3:$A$200,0),0))</f>
        <v/>
      </c>
      <c r="CW31" s="124"/>
      <c r="CX31" s="125"/>
      <c r="CY31" s="117" t="str">
        <f>IF(CY30="","",IFS(DJ31="A",Montagem!$I$130,DL31="T","Realizar a maior quantidade de repetições por "&amp;DD30&amp;" segundos | ",DL31="I",IF(DK31="U","Manter a posição por "&amp;DD30&amp;" segundos de um lado e trocar para o outro na sequência | ","Manter a posição por "&amp;DD30&amp;" segundos | "),DK31="A","Realizar alternadamente "&amp;DD30&amp;" repetições cada lado | ",DK31="U","Realizar "&amp;DD30&amp;" repetições de um lado e trocar para o outro na sequência | ",DJ31="P",OFFSET(Biblioteca!$H$2,MATCH(DK30,Biblioteca!$A$3:$A$200,0),0),TRUE,"")&amp;IF(DL31="R","Ajuste a carga para que tenha "&amp;$K$2&amp;" repetições de reserva",""))</f>
        <v/>
      </c>
      <c r="DC31" s="118" t="str">
        <f>IF(CY30="","",IFS(DJ31="H","Carga Sugerida: "&amp;ROUNDUP(DM30/2,0)&amp;" kg de cada lado (Total: "&amp;ROUNDUP(DM30/2,0)*2&amp;" kg)",DJ31="C","Este exercício usa o Peso Corporal como carga",DJ31="E","Este exercício usa a resistência da banda elástica como carga",DJ31="O","Carga Sugerida: "&amp;INT(DM30)&amp;" kg",TRUE,""))</f>
        <v/>
      </c>
      <c r="DH31" s="66"/>
      <c r="DI31" s="126">
        <f>DI30</f>
        <v>1</v>
      </c>
      <c r="DJ31" s="120" t="str">
        <f>LEFT(DM31)</f>
        <v/>
      </c>
      <c r="DK31" s="121" t="str">
        <f>MID(DM31,2,1)</f>
        <v/>
      </c>
      <c r="DL31" s="122" t="str">
        <f>RIGHT(DM31)</f>
        <v/>
      </c>
      <c r="DM31" s="123" t="str">
        <f>IF(DK30="","",OFFSET(Biblioteca!$I$2,MATCH(DK30,Biblioteca!$A$3:$A$200,0),0))</f>
        <v/>
      </c>
      <c r="DN31" s="124"/>
      <c r="DO31" s="125"/>
      <c r="DP31" s="57"/>
      <c r="DQ31" s="56"/>
      <c r="DR31" s="56"/>
      <c r="DS31" s="56"/>
      <c r="DT31" s="56"/>
      <c r="DU31" s="56"/>
      <c r="DV31" s="56"/>
      <c r="DW31" s="56"/>
      <c r="DX31" s="56"/>
      <c r="DY31" s="56"/>
    </row>
    <row r="32">
      <c r="A32" s="115" t="str">
        <f>IF(M32="","",HYPERLINK(OFFSET(Biblioteca!$B$2,MATCH(M32,Biblioteca!$A$3:$A$200,0),0),M32))</f>
        <v>Esteira</v>
      </c>
      <c r="D32" s="103" t="str">
        <f>Montagem!Q124</f>
        <v/>
      </c>
      <c r="E32" s="104" t="str">
        <f>Montagem!R124</f>
        <v/>
      </c>
      <c r="F32" s="104" t="str">
        <f>Montagem!S124</f>
        <v/>
      </c>
      <c r="G32" s="104">
        <f>Montagem!T124</f>
        <v>60</v>
      </c>
      <c r="H32" s="104" t="str">
        <f>Montagem!U124</f>
        <v/>
      </c>
      <c r="I32" s="132" t="str">
        <f>Montagem!V124</f>
        <v/>
      </c>
      <c r="J32" s="105">
        <v>10.0</v>
      </c>
      <c r="K32" s="106">
        <f>Montagem!K124</f>
        <v>3</v>
      </c>
      <c r="L32" s="111">
        <f>Montagem!W124</f>
        <v>0</v>
      </c>
      <c r="M32" s="111" t="str">
        <f>Montagem!L124</f>
        <v>Esteira</v>
      </c>
      <c r="N32" s="111" t="str">
        <f>Montagem!X124</f>
        <v/>
      </c>
      <c r="O32" s="106">
        <f>IF(N32="",L32,N32)</f>
        <v>0</v>
      </c>
      <c r="P32" s="106">
        <f>IF(L33="C",'Dados de Base'!$D$5*0.1,IF(L33="E",5,IF(J32="",O32,J32)))</f>
        <v>10</v>
      </c>
      <c r="Q32" s="108"/>
      <c r="R32" s="115" t="str">
        <f>IF(AD32="","",HYPERLINK(OFFSET(Biblioteca!$B$2,MATCH(AD32,Biblioteca!$A$3:$A$200,0),0),AD32))</f>
        <v>Bicicleta</v>
      </c>
      <c r="U32" s="109" t="str">
        <f>Montagem!AF124</f>
        <v/>
      </c>
      <c r="V32" s="110" t="str">
        <f>Montagem!AG124</f>
        <v/>
      </c>
      <c r="W32" s="110" t="str">
        <f>Montagem!AH124</f>
        <v/>
      </c>
      <c r="X32" s="110">
        <f>Montagem!AI124</f>
        <v>60</v>
      </c>
      <c r="Y32" s="110" t="str">
        <f>Montagem!AJ124</f>
        <v/>
      </c>
      <c r="Z32" s="110" t="str">
        <f>Montagem!AK124</f>
        <v/>
      </c>
      <c r="AA32" s="113">
        <v>10.0</v>
      </c>
      <c r="AB32" s="111">
        <f>Montagem!Z124</f>
        <v>3</v>
      </c>
      <c r="AC32" s="111">
        <f>Montagem!AL124</f>
        <v>0</v>
      </c>
      <c r="AD32" s="129" t="str">
        <f>Montagem!AA124</f>
        <v>Bicicleta</v>
      </c>
      <c r="AE32" s="111" t="str">
        <f>Montagem!AM124</f>
        <v/>
      </c>
      <c r="AF32" s="106">
        <f>IF(AE32="",AC32,AE32)</f>
        <v>0</v>
      </c>
      <c r="AG32" s="106">
        <f>IF(AC33="C",'Dados de Base'!$D$5*0.1,IF(AC33="E",5,IF(AA32="",AF32,AA32)))</f>
        <v>10</v>
      </c>
      <c r="AH32" s="108"/>
      <c r="AI32" s="115" t="str">
        <f>IF(AU32="","",HYPERLINK(OFFSET(Biblioteca!$B$2,MATCH(AU32,Biblioteca!$A$3:$A$200,0),0),AU32))</f>
        <v/>
      </c>
      <c r="AL32" s="109" t="str">
        <f>Montagem!AU124</f>
        <v/>
      </c>
      <c r="AM32" s="110" t="str">
        <f>Montagem!AV124</f>
        <v/>
      </c>
      <c r="AN32" s="110" t="str">
        <f>Montagem!AW124</f>
        <v/>
      </c>
      <c r="AO32" s="110" t="str">
        <f>Montagem!AX124</f>
        <v/>
      </c>
      <c r="AP32" s="110" t="str">
        <f>Montagem!AY124</f>
        <v/>
      </c>
      <c r="AQ32" s="110" t="str">
        <f>Montagem!AZ124</f>
        <v/>
      </c>
      <c r="AR32" s="114"/>
      <c r="AS32" s="111">
        <f>Montagem!AO124</f>
        <v>1</v>
      </c>
      <c r="AT32" s="111" t="str">
        <f>Montagem!BA124</f>
        <v/>
      </c>
      <c r="AU32" s="111" t="str">
        <f>Montagem!AP124</f>
        <v/>
      </c>
      <c r="AV32" s="111" t="str">
        <f>Montagem!BB124</f>
        <v/>
      </c>
      <c r="AW32" s="106" t="str">
        <f>IF(AV32="",AT32,AV32)</f>
        <v/>
      </c>
      <c r="AX32" s="106" t="str">
        <f>IF(AT33="C",'Dados de Base'!$D$5*0.1,IF(AT33="E",5,IF(AR32="",AW32,AR32)))</f>
        <v/>
      </c>
      <c r="AY32" s="108"/>
      <c r="AZ32" s="102" t="str">
        <f>IF(BL32="","",HYPERLINK(OFFSET(Biblioteca!$B$2,MATCH(BL32,Biblioteca!$A$3:$A$200,0),0),BL32))</f>
        <v>Arremesso</v>
      </c>
      <c r="BC32" s="109" t="str">
        <f>Montagem!BJ124</f>
        <v>Bi-SET</v>
      </c>
      <c r="BD32" s="110">
        <f>Montagem!BK124</f>
        <v>3</v>
      </c>
      <c r="BE32" s="110">
        <f>Montagem!BL124</f>
        <v>10</v>
      </c>
      <c r="BF32" s="110">
        <f>Montagem!BM124</f>
        <v>60</v>
      </c>
      <c r="BG32" s="110">
        <f>Montagem!BN124</f>
        <v>1</v>
      </c>
      <c r="BH32" s="110">
        <f>Montagem!BO124</f>
        <v>2</v>
      </c>
      <c r="BI32" s="113">
        <v>7.0</v>
      </c>
      <c r="BJ32" s="111">
        <f>Montagem!BD124</f>
        <v>2</v>
      </c>
      <c r="BK32" s="111">
        <f>Montagem!BP124</f>
        <v>7.053645343</v>
      </c>
      <c r="BL32" s="111" t="str">
        <f>Montagem!BE124</f>
        <v>Arremesso</v>
      </c>
      <c r="BM32" s="111" t="str">
        <f>Montagem!BQ124</f>
        <v/>
      </c>
      <c r="BN32" s="106">
        <f>IF(BM32="",BK32,BM32)</f>
        <v>7.053645343</v>
      </c>
      <c r="BO32" s="106">
        <f>IF(BK33="C",'Dados de Base'!$D$5*0.1,IF(BK33="E",5,IF(BI32="",BN32,BI32)))</f>
        <v>7</v>
      </c>
      <c r="BP32" s="108"/>
      <c r="BQ32" s="102" t="str">
        <f>IF(CC32="","",HYPERLINK(OFFSET(Biblioteca!$B$2,MATCH(CC32,Biblioteca!$A$3:$A$200,0),0),CC32))</f>
        <v>Flexão Nórdica</v>
      </c>
      <c r="BT32" s="109" t="str">
        <f>Montagem!BY124</f>
        <v>Bi-SET</v>
      </c>
      <c r="BU32" s="110">
        <f>Montagem!BZ124</f>
        <v>3</v>
      </c>
      <c r="BV32" s="110">
        <f>Montagem!CA124</f>
        <v>8</v>
      </c>
      <c r="BW32" s="110" t="str">
        <f>Montagem!CB124</f>
        <v/>
      </c>
      <c r="BX32" s="110">
        <f>Montagem!CC124</f>
        <v>1</v>
      </c>
      <c r="BY32" s="110">
        <f>Montagem!CD124</f>
        <v>2</v>
      </c>
      <c r="BZ32" s="113">
        <v>10.0</v>
      </c>
      <c r="CA32" s="111">
        <f>Montagem!BS124</f>
        <v>3</v>
      </c>
      <c r="CB32" s="111">
        <f>Montagem!CE124</f>
        <v>0</v>
      </c>
      <c r="CC32" s="111" t="str">
        <f>Montagem!BT124</f>
        <v>Flexão Nórdica</v>
      </c>
      <c r="CD32" s="111" t="str">
        <f>Montagem!CF124</f>
        <v/>
      </c>
      <c r="CE32" s="106">
        <f>IF(CD32="",CB32,CD32)</f>
        <v>0</v>
      </c>
      <c r="CF32" s="106">
        <f>IF(CB33="C",'Dados de Base'!$D$5*0.1,IF(CB33="E",5,IF(BZ32="",CE32,BZ32)))</f>
        <v>6.3</v>
      </c>
      <c r="CG32" s="108"/>
      <c r="CH32" s="115" t="str">
        <f>IF(CT32="","",HYPERLINK(OFFSET(Biblioteca!$B$2,MATCH(CT32,Biblioteca!$A$3:$A$200,0),0),CT32))</f>
        <v/>
      </c>
      <c r="CK32" s="109" t="str">
        <f>Montagem!CN124</f>
        <v/>
      </c>
      <c r="CL32" s="110" t="str">
        <f>Montagem!CO124</f>
        <v/>
      </c>
      <c r="CM32" s="110" t="str">
        <f>Montagem!CP124</f>
        <v/>
      </c>
      <c r="CN32" s="110" t="str">
        <f>Montagem!CQ124</f>
        <v/>
      </c>
      <c r="CO32" s="110" t="str">
        <f>Montagem!CR124</f>
        <v/>
      </c>
      <c r="CP32" s="110" t="str">
        <f>Montagem!CS124</f>
        <v/>
      </c>
      <c r="CQ32" s="114"/>
      <c r="CR32" s="111">
        <f>Montagem!CH124</f>
        <v>1</v>
      </c>
      <c r="CS32" s="111" t="str">
        <f>Montagem!CT124</f>
        <v/>
      </c>
      <c r="CT32" s="111" t="str">
        <f>Montagem!CI124</f>
        <v/>
      </c>
      <c r="CU32" s="111" t="str">
        <f>Montagem!CU124</f>
        <v/>
      </c>
      <c r="CV32" s="106" t="str">
        <f>IF(CU32="",CS32,CU32)</f>
        <v/>
      </c>
      <c r="CW32" s="106" t="str">
        <f>IF(CS33="C",'Dados de Base'!$D$5*0.1,IF(CS33="E",5,IF(CQ32="",CV32,CQ32)))</f>
        <v/>
      </c>
      <c r="CX32" s="108"/>
      <c r="CY32" s="115" t="str">
        <f>IF(DK32="","",HYPERLINK(OFFSET(Biblioteca!$B$2,MATCH(DK32,Biblioteca!$A$3:$A$200,0),0),DK32))</f>
        <v/>
      </c>
      <c r="DB32" s="130" t="str">
        <f>Montagem!DC124</f>
        <v/>
      </c>
      <c r="DC32" s="131" t="str">
        <f>Montagem!DD124</f>
        <v/>
      </c>
      <c r="DD32" s="131" t="str">
        <f>Montagem!DE124</f>
        <v/>
      </c>
      <c r="DE32" s="131" t="str">
        <f>Montagem!DF124</f>
        <v/>
      </c>
      <c r="DF32" s="131" t="str">
        <f>Montagem!DG124</f>
        <v/>
      </c>
      <c r="DG32" s="131" t="str">
        <f>Montagem!DH124</f>
        <v/>
      </c>
      <c r="DH32" s="114"/>
      <c r="DI32" s="111">
        <f>Montagem!CW124</f>
        <v>1</v>
      </c>
      <c r="DJ32" s="111" t="str">
        <f>Montagem!DI124</f>
        <v/>
      </c>
      <c r="DK32" s="111" t="str">
        <f>Montagem!CX124</f>
        <v/>
      </c>
      <c r="DL32" s="111" t="str">
        <f>Montagem!DJ124</f>
        <v/>
      </c>
      <c r="DM32" s="106" t="str">
        <f>IF(DL32="",DJ32,DL32)</f>
        <v/>
      </c>
      <c r="DN32" s="106" t="str">
        <f>IF(DJ33="C",'Dados de Base'!$D$5*0.1,IF(DJ33="E",5,IF(DH32="",DM32,DH32)))</f>
        <v/>
      </c>
      <c r="DO32" s="108"/>
      <c r="DP32" s="106"/>
      <c r="DQ32" s="106"/>
      <c r="DR32" s="106"/>
      <c r="DS32" s="106"/>
      <c r="DT32" s="106"/>
      <c r="DU32" s="106"/>
      <c r="DV32" s="106"/>
      <c r="DW32" s="106"/>
      <c r="DX32" s="106"/>
      <c r="DY32" s="106"/>
    </row>
    <row r="33">
      <c r="A33" s="117" t="str">
        <f>IF(A32="","",IFS(L33="A",Montagem!$C$130,N33="T","Realizar a maior quantidade de repetições por "&amp;F32&amp;" segundos | ",N33="I",IF(M33="U","Manter a posição por "&amp;F32&amp;" segundos de um lado e trocar para o outro na sequência | ","Manter a posição por "&amp;F32&amp;" segundos | "),M33="A","Realizar alternadamente "&amp;F32&amp;" repetições cada lado | ",M33="U","Realizar "&amp;F32&amp;" repetições de um lado e trocar para o outro na sequência | ",L33="P",OFFSET(Biblioteca!$H$2,MATCH(M32,Biblioteca!$A$3:$A$200,0),0),TRUE,"")&amp;IF(N33="R","Ajuste a carga para que tenha "&amp;$K$2&amp;" repetições de reserva",""))</f>
        <v>1x (3m a 142,95 - 148,3 bpm-&gt; 15,4 - 16,4km/h)</v>
      </c>
      <c r="E33" s="118" t="str">
        <f>IF(A32="","",IFS(L33="H","Carga Sugerida: "&amp;ROUNDUP(O32/2,0)&amp;" kg de cada lado (Total: "&amp;ROUNDUP(O32/2,0)*2&amp;" kg)",L33="C","Este exercício usa o Peso Corporal como carga",L33="E","Este exercício usa a resistência da banda elástica como carga",L33="O","Carga Sugerida: "&amp;INT(O32)&amp;" kg",TRUE,""))</f>
        <v/>
      </c>
      <c r="J33" s="66"/>
      <c r="K33" s="126">
        <f>K32</f>
        <v>3</v>
      </c>
      <c r="L33" s="120" t="str">
        <f>LEFT(O33)</f>
        <v>A</v>
      </c>
      <c r="M33" s="121" t="str">
        <f>MID(O33,2,1)</f>
        <v>-</v>
      </c>
      <c r="N33" s="122" t="str">
        <f>RIGHT(O33)</f>
        <v>-</v>
      </c>
      <c r="O33" s="123" t="str">
        <f>IF(M32="","",OFFSET(Biblioteca!$I$2,MATCH(M32,Biblioteca!$A$3:$A$200,0),0))</f>
        <v>A--</v>
      </c>
      <c r="P33" s="124"/>
      <c r="Q33" s="125"/>
      <c r="R33" s="117" t="str">
        <f>IF(R32="","",IFS(AC33="A",Montagem!$D$130,AE33="T","Realizar a maior quantidade de repetições por "&amp;W32&amp;" segundos | ",AE33="I",IF(AD33="U","Manter a posição por "&amp;W32&amp;" segundos de um lado e trocar para o outro na sequência | ","Manter a posição por "&amp;W32&amp;" segundos | "),AD33="A","Realizar alternadamente "&amp;W32&amp;" repetições cada lado | ",AD33="U","Realizar "&amp;W32&amp;" repetições de um lado e trocar para o outro na sequência | ",AC33="P",OFFSET(Biblioteca!$H$2,MATCH(AD32,Biblioteca!$A$3:$A$200,0),0),TRUE,"")&amp;IF(AE33="R","Ajuste a carga para que tenha "&amp;$K$2&amp;" repetições de reserva",""))</f>
        <v>1x (3m all out)</v>
      </c>
      <c r="V33" s="118" t="str">
        <f>IF(R32="","",IFS(AC33="H","Carga Sugerida: "&amp;ROUNDUP(AF32/2,0)&amp;" kg de cada lado (Total: "&amp;ROUNDUP(AF32/2,0)*2&amp;" kg)",AC33="C","Este exercício usa o Peso Corporal como carga",AC33="E","Este exercício usa a resistência da banda elástica como carga",AC33="O","Carga Sugerida: "&amp;INT(AF32)&amp;" kg",TRUE,""))</f>
        <v/>
      </c>
      <c r="AA33" s="66"/>
      <c r="AB33" s="126">
        <f>AB32</f>
        <v>3</v>
      </c>
      <c r="AC33" s="120" t="str">
        <f>LEFT(AF33)</f>
        <v>A</v>
      </c>
      <c r="AD33" s="121" t="str">
        <f>MID(AF33,2,1)</f>
        <v>-</v>
      </c>
      <c r="AE33" s="122" t="str">
        <f>RIGHT(AF33)</f>
        <v>-</v>
      </c>
      <c r="AF33" s="123" t="str">
        <f>IF(AD32="","",OFFSET(Biblioteca!$I$2,MATCH(AD32,Biblioteca!$A$3:$A$200,0),0))</f>
        <v>A--</v>
      </c>
      <c r="AG33" s="124"/>
      <c r="AH33" s="125"/>
      <c r="AI33" s="117" t="str">
        <f>IF(AI32="","",IFS(AT33="A",Montagem!$E$130,AV33="T","Realizar a maior quantidade de repetições por "&amp;AN32&amp;" segundos | ",AV33="I",IF(AU33="U","Manter a posição por "&amp;AN32&amp;" segundos de um lado e trocar para o outro na sequência | ","Manter a posição por "&amp;AN32&amp;" segundos | "),AU33="A","Realizar alternadamente "&amp;AN32&amp;" repetições cada lado | ",AU33="U","Realizar "&amp;AN32&amp;" repetições de um lado e trocar para o outro na sequência | ",AT33="P",OFFSET(Biblioteca!$H$2,MATCH(AU32,Biblioteca!$A$3:$A$200,0),0),TRUE,"")&amp;IF(AV33="R","Ajuste a carga para que tenha "&amp;$K$2&amp;" repetições de reserva",""))</f>
        <v/>
      </c>
      <c r="AM33" s="118" t="str">
        <f>IF(AI32="","",IFS(AT33="H","Carga Sugerida: "&amp;ROUNDUP(AW32/2,0)&amp;" kg de cada lado (Total: "&amp;ROUNDUP(AW32/2,0)*2&amp;" kg)",AT33="C","Este exercício usa o Peso Corporal como carga",AT33="E","Este exercício usa a resistência da banda elástica como carga",AT33="O","Carga Sugerida: "&amp;INT(AW32)&amp;" kg",TRUE,""))</f>
        <v/>
      </c>
      <c r="AR33" s="66"/>
      <c r="AS33" s="126">
        <f>AS32</f>
        <v>1</v>
      </c>
      <c r="AT33" s="120" t="str">
        <f>LEFT(AW33)</f>
        <v/>
      </c>
      <c r="AU33" s="121" t="str">
        <f>MID(AW33,2,1)</f>
        <v/>
      </c>
      <c r="AV33" s="122" t="str">
        <f>RIGHT(AW33)</f>
        <v/>
      </c>
      <c r="AW33" s="123" t="str">
        <f>IF(AU32="","",OFFSET(Biblioteca!$I$2,MATCH(AU32,Biblioteca!$A$3:$A$200,0),0))</f>
        <v/>
      </c>
      <c r="AX33" s="124"/>
      <c r="AY33" s="125"/>
      <c r="AZ33" s="117" t="str">
        <f>IF(AZ32="","",IFS(BK33="A",Montagem!$F$130,BM33="T","Realizar a maior quantidade de repetições por "&amp;BE32&amp;" segundos | ",BM33="I",IF(BL33="U","Manter a posição por "&amp;BE32&amp;" segundos de um lado e trocar para o outro na sequência | ","Manter a posição por "&amp;BE32&amp;" segundos | "),BL33="A","Realizar alternadamente "&amp;BE32&amp;" repetições cada lado | ",BL33="U","Realizar "&amp;BE32&amp;" repetições de um lado e trocar para o outro na sequência | ",BK33="P",OFFSET(Biblioteca!$H$2,MATCH(BL32,Biblioteca!$A$3:$A$200,0),0),TRUE,"")&amp;IF(BM33="R","Ajuste a carga para que tenha "&amp;$K$2&amp;" repetições de reserva",""))</f>
        <v>Ajuste a carga para que tenha 0 a 2 repetições de reserva</v>
      </c>
      <c r="BD33" s="118" t="str">
        <f>IF(AZ32="","",IFS(BK33="H","Carga Sugerida: "&amp;ROUNDUP(BN32/2,0)&amp;" kg de cada lado (Total: "&amp;ROUNDUP(BN32/2,0)*2&amp;" kg)",BK33="C","Este exercício usa o Peso Corporal como carga",BK33="E","Este exercício usa a resistência da banda elástica como carga",BK33="O","Carga Sugerida: "&amp;INT(BN32)&amp;" kg",TRUE,""))</f>
        <v>Carga Sugerida: 7 kg</v>
      </c>
      <c r="BI33" s="66"/>
      <c r="BJ33" s="126">
        <f>BJ32</f>
        <v>2</v>
      </c>
      <c r="BK33" s="120" t="str">
        <f>LEFT(BN33)</f>
        <v>O</v>
      </c>
      <c r="BL33" s="121" t="str">
        <f>MID(BN33,2,1)</f>
        <v>O</v>
      </c>
      <c r="BM33" s="122" t="str">
        <f>RIGHT(BN33)</f>
        <v>R</v>
      </c>
      <c r="BN33" s="123" t="str">
        <f>IF(BL32="","",OFFSET(Biblioteca!$I$2,MATCH(BL32,Biblioteca!$A$3:$A$200,0),0))</f>
        <v>OOR</v>
      </c>
      <c r="BO33" s="124"/>
      <c r="BP33" s="125"/>
      <c r="BQ33" s="117" t="str">
        <f>IF(BQ32="","",IFS(CB33="A",Montagem!$G$130,CD33="T","Realizar a maior quantidade de repetições por "&amp;BV32&amp;" segundos | ",CD33="I",IF(CC33="U","Manter a posição por "&amp;BV32&amp;" segundos de um lado e trocar para o outro na sequência | ","Manter a posição por "&amp;BV32&amp;" segundos | "),CC33="A","Realizar alternadamente "&amp;BV32&amp;" repetições cada lado | ",CC33="U","Realizar "&amp;BV32&amp;" repetições de um lado e trocar para o outro na sequência | ",CB33="P",OFFSET(Biblioteca!$H$2,MATCH(CC32,Biblioteca!$A$3:$A$200,0),0),TRUE,"")&amp;IF(CD33="R","Ajuste a carga para que tenha "&amp;$K$2&amp;" repetições de reserva",""))</f>
        <v>Ajuste a carga para que tenha 0 a 2 repetições de reserva</v>
      </c>
      <c r="BU33" s="118" t="str">
        <f>IF(BQ32="","",IFS(CB33="H","Carga Sugerida: "&amp;ROUNDUP(CE32/2,0)&amp;" kg de cada lado (Total: "&amp;ROUNDUP(CE32/2,0)*2&amp;" kg)",CB33="C","Este exercício usa o Peso Corporal como carga",CB33="E","Este exercício usa a resistência da banda elástica como carga",CB33="O","Carga Sugerida: "&amp;INT(CE32)&amp;" kg",TRUE,""))</f>
        <v>Este exercício usa o Peso Corporal como carga</v>
      </c>
      <c r="BZ33" s="66"/>
      <c r="CA33" s="126">
        <f>CA32</f>
        <v>3</v>
      </c>
      <c r="CB33" s="120" t="str">
        <f>LEFT(CE33)</f>
        <v>C</v>
      </c>
      <c r="CC33" s="121" t="str">
        <f>MID(CE33,2,1)</f>
        <v>O</v>
      </c>
      <c r="CD33" s="122" t="str">
        <f>RIGHT(CE33)</f>
        <v>R</v>
      </c>
      <c r="CE33" s="123" t="str">
        <f>IF(CC32="","",OFFSET(Biblioteca!$I$2,MATCH(CC32,Biblioteca!$A$3:$A$200,0),0))</f>
        <v>COR</v>
      </c>
      <c r="CF33" s="124"/>
      <c r="CG33" s="125"/>
      <c r="CH33" s="117" t="str">
        <f>IF(CH32="","",IFS(CS33="A",Montagem!$H$130,CU33="T","Realizar a maior quantidade de repetições por "&amp;CM32&amp;" segundos | ",CU33="I",IF(CT33="U","Manter a posição por "&amp;CM32&amp;" segundos de um lado e trocar para o outro na sequência | ","Manter a posição por "&amp;CM32&amp;" segundos | "),CT33="A","Realizar alternadamente "&amp;CM32&amp;" repetições cada lado | ",CT33="U","Realizar "&amp;CM32&amp;" repetições de um lado e trocar para o outro na sequência | ",CS33="P",OFFSET(Biblioteca!$H$2,MATCH(CT32,Biblioteca!$A$3:$A$200,0),0),TRUE,"")&amp;IF(CU33="R","Ajuste a carga para que tenha "&amp;$K$2&amp;" repetições de reserva",""))</f>
        <v/>
      </c>
      <c r="CL33" s="118" t="str">
        <f>IF(CH32="","",IFS(CS33="H","Carga Sugerida: "&amp;ROUNDUP(CV32/2,0)&amp;" kg de cada lado (Total: "&amp;ROUNDUP(CV32/2,0)*2&amp;" kg)",CS33="C","Este exercício usa o Peso Corporal como carga",CS33="E","Este exercício usa a resistência da banda elástica como carga",CS33="O","Carga Sugerida: "&amp;INT(CV32)&amp;" kg",TRUE,""))</f>
        <v/>
      </c>
      <c r="CQ33" s="66"/>
      <c r="CR33" s="126">
        <f>CR32</f>
        <v>1</v>
      </c>
      <c r="CS33" s="120" t="str">
        <f>LEFT(CV33)</f>
        <v/>
      </c>
      <c r="CT33" s="121" t="str">
        <f>MID(CV33,2,1)</f>
        <v/>
      </c>
      <c r="CU33" s="122" t="str">
        <f>RIGHT(CV33)</f>
        <v/>
      </c>
      <c r="CV33" s="123" t="str">
        <f>IF(CT32="","",OFFSET(Biblioteca!$I$2,MATCH(CT32,Biblioteca!$A$3:$A$200,0),0))</f>
        <v/>
      </c>
      <c r="CW33" s="124"/>
      <c r="CX33" s="125"/>
      <c r="CY33" s="117" t="str">
        <f>IF(CY32="","",IFS(DJ33="A",Montagem!$I$130,DL33="T","Realizar a maior quantidade de repetições por "&amp;DD32&amp;" segundos | ",DL33="I",IF(DK33="U","Manter a posição por "&amp;DD32&amp;" segundos de um lado e trocar para o outro na sequência | ","Manter a posição por "&amp;DD32&amp;" segundos | "),DK33="A","Realizar alternadamente "&amp;DD32&amp;" repetições cada lado | ",DK33="U","Realizar "&amp;DD32&amp;" repetições de um lado e trocar para o outro na sequência | ",DJ33="P",OFFSET(Biblioteca!$H$2,MATCH(DK32,Biblioteca!$A$3:$A$200,0),0),TRUE,"")&amp;IF(DL33="R","Ajuste a carga para que tenha "&amp;$K$2&amp;" repetições de reserva",""))</f>
        <v/>
      </c>
      <c r="DC33" s="118" t="str">
        <f>IF(CY32="","",IFS(DJ33="H","Carga Sugerida: "&amp;ROUNDUP(DM32/2,0)&amp;" kg de cada lado (Total: "&amp;ROUNDUP(DM32/2,0)*2&amp;" kg)",DJ33="C","Este exercício usa o Peso Corporal como carga",DJ33="E","Este exercício usa a resistência da banda elástica como carga",DJ33="O","Carga Sugerida: "&amp;INT(DM32)&amp;" kg",TRUE,""))</f>
        <v/>
      </c>
      <c r="DH33" s="66"/>
      <c r="DI33" s="126">
        <f>DI32</f>
        <v>1</v>
      </c>
      <c r="DJ33" s="120" t="str">
        <f>LEFT(DM33)</f>
        <v/>
      </c>
      <c r="DK33" s="121" t="str">
        <f>MID(DM33,2,1)</f>
        <v/>
      </c>
      <c r="DL33" s="122" t="str">
        <f>RIGHT(DM33)</f>
        <v/>
      </c>
      <c r="DM33" s="123" t="str">
        <f>IF(DK32="","",OFFSET(Biblioteca!$I$2,MATCH(DK32,Biblioteca!$A$3:$A$200,0),0))</f>
        <v/>
      </c>
      <c r="DN33" s="124"/>
      <c r="DO33" s="125"/>
      <c r="DP33" s="57"/>
      <c r="DQ33" s="56"/>
      <c r="DR33" s="56"/>
      <c r="DS33" s="56"/>
      <c r="DT33" s="56"/>
      <c r="DU33" s="56"/>
      <c r="DV33" s="56"/>
      <c r="DW33" s="56"/>
      <c r="DX33" s="56"/>
      <c r="DY33" s="56"/>
    </row>
    <row r="34">
      <c r="A34" s="102" t="str">
        <f>IF(M34="","",HYPERLINK(OFFSET(Biblioteca!$B$2,MATCH(M34,Biblioteca!$A$3:$A$200,0),0),M34))</f>
        <v>Supino Inclinado</v>
      </c>
      <c r="D34" s="103" t="str">
        <f>Montagem!Q125</f>
        <v>Bi-SET</v>
      </c>
      <c r="E34" s="104">
        <f>Montagem!R125</f>
        <v>3</v>
      </c>
      <c r="F34" s="104">
        <f>Montagem!S125</f>
        <v>10</v>
      </c>
      <c r="G34" s="104" t="str">
        <f>Montagem!T125</f>
        <v/>
      </c>
      <c r="H34" s="104">
        <f>Montagem!U125</f>
        <v>1</v>
      </c>
      <c r="I34" s="132">
        <f>Montagem!V125</f>
        <v>2</v>
      </c>
      <c r="J34" s="105">
        <v>50.0</v>
      </c>
      <c r="K34" s="106">
        <f>Montagem!K125</f>
        <v>4</v>
      </c>
      <c r="L34" s="111">
        <f>Montagem!W125</f>
        <v>50</v>
      </c>
      <c r="M34" s="111" t="str">
        <f>Montagem!L125</f>
        <v>Supino Inclinado</v>
      </c>
      <c r="N34" s="111" t="str">
        <f>Montagem!X125</f>
        <v/>
      </c>
      <c r="O34" s="106">
        <f>IF(N34="",L34,N34)</f>
        <v>50</v>
      </c>
      <c r="P34" s="106">
        <f>IF(L35="C",'Dados de Base'!$D$5*0.1,IF(L35="E",5,IF(J34="",O34,J34)))</f>
        <v>50</v>
      </c>
      <c r="Q34" s="108"/>
      <c r="R34" s="102" t="str">
        <f>IF(AD34="","",HYPERLINK(OFFSET(Biblioteca!$B$2,MATCH(AD34,Biblioteca!$A$3:$A$200,0),0),AD34))</f>
        <v>Elevação Pélvica</v>
      </c>
      <c r="U34" s="109" t="str">
        <f>Montagem!AF125</f>
        <v>Bi-SET</v>
      </c>
      <c r="V34" s="110">
        <f>Montagem!AG125</f>
        <v>3</v>
      </c>
      <c r="W34" s="110">
        <f>Montagem!AH125</f>
        <v>10</v>
      </c>
      <c r="X34" s="110" t="str">
        <f>Montagem!AI125</f>
        <v/>
      </c>
      <c r="Y34" s="110">
        <f>Montagem!AJ125</f>
        <v>1</v>
      </c>
      <c r="Z34" s="110">
        <f>Montagem!AK125</f>
        <v>2</v>
      </c>
      <c r="AA34" s="113">
        <v>110.0</v>
      </c>
      <c r="AB34" s="111">
        <f>Montagem!Z125</f>
        <v>4</v>
      </c>
      <c r="AC34" s="111">
        <f>Montagem!AL125</f>
        <v>110.25</v>
      </c>
      <c r="AD34" s="129" t="str">
        <f>Montagem!AA125</f>
        <v>Elevação Pélvica</v>
      </c>
      <c r="AE34" s="111" t="str">
        <f>Montagem!AM125</f>
        <v/>
      </c>
      <c r="AF34" s="106">
        <f>IF(AE34="",AC34,AE34)</f>
        <v>110.25</v>
      </c>
      <c r="AG34" s="106">
        <f>IF(AC35="C",'Dados de Base'!$D$5*0.1,IF(AC35="E",5,IF(AA34="",AF34,AA34)))</f>
        <v>110</v>
      </c>
      <c r="AH34" s="108"/>
      <c r="AI34" s="115" t="str">
        <f>IF(AU34="","",HYPERLINK(OFFSET(Biblioteca!$B$2,MATCH(AU34,Biblioteca!$A$3:$A$200,0),0),AU34))</f>
        <v/>
      </c>
      <c r="AL34" s="109" t="str">
        <f>Montagem!AU125</f>
        <v/>
      </c>
      <c r="AM34" s="110" t="str">
        <f>Montagem!AV125</f>
        <v/>
      </c>
      <c r="AN34" s="110" t="str">
        <f>Montagem!AW125</f>
        <v/>
      </c>
      <c r="AO34" s="110" t="str">
        <f>Montagem!AX125</f>
        <v/>
      </c>
      <c r="AP34" s="110" t="str">
        <f>Montagem!AY125</f>
        <v/>
      </c>
      <c r="AQ34" s="110" t="str">
        <f>Montagem!AZ125</f>
        <v/>
      </c>
      <c r="AR34" s="114"/>
      <c r="AS34" s="111">
        <f>Montagem!AO125</f>
        <v>1</v>
      </c>
      <c r="AT34" s="111" t="str">
        <f>Montagem!BA125</f>
        <v/>
      </c>
      <c r="AU34" s="111" t="str">
        <f>Montagem!AP125</f>
        <v/>
      </c>
      <c r="AV34" s="111" t="str">
        <f>Montagem!BB125</f>
        <v/>
      </c>
      <c r="AW34" s="106" t="str">
        <f>IF(AV34="",AT34,AV34)</f>
        <v/>
      </c>
      <c r="AX34" s="106" t="str">
        <f>IF(AT35="C",'Dados de Base'!$D$5*0.1,IF(AT35="E",5,IF(AR34="",AW34,AR34)))</f>
        <v/>
      </c>
      <c r="AY34" s="108"/>
      <c r="AZ34" s="102" t="str">
        <f>IF(BL34="","",HYPERLINK(OFFSET(Biblioteca!$B$2,MATCH(BL34,Biblioteca!$A$3:$A$200,0),0),BL34))</f>
        <v>Lat PullDown</v>
      </c>
      <c r="BC34" s="109" t="str">
        <f>Montagem!BJ125</f>
        <v>Bi-SET</v>
      </c>
      <c r="BD34" s="110">
        <f>Montagem!BK125</f>
        <v>3</v>
      </c>
      <c r="BE34" s="110">
        <f>Montagem!BL125</f>
        <v>10</v>
      </c>
      <c r="BF34" s="110" t="str">
        <f>Montagem!BM125</f>
        <v/>
      </c>
      <c r="BG34" s="110">
        <f>Montagem!BN125</f>
        <v>1</v>
      </c>
      <c r="BH34" s="110">
        <f>Montagem!BO125</f>
        <v>2</v>
      </c>
      <c r="BI34" s="113">
        <v>8.0</v>
      </c>
      <c r="BJ34" s="111">
        <f>Montagem!BD125</f>
        <v>3</v>
      </c>
      <c r="BK34" s="111">
        <f>Montagem!BP125</f>
        <v>8.379</v>
      </c>
      <c r="BL34" s="111" t="str">
        <f>Montagem!BE125</f>
        <v>Lat PullDown</v>
      </c>
      <c r="BM34" s="111" t="str">
        <f>Montagem!BQ125</f>
        <v/>
      </c>
      <c r="BN34" s="106">
        <f>IF(BM34="",BK34,BM34)</f>
        <v>8.379</v>
      </c>
      <c r="BO34" s="106">
        <f>IF(BK35="C",'Dados de Base'!$D$5*0.1,IF(BK35="E",5,IF(BI34="",BN34,BI34)))</f>
        <v>8</v>
      </c>
      <c r="BP34" s="108"/>
      <c r="BQ34" s="102" t="str">
        <f>IF(CC34="","",HYPERLINK(OFFSET(Biblioteca!$B$2,MATCH(CC34,Biblioteca!$A$3:$A$200,0),0),CC34))</f>
        <v>Cadeira Extensora</v>
      </c>
      <c r="BT34" s="109" t="str">
        <f>Montagem!BY125</f>
        <v>Bi-SET</v>
      </c>
      <c r="BU34" s="110">
        <f>Montagem!BZ125</f>
        <v>3</v>
      </c>
      <c r="BV34" s="110">
        <f>Montagem!CA125</f>
        <v>10</v>
      </c>
      <c r="BW34" s="110">
        <f>Montagem!CB125</f>
        <v>60</v>
      </c>
      <c r="BX34" s="110">
        <f>Montagem!CC125</f>
        <v>1</v>
      </c>
      <c r="BY34" s="110">
        <f>Montagem!CD125</f>
        <v>2</v>
      </c>
      <c r="BZ34" s="113">
        <v>15.0</v>
      </c>
      <c r="CA34" s="111">
        <f>Montagem!BS125</f>
        <v>3</v>
      </c>
      <c r="CB34" s="111">
        <f>Montagem!CE125</f>
        <v>15.435</v>
      </c>
      <c r="CC34" s="111" t="str">
        <f>Montagem!BT125</f>
        <v>Cadeira Extensora</v>
      </c>
      <c r="CD34" s="111" t="str">
        <f>Montagem!CF125</f>
        <v/>
      </c>
      <c r="CE34" s="106">
        <f>IF(CD34="",CB34,CD34)</f>
        <v>15.435</v>
      </c>
      <c r="CF34" s="106">
        <f>IF(CB35="C",'Dados de Base'!$D$5*0.1,IF(CB35="E",5,IF(BZ34="",CE34,BZ34)))</f>
        <v>15</v>
      </c>
      <c r="CG34" s="108"/>
      <c r="CH34" s="115" t="str">
        <f>IF(CT34="","",HYPERLINK(OFFSET(Biblioteca!$B$2,MATCH(CT34,Biblioteca!$A$3:$A$200,0),0),CT34))</f>
        <v/>
      </c>
      <c r="CK34" s="109" t="str">
        <f>Montagem!CN125</f>
        <v/>
      </c>
      <c r="CL34" s="110" t="str">
        <f>Montagem!CO125</f>
        <v/>
      </c>
      <c r="CM34" s="110" t="str">
        <f>Montagem!CP125</f>
        <v/>
      </c>
      <c r="CN34" s="110" t="str">
        <f>Montagem!CQ125</f>
        <v/>
      </c>
      <c r="CO34" s="110" t="str">
        <f>Montagem!CR125</f>
        <v/>
      </c>
      <c r="CP34" s="110" t="str">
        <f>Montagem!CS125</f>
        <v/>
      </c>
      <c r="CQ34" s="114"/>
      <c r="CR34" s="111">
        <f>Montagem!CH125</f>
        <v>1</v>
      </c>
      <c r="CS34" s="111" t="str">
        <f>Montagem!CT125</f>
        <v/>
      </c>
      <c r="CT34" s="111" t="str">
        <f>Montagem!CI125</f>
        <v/>
      </c>
      <c r="CU34" s="111" t="str">
        <f>Montagem!CU125</f>
        <v/>
      </c>
      <c r="CV34" s="106" t="str">
        <f>IF(CU34="",CS34,CU34)</f>
        <v/>
      </c>
      <c r="CW34" s="106" t="str">
        <f>IF(CS35="C",'Dados de Base'!$D$5*0.1,IF(CS35="E",5,IF(CQ34="",CV34,CQ34)))</f>
        <v/>
      </c>
      <c r="CX34" s="108"/>
      <c r="CY34" s="115" t="str">
        <f>IF(DK34="","",HYPERLINK(OFFSET(Biblioteca!$B$2,MATCH(DK34,Biblioteca!$A$3:$A$200,0),0),DK34))</f>
        <v/>
      </c>
      <c r="DB34" s="130" t="str">
        <f>Montagem!DC125</f>
        <v/>
      </c>
      <c r="DC34" s="131" t="str">
        <f>Montagem!DD125</f>
        <v/>
      </c>
      <c r="DD34" s="131" t="str">
        <f>Montagem!DE125</f>
        <v/>
      </c>
      <c r="DE34" s="131" t="str">
        <f>Montagem!DF125</f>
        <v/>
      </c>
      <c r="DF34" s="131" t="str">
        <f>Montagem!DG125</f>
        <v/>
      </c>
      <c r="DG34" s="131" t="str">
        <f>Montagem!DH125</f>
        <v/>
      </c>
      <c r="DH34" s="114"/>
      <c r="DI34" s="111">
        <f>Montagem!CW125</f>
        <v>1</v>
      </c>
      <c r="DJ34" s="111" t="str">
        <f>Montagem!DI125</f>
        <v/>
      </c>
      <c r="DK34" s="111" t="str">
        <f>Montagem!CX125</f>
        <v/>
      </c>
      <c r="DL34" s="111" t="str">
        <f>Montagem!DJ125</f>
        <v/>
      </c>
      <c r="DM34" s="106" t="str">
        <f>IF(DL34="",DJ34,DL34)</f>
        <v/>
      </c>
      <c r="DN34" s="106" t="str">
        <f>IF(DJ35="C",'Dados de Base'!$D$5*0.1,IF(DJ35="E",5,IF(DH34="",DM34,DH34)))</f>
        <v/>
      </c>
      <c r="DO34" s="108"/>
      <c r="DP34" s="106"/>
      <c r="DQ34" s="106"/>
      <c r="DR34" s="106"/>
      <c r="DS34" s="106"/>
      <c r="DT34" s="106"/>
      <c r="DU34" s="106"/>
      <c r="DV34" s="106"/>
      <c r="DW34" s="106"/>
      <c r="DX34" s="106"/>
      <c r="DY34" s="106"/>
    </row>
    <row r="35">
      <c r="A35" s="117" t="str">
        <f>IF(A34="","",IFS(L35="A",Montagem!$C$130,N35="T","Realizar a maior quantidade de repetições por "&amp;F34&amp;" segundos | ",N35="I",IF(M35="U","Manter a posição por "&amp;F34&amp;" segundos de um lado e trocar para o outro na sequência | ","Manter a posição por "&amp;F34&amp;" segundos | "),M35="A","Realizar alternadamente "&amp;F34&amp;" repetições cada lado | ",M35="U","Realizar "&amp;F34&amp;" repetições de um lado e trocar para o outro na sequência | ",L35="P",OFFSET(Biblioteca!$H$2,MATCH(M34,Biblioteca!$A$3:$A$200,0),0),TRUE,"")&amp;IF(N35="R","Ajuste a carga para que tenha "&amp;$K$2&amp;" repetições de reserva",""))</f>
        <v>Ajuste a carga para que tenha 0 a 2 repetições de reserva</v>
      </c>
      <c r="E35" s="118" t="str">
        <f>IF(A34="","",IFS(L35="H","Carga Sugerida: "&amp;ROUNDUP(O34/2,0)&amp;" kg de cada lado (Total: "&amp;ROUNDUP(O34/2,0)*2&amp;" kg)",L35="C","Este exercício usa o Peso Corporal como carga",L35="E","Este exercício usa a resistência da banda elástica como carga",L35="O","Carga Sugerida: "&amp;INT(O34)&amp;" kg",TRUE,""))</f>
        <v>Carga Sugerida: 50 kg</v>
      </c>
      <c r="J35" s="66"/>
      <c r="K35" s="126">
        <f>K34</f>
        <v>4</v>
      </c>
      <c r="L35" s="120" t="str">
        <f>LEFT(O35)</f>
        <v>O</v>
      </c>
      <c r="M35" s="121" t="str">
        <f>MID(O35,2,1)</f>
        <v>O</v>
      </c>
      <c r="N35" s="122" t="str">
        <f>RIGHT(O35)</f>
        <v>R</v>
      </c>
      <c r="O35" s="123" t="str">
        <f>IF(M34="","",OFFSET(Biblioteca!$I$2,MATCH(M34,Biblioteca!$A$3:$A$200,0),0))</f>
        <v>OOR</v>
      </c>
      <c r="P35" s="124"/>
      <c r="Q35" s="125"/>
      <c r="R35" s="117" t="str">
        <f>IF(R34="","",IFS(AC35="A",Montagem!$D$130,AE35="T","Realizar a maior quantidade de repetições por "&amp;W34&amp;" segundos | ",AE35="I",IF(AD35="U","Manter a posição por "&amp;W34&amp;" segundos de um lado e trocar para o outro na sequência | ","Manter a posição por "&amp;W34&amp;" segundos | "),AD35="A","Realizar alternadamente "&amp;W34&amp;" repetições cada lado | ",AD35="U","Realizar "&amp;W34&amp;" repetições de um lado e trocar para o outro na sequência | ",AC35="P",OFFSET(Biblioteca!$H$2,MATCH(AD34,Biblioteca!$A$3:$A$200,0),0),TRUE,"")&amp;IF(AE35="R","Ajuste a carga para que tenha "&amp;$K$2&amp;" repetições de reserva",""))</f>
        <v>Ajuste a carga para que tenha 0 a 2 repetições de reserva</v>
      </c>
      <c r="V35" s="118" t="str">
        <f>IF(R34="","",IFS(AC35="H","Carga Sugerida: "&amp;ROUNDUP(AF34/2,0)&amp;" kg de cada lado (Total: "&amp;ROUNDUP(AF34/2,0)*2&amp;" kg)",AC35="C","Este exercício usa o Peso Corporal como carga",AC35="E","Este exercício usa a resistência da banda elástica como carga",AC35="O","Carga Sugerida: "&amp;INT(AF34)&amp;" kg",TRUE,""))</f>
        <v>Carga Sugerida: 110 kg</v>
      </c>
      <c r="AA35" s="66"/>
      <c r="AB35" s="126">
        <f>AB34</f>
        <v>4</v>
      </c>
      <c r="AC35" s="120" t="str">
        <f>LEFT(AF35)</f>
        <v>O</v>
      </c>
      <c r="AD35" s="121" t="str">
        <f>MID(AF35,2,1)</f>
        <v>O</v>
      </c>
      <c r="AE35" s="122" t="str">
        <f>RIGHT(AF35)</f>
        <v>R</v>
      </c>
      <c r="AF35" s="123" t="str">
        <f>IF(AD34="","",OFFSET(Biblioteca!$I$2,MATCH(AD34,Biblioteca!$A$3:$A$200,0),0))</f>
        <v>OOR</v>
      </c>
      <c r="AG35" s="124"/>
      <c r="AH35" s="125"/>
      <c r="AI35" s="117" t="str">
        <f>IF(AI34="","",IFS(AT35="A",Montagem!$E$130,AV35="T","Realizar a maior quantidade de repetições por "&amp;AN34&amp;" segundos | ",AV35="I",IF(AU35="U","Manter a posição por "&amp;AN34&amp;" segundos de um lado e trocar para o outro na sequência | ","Manter a posição por "&amp;AN34&amp;" segundos | "),AU35="A","Realizar alternadamente "&amp;AN34&amp;" repetições cada lado | ",AU35="U","Realizar "&amp;AN34&amp;" repetições de um lado e trocar para o outro na sequência | ",AT35="P",OFFSET(Biblioteca!$H$2,MATCH(AU34,Biblioteca!$A$3:$A$200,0),0),TRUE,"")&amp;IF(AV35="R","Ajuste a carga para que tenha "&amp;$K$2&amp;" repetições de reserva",""))</f>
        <v/>
      </c>
      <c r="AM35" s="118" t="str">
        <f>IF(AI34="","",IFS(AT35="H","Carga Sugerida: "&amp;ROUNDUP(AW34/2,0)&amp;" kg de cada lado (Total: "&amp;ROUNDUP(AW34/2,0)*2&amp;" kg)",AT35="C","Este exercício usa o Peso Corporal como carga",AT35="E","Este exercício usa a resistência da banda elástica como carga",AT35="O","Carga Sugerida: "&amp;INT(AW34)&amp;" kg",TRUE,""))</f>
        <v/>
      </c>
      <c r="AR35" s="66"/>
      <c r="AS35" s="126">
        <f>AS34</f>
        <v>1</v>
      </c>
      <c r="AT35" s="120" t="str">
        <f>LEFT(AW35)</f>
        <v/>
      </c>
      <c r="AU35" s="121" t="str">
        <f>MID(AW35,2,1)</f>
        <v/>
      </c>
      <c r="AV35" s="122" t="str">
        <f>RIGHT(AW35)</f>
        <v/>
      </c>
      <c r="AW35" s="123" t="str">
        <f>IF(AU34="","",OFFSET(Biblioteca!$I$2,MATCH(AU34,Biblioteca!$A$3:$A$200,0),0))</f>
        <v/>
      </c>
      <c r="AX35" s="124"/>
      <c r="AY35" s="125"/>
      <c r="AZ35" s="117" t="str">
        <f>IF(AZ34="","",IFS(BK35="A",Montagem!$F$130,BM35="T","Realizar a maior quantidade de repetições por "&amp;BE34&amp;" segundos | ",BM35="I",IF(BL35="U","Manter a posição por "&amp;BE34&amp;" segundos de um lado e trocar para o outro na sequência | ","Manter a posição por "&amp;BE34&amp;" segundos | "),BL35="A","Realizar alternadamente "&amp;BE34&amp;" repetições cada lado | ",BL35="U","Realizar "&amp;BE34&amp;" repetições de um lado e trocar para o outro na sequência | ",BK35="P",OFFSET(Biblioteca!$H$2,MATCH(BL34,Biblioteca!$A$3:$A$200,0),0),TRUE,"")&amp;IF(BM35="R","Ajuste a carga para que tenha "&amp;$K$2&amp;" repetições de reserva",""))</f>
        <v>Ajuste a carga para que tenha 0 a 2 repetições de reserva</v>
      </c>
      <c r="BD35" s="118" t="str">
        <f>IF(AZ34="","",IFS(BK35="H","Carga Sugerida: "&amp;ROUNDUP(BN34/2,0)&amp;" kg de cada lado (Total: "&amp;ROUNDUP(BN34/2,0)*2&amp;" kg)",BK35="C","Este exercício usa o Peso Corporal como carga",BK35="E","Este exercício usa a resistência da banda elástica como carga",BK35="O","Carga Sugerida: "&amp;INT(BN34)&amp;" kg",TRUE,""))</f>
        <v>Carga Sugerida: 8 kg</v>
      </c>
      <c r="BI35" s="66"/>
      <c r="BJ35" s="126">
        <f>BJ34</f>
        <v>3</v>
      </c>
      <c r="BK35" s="120" t="str">
        <f>LEFT(BN35)</f>
        <v>O</v>
      </c>
      <c r="BL35" s="121" t="str">
        <f>MID(BN35,2,1)</f>
        <v>O</v>
      </c>
      <c r="BM35" s="122" t="str">
        <f>RIGHT(BN35)</f>
        <v>R</v>
      </c>
      <c r="BN35" s="123" t="str">
        <f>IF(BL34="","",OFFSET(Biblioteca!$I$2,MATCH(BL34,Biblioteca!$A$3:$A$200,0),0))</f>
        <v>OOR</v>
      </c>
      <c r="BO35" s="124"/>
      <c r="BP35" s="125"/>
      <c r="BQ35" s="117" t="str">
        <f>IF(BQ34="","",IFS(CB35="A",Montagem!$G$130,CD35="T","Realizar a maior quantidade de repetições por "&amp;BV34&amp;" segundos | ",CD35="I",IF(CC35="U","Manter a posição por "&amp;BV34&amp;" segundos de um lado e trocar para o outro na sequência | ","Manter a posição por "&amp;BV34&amp;" segundos | "),CC35="A","Realizar alternadamente "&amp;BV34&amp;" repetições cada lado | ",CC35="U","Realizar "&amp;BV34&amp;" repetições de um lado e trocar para o outro na sequência | ",CB35="P",OFFSET(Biblioteca!$H$2,MATCH(CC34,Biblioteca!$A$3:$A$200,0),0),TRUE,"")&amp;IF(CD35="R","Ajuste a carga para que tenha "&amp;$K$2&amp;" repetições de reserva",""))</f>
        <v>Ajuste a carga para que tenha 0 a 2 repetições de reserva</v>
      </c>
      <c r="BU35" s="118" t="str">
        <f>IF(BQ34="","",IFS(CB35="H","Carga Sugerida: "&amp;ROUNDUP(CE34/2,0)&amp;" kg de cada lado (Total: "&amp;ROUNDUP(CE34/2,0)*2&amp;" kg)",CB35="C","Este exercício usa o Peso Corporal como carga",CB35="E","Este exercício usa a resistência da banda elástica como carga",CB35="O","Carga Sugerida: "&amp;INT(CE34)&amp;" kg",TRUE,""))</f>
        <v>Carga Sugerida: 15 kg</v>
      </c>
      <c r="BZ35" s="66"/>
      <c r="CA35" s="126">
        <f>CA34</f>
        <v>3</v>
      </c>
      <c r="CB35" s="120" t="str">
        <f>LEFT(CE35)</f>
        <v>O</v>
      </c>
      <c r="CC35" s="121" t="str">
        <f>MID(CE35,2,1)</f>
        <v>O</v>
      </c>
      <c r="CD35" s="122" t="str">
        <f>RIGHT(CE35)</f>
        <v>R</v>
      </c>
      <c r="CE35" s="123" t="str">
        <f>IF(CC34="","",OFFSET(Biblioteca!$I$2,MATCH(CC34,Biblioteca!$A$3:$A$200,0),0))</f>
        <v>OOR</v>
      </c>
      <c r="CF35" s="124"/>
      <c r="CG35" s="125"/>
      <c r="CH35" s="117" t="str">
        <f>IF(CH34="","",IFS(CS35="A",Montagem!$H$130,CU35="T","Realizar a maior quantidade de repetições por "&amp;CM34&amp;" segundos | ",CU35="I",IF(CT35="U","Manter a posição por "&amp;CM34&amp;" segundos de um lado e trocar para o outro na sequência | ","Manter a posição por "&amp;CM34&amp;" segundos | "),CT35="A","Realizar alternadamente "&amp;CM34&amp;" repetições cada lado | ",CT35="U","Realizar "&amp;CM34&amp;" repetições de um lado e trocar para o outro na sequência | ",CS35="P",OFFSET(Biblioteca!$H$2,MATCH(CT34,Biblioteca!$A$3:$A$200,0),0),TRUE,"")&amp;IF(CU35="R","Ajuste a carga para que tenha "&amp;$K$2&amp;" repetições de reserva",""))</f>
        <v/>
      </c>
      <c r="CL35" s="118" t="str">
        <f>IF(CH34="","",IFS(CS35="H","Carga Sugerida: "&amp;ROUNDUP(CV34/2,0)&amp;" kg de cada lado (Total: "&amp;ROUNDUP(CV34/2,0)*2&amp;" kg)",CS35="C","Este exercício usa o Peso Corporal como carga",CS35="E","Este exercício usa a resistência da banda elástica como carga",CS35="O","Carga Sugerida: "&amp;INT(CV34)&amp;" kg",TRUE,""))</f>
        <v/>
      </c>
      <c r="CQ35" s="66"/>
      <c r="CR35" s="126">
        <f>CR34</f>
        <v>1</v>
      </c>
      <c r="CS35" s="120" t="str">
        <f>LEFT(CV35)</f>
        <v/>
      </c>
      <c r="CT35" s="121" t="str">
        <f>MID(CV35,2,1)</f>
        <v/>
      </c>
      <c r="CU35" s="122" t="str">
        <f>RIGHT(CV35)</f>
        <v/>
      </c>
      <c r="CV35" s="123" t="str">
        <f>IF(CT34="","",OFFSET(Biblioteca!$I$2,MATCH(CT34,Biblioteca!$A$3:$A$200,0),0))</f>
        <v/>
      </c>
      <c r="CW35" s="124"/>
      <c r="CX35" s="125"/>
      <c r="CY35" s="117" t="str">
        <f>IF(CY34="","",IFS(DJ35="A",Montagem!$I$130,DL35="T","Realizar a maior quantidade de repetições por "&amp;DD34&amp;" segundos | ",DL35="I",IF(DK35="U","Manter a posição por "&amp;DD34&amp;" segundos de um lado e trocar para o outro na sequência | ","Manter a posição por "&amp;DD34&amp;" segundos | "),DK35="A","Realizar alternadamente "&amp;DD34&amp;" repetições cada lado | ",DK35="U","Realizar "&amp;DD34&amp;" repetições de um lado e trocar para o outro na sequência | ",DJ35="P",OFFSET(Biblioteca!$H$2,MATCH(DK34,Biblioteca!$A$3:$A$200,0),0),TRUE,"")&amp;IF(DL35="R","Ajuste a carga para que tenha "&amp;$K$2&amp;" repetições de reserva",""))</f>
        <v/>
      </c>
      <c r="DC35" s="118" t="str">
        <f>IF(CY34="","",IFS(DJ35="H","Carga Sugerida: "&amp;ROUNDUP(DM34/2,0)&amp;" kg de cada lado (Total: "&amp;ROUNDUP(DM34/2,0)*2&amp;" kg)",DJ35="C","Este exercício usa o Peso Corporal como carga",DJ35="E","Este exercício usa a resistência da banda elástica como carga",DJ35="O","Carga Sugerida: "&amp;INT(DM34)&amp;" kg",TRUE,""))</f>
        <v/>
      </c>
      <c r="DH35" s="66"/>
      <c r="DI35" s="126">
        <f>DI34</f>
        <v>1</v>
      </c>
      <c r="DJ35" s="120" t="str">
        <f>LEFT(DM35)</f>
        <v/>
      </c>
      <c r="DK35" s="121" t="str">
        <f>MID(DM35,2,1)</f>
        <v/>
      </c>
      <c r="DL35" s="122" t="str">
        <f>RIGHT(DM35)</f>
        <v/>
      </c>
      <c r="DM35" s="123" t="str">
        <f>IF(DK34="","",OFFSET(Biblioteca!$I$2,MATCH(DK34,Biblioteca!$A$3:$A$200,0),0))</f>
        <v/>
      </c>
      <c r="DN35" s="124"/>
      <c r="DO35" s="125"/>
      <c r="DP35" s="57"/>
      <c r="DQ35" s="56"/>
      <c r="DR35" s="56"/>
      <c r="DS35" s="56"/>
      <c r="DT35" s="56"/>
      <c r="DU35" s="56"/>
      <c r="DV35" s="56"/>
      <c r="DW35" s="56"/>
      <c r="DX35" s="56"/>
      <c r="DY35" s="56"/>
    </row>
    <row r="36">
      <c r="A36" s="102" t="str">
        <f>IF(M36="","",HYPERLINK(OFFSET(Biblioteca!$B$2,MATCH(M36,Biblioteca!$A$3:$A$200,0),0),M36))</f>
        <v>Pulley frente</v>
      </c>
      <c r="D36" s="103" t="str">
        <f>Montagem!Q126</f>
        <v>Bi-SET</v>
      </c>
      <c r="E36" s="104">
        <f>Montagem!R126</f>
        <v>3</v>
      </c>
      <c r="F36" s="104">
        <f>Montagem!S126</f>
        <v>10</v>
      </c>
      <c r="G36" s="104">
        <f>Montagem!T126</f>
        <v>60</v>
      </c>
      <c r="H36" s="104">
        <f>Montagem!U126</f>
        <v>1</v>
      </c>
      <c r="I36" s="132">
        <f>Montagem!V126</f>
        <v>2</v>
      </c>
      <c r="J36" s="105">
        <v>9.0</v>
      </c>
      <c r="K36" s="106">
        <f>Montagem!K126</f>
        <v>4</v>
      </c>
      <c r="L36" s="111">
        <f>Montagem!W126</f>
        <v>9.426375</v>
      </c>
      <c r="M36" s="111" t="str">
        <f>Montagem!L126</f>
        <v>Pulley frente</v>
      </c>
      <c r="N36" s="111" t="str">
        <f>Montagem!X126</f>
        <v/>
      </c>
      <c r="O36" s="106">
        <f>IF(N36="",L36,N36)</f>
        <v>9.426375</v>
      </c>
      <c r="P36" s="106">
        <f>IF(L37="C",'Dados de Base'!$D$5*0.1,IF(L37="E",5,IF(J36="",O36,J36)))</f>
        <v>9</v>
      </c>
      <c r="Q36" s="108"/>
      <c r="R36" s="102" t="str">
        <f>IF(AD36="","",HYPERLINK(OFFSET(Biblioteca!$B$2,MATCH(AD36,Biblioteca!$A$3:$A$200,0),0),AD36))</f>
        <v>Cadeira Abdutora</v>
      </c>
      <c r="U36" s="109" t="str">
        <f>Montagem!AF126</f>
        <v>Bi-SET</v>
      </c>
      <c r="V36" s="110">
        <f>Montagem!AG126</f>
        <v>3</v>
      </c>
      <c r="W36" s="110">
        <f>Montagem!AH126</f>
        <v>10</v>
      </c>
      <c r="X36" s="110">
        <f>Montagem!AI126</f>
        <v>60</v>
      </c>
      <c r="Y36" s="110">
        <f>Montagem!AJ126</f>
        <v>1</v>
      </c>
      <c r="Z36" s="110">
        <f>Montagem!AK126</f>
        <v>2</v>
      </c>
      <c r="AA36" s="113">
        <v>5.0</v>
      </c>
      <c r="AB36" s="111">
        <f>Montagem!Z126</f>
        <v>4</v>
      </c>
      <c r="AC36" s="111">
        <f>Montagem!AL126</f>
        <v>5</v>
      </c>
      <c r="AD36" s="129" t="str">
        <f>Montagem!AA126</f>
        <v>Cadeira Abdutora</v>
      </c>
      <c r="AE36" s="111" t="str">
        <f>Montagem!AM126</f>
        <v/>
      </c>
      <c r="AF36" s="106">
        <f>IF(AE36="",AC36,AE36)</f>
        <v>5</v>
      </c>
      <c r="AG36" s="106">
        <f>IF(AC37="C",'Dados de Base'!$D$5*0.1,IF(AC37="E",5,IF(AA36="",AF36,AA36)))</f>
        <v>5</v>
      </c>
      <c r="AH36" s="108"/>
      <c r="AI36" s="115" t="str">
        <f>IF(AU36="","",HYPERLINK(OFFSET(Biblioteca!$B$2,MATCH(AU36,Biblioteca!$A$3:$A$200,0),0),AU36))</f>
        <v/>
      </c>
      <c r="AL36" s="109" t="str">
        <f>Montagem!AU126</f>
        <v/>
      </c>
      <c r="AM36" s="110" t="str">
        <f>Montagem!AV126</f>
        <v/>
      </c>
      <c r="AN36" s="110" t="str">
        <f>Montagem!AW126</f>
        <v/>
      </c>
      <c r="AO36" s="110" t="str">
        <f>Montagem!AX126</f>
        <v/>
      </c>
      <c r="AP36" s="110" t="str">
        <f>Montagem!AY126</f>
        <v/>
      </c>
      <c r="AQ36" s="110" t="str">
        <f>Montagem!AZ126</f>
        <v/>
      </c>
      <c r="AR36" s="114"/>
      <c r="AS36" s="111">
        <f>Montagem!AO126</f>
        <v>1</v>
      </c>
      <c r="AT36" s="111" t="str">
        <f>Montagem!BA126</f>
        <v/>
      </c>
      <c r="AU36" s="111" t="str">
        <f>Montagem!AP126</f>
        <v/>
      </c>
      <c r="AV36" s="111" t="str">
        <f>Montagem!BB126</f>
        <v/>
      </c>
      <c r="AW36" s="106" t="str">
        <f>IF(AV36="",AT36,AV36)</f>
        <v/>
      </c>
      <c r="AX36" s="106" t="str">
        <f>IF(AT37="C",'Dados de Base'!$D$5*0.1,IF(AT37="E",5,IF(AR36="",AW36,AR36)))</f>
        <v/>
      </c>
      <c r="AY36" s="108"/>
      <c r="AZ36" s="102" t="str">
        <f>IF(BL36="","",HYPERLINK(OFFSET(Biblioteca!$B$2,MATCH(BL36,Biblioteca!$A$3:$A$200,0),0),BL36))</f>
        <v>Desenvolvimento Deltoide</v>
      </c>
      <c r="BC36" s="109" t="str">
        <f>Montagem!BJ126</f>
        <v>Bi-SET</v>
      </c>
      <c r="BD36" s="110">
        <f>Montagem!BK126</f>
        <v>3</v>
      </c>
      <c r="BE36" s="110">
        <f>Montagem!BL126</f>
        <v>10</v>
      </c>
      <c r="BF36" s="110">
        <f>Montagem!BM126</f>
        <v>60</v>
      </c>
      <c r="BG36" s="110">
        <f>Montagem!BN126</f>
        <v>1</v>
      </c>
      <c r="BH36" s="110">
        <f>Montagem!BO126</f>
        <v>2</v>
      </c>
      <c r="BI36" s="113">
        <v>20.0</v>
      </c>
      <c r="BJ36" s="111">
        <f>Montagem!BD126</f>
        <v>3</v>
      </c>
      <c r="BK36" s="111">
        <f>Montagem!BP126</f>
        <v>20</v>
      </c>
      <c r="BL36" s="111" t="str">
        <f>Montagem!BE126</f>
        <v>Desenvolvimento Deltoide</v>
      </c>
      <c r="BM36" s="111" t="str">
        <f>Montagem!BQ126</f>
        <v/>
      </c>
      <c r="BN36" s="106">
        <f>IF(BM36="",BK36,BM36)</f>
        <v>20</v>
      </c>
      <c r="BO36" s="106">
        <f>IF(BK37="C",'Dados de Base'!$D$5*0.1,IF(BK37="E",5,IF(BI36="",BN36,BI36)))</f>
        <v>20</v>
      </c>
      <c r="BP36" s="108"/>
      <c r="BQ36" s="102" t="str">
        <f>IF(CC36="","",HYPERLINK(OFFSET(Biblioteca!$B$2,MATCH(CC36,Biblioteca!$A$3:$A$200,0),0),CC36))</f>
        <v>Flexão Nórdica Reversa</v>
      </c>
      <c r="BT36" s="109" t="str">
        <f>Montagem!BY126</f>
        <v>Bi-SET</v>
      </c>
      <c r="BU36" s="110">
        <f>Montagem!BZ126</f>
        <v>3</v>
      </c>
      <c r="BV36" s="110">
        <f>Montagem!CA126</f>
        <v>8</v>
      </c>
      <c r="BW36" s="110" t="str">
        <f>Montagem!CB126</f>
        <v/>
      </c>
      <c r="BX36" s="110">
        <f>Montagem!CC126</f>
        <v>1</v>
      </c>
      <c r="BY36" s="110">
        <f>Montagem!CD126</f>
        <v>2</v>
      </c>
      <c r="BZ36" s="113">
        <v>10.0</v>
      </c>
      <c r="CA36" s="111">
        <f>Montagem!BS126</f>
        <v>4</v>
      </c>
      <c r="CB36" s="111">
        <f>Montagem!CE126</f>
        <v>0</v>
      </c>
      <c r="CC36" s="111" t="str">
        <f>Montagem!BT126</f>
        <v>Flexão Nórdica Reversa</v>
      </c>
      <c r="CD36" s="111" t="str">
        <f>Montagem!CF126</f>
        <v/>
      </c>
      <c r="CE36" s="106">
        <f>IF(CD36="",CB36,CD36)</f>
        <v>0</v>
      </c>
      <c r="CF36" s="106">
        <f>IF(CB37="C",'Dados de Base'!$D$5*0.1,IF(CB37="E",5,IF(BZ36="",CE36,BZ36)))</f>
        <v>6.3</v>
      </c>
      <c r="CG36" s="108"/>
      <c r="CH36" s="115" t="str">
        <f>IF(CT36="","",HYPERLINK(OFFSET(Biblioteca!$B$2,MATCH(CT36,Biblioteca!$A$3:$A$200,0),0),CT36))</f>
        <v/>
      </c>
      <c r="CK36" s="109" t="str">
        <f>Montagem!CN126</f>
        <v/>
      </c>
      <c r="CL36" s="110" t="str">
        <f>Montagem!CO126</f>
        <v/>
      </c>
      <c r="CM36" s="110" t="str">
        <f>Montagem!CP126</f>
        <v/>
      </c>
      <c r="CN36" s="110" t="str">
        <f>Montagem!CQ126</f>
        <v/>
      </c>
      <c r="CO36" s="110" t="str">
        <f>Montagem!CR126</f>
        <v/>
      </c>
      <c r="CP36" s="110" t="str">
        <f>Montagem!CS126</f>
        <v/>
      </c>
      <c r="CQ36" s="114"/>
      <c r="CR36" s="111">
        <f>Montagem!CH126</f>
        <v>1</v>
      </c>
      <c r="CS36" s="111" t="str">
        <f>Montagem!CT126</f>
        <v/>
      </c>
      <c r="CT36" s="111" t="str">
        <f>Montagem!CI126</f>
        <v/>
      </c>
      <c r="CU36" s="111" t="str">
        <f>Montagem!CU126</f>
        <v/>
      </c>
      <c r="CV36" s="106" t="str">
        <f>IF(CU36="",CS36,CU36)</f>
        <v/>
      </c>
      <c r="CW36" s="106" t="str">
        <f>IF(CS37="C",'Dados de Base'!$D$5*0.1,IF(CS37="E",5,IF(CQ36="",CV36,CQ36)))</f>
        <v/>
      </c>
      <c r="CX36" s="108"/>
      <c r="CY36" s="115" t="str">
        <f>IF(DK36="","",HYPERLINK(OFFSET(Biblioteca!$B$2,MATCH(DK36,Biblioteca!$A$3:$A$200,0),0),DK36))</f>
        <v/>
      </c>
      <c r="DB36" s="130" t="str">
        <f>Montagem!DC126</f>
        <v/>
      </c>
      <c r="DC36" s="131" t="str">
        <f>Montagem!DD126</f>
        <v/>
      </c>
      <c r="DD36" s="131" t="str">
        <f>Montagem!DE126</f>
        <v/>
      </c>
      <c r="DE36" s="131" t="str">
        <f>Montagem!DF126</f>
        <v/>
      </c>
      <c r="DF36" s="131" t="str">
        <f>Montagem!DG126</f>
        <v/>
      </c>
      <c r="DG36" s="131" t="str">
        <f>Montagem!DH126</f>
        <v/>
      </c>
      <c r="DH36" s="114"/>
      <c r="DI36" s="111">
        <f>Montagem!CW126</f>
        <v>1</v>
      </c>
      <c r="DJ36" s="111" t="str">
        <f>Montagem!DI126</f>
        <v/>
      </c>
      <c r="DK36" s="111" t="str">
        <f>Montagem!CX126</f>
        <v/>
      </c>
      <c r="DL36" s="111" t="str">
        <f>Montagem!DJ126</f>
        <v/>
      </c>
      <c r="DM36" s="106" t="str">
        <f>IF(DL36="",DJ36,DL36)</f>
        <v/>
      </c>
      <c r="DN36" s="106" t="str">
        <f>IF(DJ37="C",'Dados de Base'!$D$5*0.1,IF(DJ37="E",5,IF(DH36="",DM36,DH36)))</f>
        <v/>
      </c>
      <c r="DO36" s="108"/>
      <c r="DP36" s="106"/>
      <c r="DQ36" s="106"/>
      <c r="DR36" s="106"/>
      <c r="DS36" s="106"/>
      <c r="DT36" s="106"/>
      <c r="DU36" s="106"/>
      <c r="DV36" s="106"/>
      <c r="DW36" s="106"/>
      <c r="DX36" s="106"/>
      <c r="DY36" s="106"/>
    </row>
    <row r="37">
      <c r="A37" s="117" t="str">
        <f>IF(A36="","",IFS(L37="A",Montagem!$C$130,N37="T","Realizar a maior quantidade de repetições por "&amp;F36&amp;" segundos | ",N37="I",IF(M37="U","Manter a posição por "&amp;F36&amp;" segundos de um lado e trocar para o outro na sequência | ","Manter a posição por "&amp;F36&amp;" segundos | "),M37="A","Realizar alternadamente "&amp;F36&amp;" repetições cada lado | ",M37="U","Realizar "&amp;F36&amp;" repetições de um lado e trocar para o outro na sequência | ",L37="P",OFFSET(Biblioteca!$H$2,MATCH(M36,Biblioteca!$A$3:$A$200,0),0),TRUE,"")&amp;IF(N37="R","Ajuste a carga para que tenha "&amp;$K$2&amp;" repetições de reserva",""))</f>
        <v>Ajuste a carga para que tenha 0 a 2 repetições de reserva</v>
      </c>
      <c r="E37" s="118" t="str">
        <f>IF(A36="","",IFS(L37="H","Carga Sugerida: "&amp;ROUNDUP(O36/2,0)&amp;" kg de cada lado (Total: "&amp;ROUNDUP(O36/2,0)*2&amp;" kg)",L37="C","Este exercício usa o Peso Corporal como carga",L37="E","Este exercício usa a resistência da banda elástica como carga",L37="O","Carga Sugerida: "&amp;INT(O36)&amp;" kg",TRUE,""))</f>
        <v>Carga Sugerida: 9 kg</v>
      </c>
      <c r="J37" s="66"/>
      <c r="K37" s="106">
        <f>K36</f>
        <v>4</v>
      </c>
      <c r="L37" s="120" t="str">
        <f>LEFT(O37)</f>
        <v>O</v>
      </c>
      <c r="M37" s="121" t="str">
        <f>MID(O37,2,1)</f>
        <v>O</v>
      </c>
      <c r="N37" s="122" t="str">
        <f>RIGHT(O37)</f>
        <v>R</v>
      </c>
      <c r="O37" s="123" t="str">
        <f>IF(M36="","",OFFSET(Biblioteca!$I$2,MATCH(M36,Biblioteca!$A$3:$A$200,0),0))</f>
        <v>OOR</v>
      </c>
      <c r="P37" s="124"/>
      <c r="Q37" s="125"/>
      <c r="R37" s="117" t="str">
        <f>IF(R36="","",IFS(AC37="A",Montagem!$D$130,AE37="T","Realizar a maior quantidade de repetições por "&amp;W36&amp;" segundos | ",AE37="I",IF(AD37="U","Manter a posição por "&amp;W36&amp;" segundos de um lado e trocar para o outro na sequência | ","Manter a posição por "&amp;W36&amp;" segundos | "),AD37="A","Realizar alternadamente "&amp;W36&amp;" repetições cada lado | ",AD37="U","Realizar "&amp;W36&amp;" repetições de um lado e trocar para o outro na sequência | ",AC37="P",OFFSET(Biblioteca!$H$2,MATCH(AD36,Biblioteca!$A$3:$A$200,0),0),TRUE,"")&amp;IF(AE37="R","Ajuste a carga para que tenha "&amp;$K$2&amp;" repetições de reserva",""))</f>
        <v>Ajuste a carga para que tenha 0 a 2 repetições de reserva</v>
      </c>
      <c r="V37" s="118" t="str">
        <f>IF(R36="","",IFS(AC37="H","Carga Sugerida: "&amp;ROUNDUP(AF36/2,0)&amp;" kg de cada lado (Total: "&amp;ROUNDUP(AF36/2,0)*2&amp;" kg)",AC37="C","Este exercício usa o Peso Corporal como carga",AC37="E","Este exercício usa a resistência da banda elástica como carga",AC37="O","Carga Sugerida: "&amp;INT(AF36)&amp;" kg",TRUE,""))</f>
        <v>Carga Sugerida: 5 kg</v>
      </c>
      <c r="AA37" s="66"/>
      <c r="AB37" s="126">
        <f>AB36</f>
        <v>4</v>
      </c>
      <c r="AC37" s="120" t="str">
        <f>LEFT(AF37)</f>
        <v>O</v>
      </c>
      <c r="AD37" s="121" t="str">
        <f>MID(AF37,2,1)</f>
        <v>O</v>
      </c>
      <c r="AE37" s="122" t="str">
        <f>RIGHT(AF37)</f>
        <v>R</v>
      </c>
      <c r="AF37" s="123" t="str">
        <f>IF(AD36="","",OFFSET(Biblioteca!$I$2,MATCH(AD36,Biblioteca!$A$3:$A$200,0),0))</f>
        <v>OOR</v>
      </c>
      <c r="AG37" s="124"/>
      <c r="AH37" s="125"/>
      <c r="AI37" s="117" t="str">
        <f>IF(AI36="","",IFS(AT37="A",Montagem!$E$130,AV37="T","Realizar a maior quantidade de repetições por "&amp;AN36&amp;" segundos | ",AV37="I",IF(AU37="U","Manter a posição por "&amp;AN36&amp;" segundos de um lado e trocar para o outro na sequência | ","Manter a posição por "&amp;AN36&amp;" segundos | "),AU37="A","Realizar alternadamente "&amp;AN36&amp;" repetições cada lado | ",AU37="U","Realizar "&amp;AN36&amp;" repetições de um lado e trocar para o outro na sequência | ",AT37="P",OFFSET(Biblioteca!$H$2,MATCH(AU36,Biblioteca!$A$3:$A$200,0),0),TRUE,"")&amp;IF(AV37="R","Ajuste a carga para que tenha "&amp;$K$2&amp;" repetições de reserva",""))</f>
        <v/>
      </c>
      <c r="AM37" s="118" t="str">
        <f>IF(AI36="","",IFS(AT37="H","Carga Sugerida: "&amp;ROUNDUP(AW36/2,0)&amp;" kg de cada lado (Total: "&amp;ROUNDUP(AW36/2,0)*2&amp;" kg)",AT37="C","Este exercício usa o Peso Corporal como carga",AT37="E","Este exercício usa a resistência da banda elástica como carga",AT37="O","Carga Sugerida: "&amp;INT(AW36)&amp;" kg",TRUE,""))</f>
        <v/>
      </c>
      <c r="AR37" s="66"/>
      <c r="AS37" s="126">
        <f>AS36</f>
        <v>1</v>
      </c>
      <c r="AT37" s="120" t="str">
        <f>LEFT(AW37)</f>
        <v/>
      </c>
      <c r="AU37" s="121" t="str">
        <f>MID(AW37,2,1)</f>
        <v/>
      </c>
      <c r="AV37" s="122" t="str">
        <f>RIGHT(AW37)</f>
        <v/>
      </c>
      <c r="AW37" s="123" t="str">
        <f>IF(AU36="","",OFFSET(Biblioteca!$I$2,MATCH(AU36,Biblioteca!$A$3:$A$200,0),0))</f>
        <v/>
      </c>
      <c r="AX37" s="124"/>
      <c r="AY37" s="125"/>
      <c r="AZ37" s="117" t="str">
        <f>IF(AZ36="","",IFS(BK37="A",Montagem!$F$130,BM37="T","Realizar a maior quantidade de repetições por "&amp;BE36&amp;" segundos | ",BM37="I",IF(BL37="U","Manter a posição por "&amp;BE36&amp;" segundos de um lado e trocar para o outro na sequência | ","Manter a posição por "&amp;BE36&amp;" segundos | "),BL37="A","Realizar alternadamente "&amp;BE36&amp;" repetições cada lado | ",BL37="U","Realizar "&amp;BE36&amp;" repetições de um lado e trocar para o outro na sequência | ",BK37="P",OFFSET(Biblioteca!$H$2,MATCH(BL36,Biblioteca!$A$3:$A$200,0),0),TRUE,"")&amp;IF(BM37="R","Ajuste a carga para que tenha "&amp;$K$2&amp;" repetições de reserva",""))</f>
        <v>Ajuste a carga para que tenha 0 a 2 repetições de reserva</v>
      </c>
      <c r="BD37" s="118" t="str">
        <f>IF(AZ36="","",IFS(BK37="H","Carga Sugerida: "&amp;ROUNDUP(BN36/2,0)&amp;" kg de cada lado (Total: "&amp;ROUNDUP(BN36/2,0)*2&amp;" kg)",BK37="C","Este exercício usa o Peso Corporal como carga",BK37="E","Este exercício usa a resistência da banda elástica como carga",BK37="O","Carga Sugerida: "&amp;INT(BN36)&amp;" kg",TRUE,""))</f>
        <v>Carga Sugerida: 20 kg</v>
      </c>
      <c r="BI37" s="66"/>
      <c r="BJ37" s="126">
        <f>BJ36</f>
        <v>3</v>
      </c>
      <c r="BK37" s="120" t="str">
        <f>LEFT(BN37)</f>
        <v>O</v>
      </c>
      <c r="BL37" s="121" t="str">
        <f>MID(BN37,2,1)</f>
        <v>O</v>
      </c>
      <c r="BM37" s="122" t="str">
        <f>RIGHT(BN37)</f>
        <v>R</v>
      </c>
      <c r="BN37" s="123" t="str">
        <f>IF(BL36="","",OFFSET(Biblioteca!$I$2,MATCH(BL36,Biblioteca!$A$3:$A$200,0),0))</f>
        <v>OOR</v>
      </c>
      <c r="BO37" s="124"/>
      <c r="BP37" s="125"/>
      <c r="BQ37" s="117" t="str">
        <f>IF(BQ36="","",IFS(CB37="A",Montagem!$G$130,CD37="T","Realizar a maior quantidade de repetições por "&amp;BV36&amp;" segundos | ",CD37="I",IF(CC37="U","Manter a posição por "&amp;BV36&amp;" segundos de um lado e trocar para o outro na sequência | ","Manter a posição por "&amp;BV36&amp;" segundos | "),CC37="A","Realizar alternadamente "&amp;BV36&amp;" repetições cada lado | ",CC37="U","Realizar "&amp;BV36&amp;" repetições de um lado e trocar para o outro na sequência | ",CB37="P",OFFSET(Biblioteca!$H$2,MATCH(CC36,Biblioteca!$A$3:$A$200,0),0),TRUE,"")&amp;IF(CD37="R","Ajuste a carga para que tenha "&amp;$K$2&amp;" repetições de reserva",""))</f>
        <v>Ajuste a carga para que tenha 0 a 2 repetições de reserva</v>
      </c>
      <c r="BU37" s="118" t="str">
        <f>IF(BQ36="","",IFS(CB37="H","Carga Sugerida: "&amp;ROUNDUP(CE36/2,0)&amp;" kg de cada lado (Total: "&amp;ROUNDUP(CE36/2,0)*2&amp;" kg)",CB37="C","Este exercício usa o Peso Corporal como carga",CB37="E","Este exercício usa a resistência da banda elástica como carga",CB37="O","Carga Sugerida: "&amp;INT(CE36)&amp;" kg",TRUE,""))</f>
        <v>Este exercício usa o Peso Corporal como carga</v>
      </c>
      <c r="BZ37" s="66"/>
      <c r="CA37" s="126">
        <f>CA36</f>
        <v>4</v>
      </c>
      <c r="CB37" s="120" t="str">
        <f>LEFT(CE37)</f>
        <v>C</v>
      </c>
      <c r="CC37" s="121" t="str">
        <f>MID(CE37,2,1)</f>
        <v>O</v>
      </c>
      <c r="CD37" s="122" t="str">
        <f>RIGHT(CE37)</f>
        <v>R</v>
      </c>
      <c r="CE37" s="123" t="str">
        <f>IF(CC36="","",OFFSET(Biblioteca!$I$2,MATCH(CC36,Biblioteca!$A$3:$A$200,0),0))</f>
        <v>COR</v>
      </c>
      <c r="CF37" s="124"/>
      <c r="CG37" s="125"/>
      <c r="CH37" s="117" t="str">
        <f>IF(CH36="","",IFS(CS37="A",Montagem!$H$130,CU37="T","Realizar a maior quantidade de repetições por "&amp;CM36&amp;" segundos | ",CU37="I",IF(CT37="U","Manter a posição por "&amp;CM36&amp;" segundos de um lado e trocar para o outro na sequência | ","Manter a posição por "&amp;CM36&amp;" segundos | "),CT37="A","Realizar alternadamente "&amp;CM36&amp;" repetições cada lado | ",CT37="U","Realizar "&amp;CM36&amp;" repetições de um lado e trocar para o outro na sequência | ",CS37="P",OFFSET(Biblioteca!$H$2,MATCH(CT36,Biblioteca!$A$3:$A$200,0),0),TRUE,"")&amp;IF(CU37="R","Ajuste a carga para que tenha "&amp;$K$2&amp;" repetições de reserva",""))</f>
        <v/>
      </c>
      <c r="CL37" s="118" t="str">
        <f>IF(CH36="","",IFS(CS37="H","Carga Sugerida: "&amp;ROUNDUP(CV36/2,0)&amp;" kg de cada lado (Total: "&amp;ROUNDUP(CV36/2,0)*2&amp;" kg)",CS37="C","Este exercício usa o Peso Corporal como carga",CS37="E","Este exercício usa a resistência da banda elástica como carga",CS37="O","Carga Sugerida: "&amp;INT(CV36)&amp;" kg",TRUE,""))</f>
        <v/>
      </c>
      <c r="CQ37" s="66"/>
      <c r="CR37" s="126">
        <f>CR36</f>
        <v>1</v>
      </c>
      <c r="CS37" s="120" t="str">
        <f>LEFT(CV37)</f>
        <v/>
      </c>
      <c r="CT37" s="121" t="str">
        <f>MID(CV37,2,1)</f>
        <v/>
      </c>
      <c r="CU37" s="122" t="str">
        <f>RIGHT(CV37)</f>
        <v/>
      </c>
      <c r="CV37" s="123" t="str">
        <f>IF(CT36="","",OFFSET(Biblioteca!$I$2,MATCH(CT36,Biblioteca!$A$3:$A$200,0),0))</f>
        <v/>
      </c>
      <c r="CW37" s="124"/>
      <c r="CX37" s="125"/>
      <c r="CY37" s="117" t="str">
        <f>IF(CY36="","",IFS(DJ37="A",Montagem!$I$130,DL37="T","Realizar a maior quantidade de repetições por "&amp;DD36&amp;" segundos | ",DL37="I",IF(DK37="U","Manter a posição por "&amp;DD36&amp;" segundos de um lado e trocar para o outro na sequência | ","Manter a posição por "&amp;DD36&amp;" segundos | "),DK37="A","Realizar alternadamente "&amp;DD36&amp;" repetições cada lado | ",DK37="U","Realizar "&amp;DD36&amp;" repetições de um lado e trocar para o outro na sequência | ",DJ37="P",OFFSET(Biblioteca!$H$2,MATCH(DK36,Biblioteca!$A$3:$A$200,0),0),TRUE,"")&amp;IF(DL37="R","Ajuste a carga para que tenha "&amp;$K$2&amp;" repetições de reserva",""))</f>
        <v/>
      </c>
      <c r="DC37" s="118" t="str">
        <f>IF(CY36="","",IFS(DJ37="H","Carga Sugerida: "&amp;ROUNDUP(DM36/2,0)&amp;" kg de cada lado (Total: "&amp;ROUNDUP(DM36/2,0)*2&amp;" kg)",DJ37="C","Este exercício usa o Peso Corporal como carga",DJ37="E","Este exercício usa a resistência da banda elástica como carga",DJ37="O","Carga Sugerida: "&amp;INT(DM36)&amp;" kg",TRUE,""))</f>
        <v/>
      </c>
      <c r="DH37" s="66"/>
      <c r="DI37" s="126">
        <f>DI36</f>
        <v>1</v>
      </c>
      <c r="DJ37" s="120" t="str">
        <f>LEFT(DM37)</f>
        <v/>
      </c>
      <c r="DK37" s="121" t="str">
        <f>MID(DM37,2,1)</f>
        <v/>
      </c>
      <c r="DL37" s="122" t="str">
        <f>RIGHT(DM37)</f>
        <v/>
      </c>
      <c r="DM37" s="123" t="str">
        <f>IF(DK36="","",OFFSET(Biblioteca!$I$2,MATCH(DK36,Biblioteca!$A$3:$A$200,0),0))</f>
        <v/>
      </c>
      <c r="DN37" s="124"/>
      <c r="DO37" s="125"/>
      <c r="DP37" s="57"/>
      <c r="DQ37" s="56"/>
      <c r="DR37" s="56"/>
      <c r="DS37" s="56"/>
      <c r="DT37" s="56"/>
      <c r="DU37" s="56"/>
      <c r="DV37" s="56"/>
      <c r="DW37" s="56"/>
      <c r="DX37" s="56"/>
      <c r="DY37" s="56"/>
    </row>
    <row r="38">
      <c r="A38" s="115" t="str">
        <f>IF(M38="","",HYPERLINK(OFFSET(Biblioteca!$B$2,MATCH(M38,Biblioteca!$A$3:$A$200,0),0),M38))</f>
        <v>Esteira</v>
      </c>
      <c r="D38" s="103" t="str">
        <f>Montagem!Q127</f>
        <v/>
      </c>
      <c r="E38" s="104" t="str">
        <f>Montagem!R127</f>
        <v/>
      </c>
      <c r="F38" s="104" t="str">
        <f>Montagem!S127</f>
        <v/>
      </c>
      <c r="G38" s="104">
        <f>Montagem!T127</f>
        <v>60</v>
      </c>
      <c r="H38" s="104" t="str">
        <f>Montagem!U127</f>
        <v/>
      </c>
      <c r="I38" s="132" t="str">
        <f>Montagem!V127</f>
        <v/>
      </c>
      <c r="J38" s="105">
        <v>10.0</v>
      </c>
      <c r="K38" s="106">
        <f>Montagem!K127</f>
        <v>5</v>
      </c>
      <c r="L38" s="111">
        <f>Montagem!W127</f>
        <v>0</v>
      </c>
      <c r="M38" s="111" t="str">
        <f>Montagem!L127</f>
        <v>Esteira</v>
      </c>
      <c r="N38" s="111" t="str">
        <f>Montagem!X127</f>
        <v/>
      </c>
      <c r="O38" s="106">
        <f>IF(N38="",L38,N38)</f>
        <v>0</v>
      </c>
      <c r="P38" s="106">
        <f>IF(L39="C",'Dados de Base'!$D$5*0.1,IF(L39="E",5,IF(J38="",O38,J38)))</f>
        <v>10</v>
      </c>
      <c r="Q38" s="108"/>
      <c r="R38" s="115" t="str">
        <f>IF(AD38="","",HYPERLINK(OFFSET(Biblioteca!$B$2,MATCH(AD38,Biblioteca!$A$3:$A$200,0),0),AD38))</f>
        <v>Bicicleta</v>
      </c>
      <c r="U38" s="109" t="str">
        <f>Montagem!AF127</f>
        <v/>
      </c>
      <c r="V38" s="110" t="str">
        <f>Montagem!AG127</f>
        <v/>
      </c>
      <c r="W38" s="110" t="str">
        <f>Montagem!AH127</f>
        <v/>
      </c>
      <c r="X38" s="110">
        <f>Montagem!AI127</f>
        <v>60</v>
      </c>
      <c r="Y38" s="110" t="str">
        <f>Montagem!AJ127</f>
        <v/>
      </c>
      <c r="Z38" s="110" t="str">
        <f>Montagem!AK127</f>
        <v/>
      </c>
      <c r="AA38" s="113">
        <v>10.0</v>
      </c>
      <c r="AB38" s="111">
        <f>Montagem!Z127</f>
        <v>5</v>
      </c>
      <c r="AC38" s="111">
        <f>Montagem!AL127</f>
        <v>0</v>
      </c>
      <c r="AD38" s="129" t="str">
        <f>Montagem!AA127</f>
        <v>Bicicleta</v>
      </c>
      <c r="AE38" s="111" t="str">
        <f>Montagem!AM127</f>
        <v/>
      </c>
      <c r="AF38" s="106">
        <f>IF(AE38="",AC38,AE38)</f>
        <v>0</v>
      </c>
      <c r="AG38" s="106">
        <f>IF(AC39="C",'Dados de Base'!$D$5*0.1,IF(AC39="E",5,IF(AA38="",AF38,AA38)))</f>
        <v>10</v>
      </c>
      <c r="AH38" s="108"/>
      <c r="AI38" s="115" t="str">
        <f>IF(AU38="","",HYPERLINK(OFFSET(Biblioteca!$B$2,MATCH(AU38,Biblioteca!$A$3:$A$200,0),0),AU38))</f>
        <v/>
      </c>
      <c r="AL38" s="109" t="str">
        <f>Montagem!AU127</f>
        <v/>
      </c>
      <c r="AM38" s="110" t="str">
        <f>Montagem!AV127</f>
        <v/>
      </c>
      <c r="AN38" s="110" t="str">
        <f>Montagem!AW127</f>
        <v/>
      </c>
      <c r="AO38" s="110" t="str">
        <f>Montagem!AX127</f>
        <v/>
      </c>
      <c r="AP38" s="110" t="str">
        <f>Montagem!AY127</f>
        <v/>
      </c>
      <c r="AQ38" s="110" t="str">
        <f>Montagem!AZ127</f>
        <v/>
      </c>
      <c r="AR38" s="114"/>
      <c r="AS38" s="111">
        <f>Montagem!AO127</f>
        <v>1</v>
      </c>
      <c r="AT38" s="111" t="str">
        <f>Montagem!BA127</f>
        <v/>
      </c>
      <c r="AU38" s="111" t="str">
        <f>Montagem!AP127</f>
        <v/>
      </c>
      <c r="AV38" s="111" t="str">
        <f>Montagem!BB127</f>
        <v/>
      </c>
      <c r="AW38" s="106" t="str">
        <f>IF(AV38="",AT38,AV38)</f>
        <v/>
      </c>
      <c r="AX38" s="106" t="str">
        <f>IF(AT39="C",'Dados de Base'!$D$5*0.1,IF(AT39="E",5,IF(AR38="",AW38,AR38)))</f>
        <v/>
      </c>
      <c r="AY38" s="108"/>
      <c r="AZ38" s="102" t="str">
        <f>IF(BL38="","",HYPERLINK(OFFSET(Biblioteca!$B$2,MATCH(BL38,Biblioteca!$A$3:$A$200,0),0),BL38))</f>
        <v>Triceps Coice na Polia</v>
      </c>
      <c r="BC38" s="109" t="str">
        <f>Montagem!BJ127</f>
        <v>Bi-SET</v>
      </c>
      <c r="BD38" s="110">
        <f>Montagem!BK127</f>
        <v>3</v>
      </c>
      <c r="BE38" s="110">
        <f>Montagem!BL127</f>
        <v>10</v>
      </c>
      <c r="BF38" s="110" t="str">
        <f>Montagem!BM127</f>
        <v/>
      </c>
      <c r="BG38" s="110">
        <f>Montagem!BN127</f>
        <v>1</v>
      </c>
      <c r="BH38" s="110">
        <f>Montagem!BO127</f>
        <v>2</v>
      </c>
      <c r="BI38" s="113">
        <v>2.0</v>
      </c>
      <c r="BJ38" s="111">
        <f>Montagem!BD127</f>
        <v>4</v>
      </c>
      <c r="BK38" s="111">
        <f>Montagem!BP127</f>
        <v>2.205</v>
      </c>
      <c r="BL38" s="111" t="str">
        <f>Montagem!BE127</f>
        <v>Triceps Coice na Polia</v>
      </c>
      <c r="BM38" s="111" t="str">
        <f>Montagem!BQ127</f>
        <v/>
      </c>
      <c r="BN38" s="106">
        <f>IF(BM38="",BK38,BM38)</f>
        <v>2.205</v>
      </c>
      <c r="BO38" s="106">
        <f>IF(BK39="C",'Dados de Base'!$D$5*0.1,IF(BK39="E",5,IF(BI38="",BN38,BI38)))</f>
        <v>2</v>
      </c>
      <c r="BP38" s="108"/>
      <c r="BQ38" s="102" t="str">
        <f>IF(CC38="","",HYPERLINK(OFFSET(Biblioteca!$B$2,MATCH(CC38,Biblioteca!$A$3:$A$200,0),0),CC38))</f>
        <v>Cadeira Flexora</v>
      </c>
      <c r="BT38" s="109" t="str">
        <f>Montagem!BY127</f>
        <v>Bi-SET</v>
      </c>
      <c r="BU38" s="110">
        <f>Montagem!BZ127</f>
        <v>3</v>
      </c>
      <c r="BV38" s="110">
        <f>Montagem!CA127</f>
        <v>10</v>
      </c>
      <c r="BW38" s="110">
        <f>Montagem!CB127</f>
        <v>60</v>
      </c>
      <c r="BX38" s="110">
        <f>Montagem!CC127</f>
        <v>1</v>
      </c>
      <c r="BY38" s="110">
        <f>Montagem!CD127</f>
        <v>2</v>
      </c>
      <c r="BZ38" s="113">
        <v>15.0</v>
      </c>
      <c r="CA38" s="111">
        <f>Montagem!BS127</f>
        <v>4</v>
      </c>
      <c r="CB38" s="111">
        <f>Montagem!CE127</f>
        <v>15.435</v>
      </c>
      <c r="CC38" s="111" t="str">
        <f>Montagem!BT127</f>
        <v>Cadeira Flexora</v>
      </c>
      <c r="CD38" s="111" t="str">
        <f>Montagem!CF127</f>
        <v/>
      </c>
      <c r="CE38" s="106">
        <f>IF(CD38="",CB38,CD38)</f>
        <v>15.435</v>
      </c>
      <c r="CF38" s="106">
        <f>IF(CB39="C",'Dados de Base'!$D$5*0.1,IF(CB39="E",5,IF(BZ38="",CE38,BZ38)))</f>
        <v>15</v>
      </c>
      <c r="CG38" s="108"/>
      <c r="CH38" s="115" t="str">
        <f>IF(CT38="","",HYPERLINK(OFFSET(Biblioteca!$B$2,MATCH(CT38,Biblioteca!$A$3:$A$200,0),0),CT38))</f>
        <v/>
      </c>
      <c r="CK38" s="109" t="str">
        <f>Montagem!CN127</f>
        <v/>
      </c>
      <c r="CL38" s="110" t="str">
        <f>Montagem!CO127</f>
        <v/>
      </c>
      <c r="CM38" s="110" t="str">
        <f>Montagem!CP127</f>
        <v/>
      </c>
      <c r="CN38" s="110" t="str">
        <f>Montagem!CQ127</f>
        <v/>
      </c>
      <c r="CO38" s="110" t="str">
        <f>Montagem!CR127</f>
        <v/>
      </c>
      <c r="CP38" s="110" t="str">
        <f>Montagem!CS127</f>
        <v/>
      </c>
      <c r="CQ38" s="114"/>
      <c r="CR38" s="111">
        <f>Montagem!CH127</f>
        <v>1</v>
      </c>
      <c r="CS38" s="111" t="str">
        <f>Montagem!CT127</f>
        <v/>
      </c>
      <c r="CT38" s="111" t="str">
        <f>Montagem!CI127</f>
        <v/>
      </c>
      <c r="CU38" s="111" t="str">
        <f>Montagem!CU127</f>
        <v/>
      </c>
      <c r="CV38" s="106" t="str">
        <f>IF(CU38="",CS38,CU38)</f>
        <v/>
      </c>
      <c r="CW38" s="106" t="str">
        <f>IF(CS39="C",'Dados de Base'!$D$5*0.1,IF(CS39="E",5,IF(CQ38="",CV38,CQ38)))</f>
        <v/>
      </c>
      <c r="CX38" s="108"/>
      <c r="CY38" s="115" t="str">
        <f>IF(DK38="","",HYPERLINK(OFFSET(Biblioteca!$B$2,MATCH(DK38,Biblioteca!$A$3:$A$200,0),0),DK38))</f>
        <v/>
      </c>
      <c r="DB38" s="130" t="str">
        <f>Montagem!DC127</f>
        <v/>
      </c>
      <c r="DC38" s="131" t="str">
        <f>Montagem!DD127</f>
        <v/>
      </c>
      <c r="DD38" s="131" t="str">
        <f>Montagem!DE127</f>
        <v/>
      </c>
      <c r="DE38" s="131" t="str">
        <f>Montagem!DF127</f>
        <v/>
      </c>
      <c r="DF38" s="131" t="str">
        <f>Montagem!DG127</f>
        <v/>
      </c>
      <c r="DG38" s="131" t="str">
        <f>Montagem!DH127</f>
        <v/>
      </c>
      <c r="DH38" s="114"/>
      <c r="DI38" s="111">
        <f>Montagem!CW127</f>
        <v>1</v>
      </c>
      <c r="DJ38" s="111" t="str">
        <f>Montagem!DI127</f>
        <v/>
      </c>
      <c r="DK38" s="111" t="str">
        <f>Montagem!CX127</f>
        <v/>
      </c>
      <c r="DL38" s="111" t="str">
        <f>Montagem!DJ127</f>
        <v/>
      </c>
      <c r="DM38" s="106" t="str">
        <f>IF(DL38="",DJ38,DL38)</f>
        <v/>
      </c>
      <c r="DN38" s="106" t="str">
        <f>IF(DJ39="C",'Dados de Base'!$D$5*0.1,IF(DJ39="E",5,IF(DH38="",DM38,DH38)))</f>
        <v/>
      </c>
      <c r="DO38" s="108"/>
      <c r="DP38" s="106"/>
      <c r="DQ38" s="106"/>
      <c r="DR38" s="106"/>
      <c r="DS38" s="106"/>
      <c r="DT38" s="106"/>
      <c r="DU38" s="106"/>
      <c r="DV38" s="106"/>
      <c r="DW38" s="106"/>
      <c r="DX38" s="106"/>
      <c r="DY38" s="106"/>
    </row>
    <row r="39">
      <c r="A39" s="117" t="str">
        <f>IF(A38="","",IFS(L39="A",Montagem!$C$130,N39="T","Realizar a maior quantidade de repetições por "&amp;F38&amp;" segundos | ",N39="I",IF(M39="U","Manter a posição por "&amp;F38&amp;" segundos de um lado e trocar para o outro na sequência | ","Manter a posição por "&amp;F38&amp;" segundos | "),M39="A","Realizar alternadamente "&amp;F38&amp;" repetições cada lado | ",M39="U","Realizar "&amp;F38&amp;" repetições de um lado e trocar para o outro na sequência | ",L39="P",OFFSET(Biblioteca!$H$2,MATCH(M38,Biblioteca!$A$3:$A$200,0),0),TRUE,"")&amp;IF(N39="R","Ajuste a carga para que tenha "&amp;$K$2&amp;" repetições de reserva",""))</f>
        <v>1x (3m a 142,95 - 148,3 bpm-&gt; 15,4 - 16,4km/h)</v>
      </c>
      <c r="E39" s="118" t="str">
        <f>IF(A38="","",IFS(L39="H","Carga Sugerida: "&amp;ROUNDUP(O38/2,0)&amp;" kg de cada lado (Total: "&amp;ROUNDUP(O38/2,0)*2&amp;" kg)",L39="C","Este exercício usa o Peso Corporal como carga",L39="E","Este exercício usa a resistência da banda elástica como carga",L39="O","Carga Sugerida: "&amp;INT(O38)&amp;" kg",TRUE,""))</f>
        <v/>
      </c>
      <c r="J39" s="66"/>
      <c r="K39" s="106">
        <f>K38</f>
        <v>5</v>
      </c>
      <c r="L39" s="120" t="str">
        <f>LEFT(O39)</f>
        <v>A</v>
      </c>
      <c r="M39" s="121" t="str">
        <f>MID(O39,2,1)</f>
        <v>-</v>
      </c>
      <c r="N39" s="122" t="str">
        <f>RIGHT(O39)</f>
        <v>-</v>
      </c>
      <c r="O39" s="123" t="str">
        <f>IF(M38="","",OFFSET(Biblioteca!$I$2,MATCH(M38,Biblioteca!$A$3:$A$200,0),0))</f>
        <v>A--</v>
      </c>
      <c r="P39" s="124"/>
      <c r="Q39" s="125"/>
      <c r="R39" s="117" t="str">
        <f>IF(R38="","",IFS(AC39="A",Montagem!$D$130,AE39="T","Realizar a maior quantidade de repetições por "&amp;W38&amp;" segundos | ",AE39="I",IF(AD39="U","Manter a posição por "&amp;W38&amp;" segundos de um lado e trocar para o outro na sequência | ","Manter a posição por "&amp;W38&amp;" segundos | "),AD39="A","Realizar alternadamente "&amp;W38&amp;" repetições cada lado | ",AD39="U","Realizar "&amp;W38&amp;" repetições de um lado e trocar para o outro na sequência | ",AC39="P",OFFSET(Biblioteca!$H$2,MATCH(AD38,Biblioteca!$A$3:$A$200,0),0),TRUE,"")&amp;IF(AE39="R","Ajuste a carga para que tenha "&amp;$K$2&amp;" repetições de reserva",""))</f>
        <v>1x (3m all out)</v>
      </c>
      <c r="V39" s="118" t="str">
        <f>IF(R38="","",IFS(AC39="H","Carga Sugerida: "&amp;ROUNDUP(AF38/2,0)&amp;" kg de cada lado (Total: "&amp;ROUNDUP(AF38/2,0)*2&amp;" kg)",AC39="C","Este exercício usa o Peso Corporal como carga",AC39="E","Este exercício usa a resistência da banda elástica como carga",AC39="O","Carga Sugerida: "&amp;INT(AF38)&amp;" kg",TRUE,""))</f>
        <v/>
      </c>
      <c r="AA39" s="66"/>
      <c r="AB39" s="126">
        <f>AB38</f>
        <v>5</v>
      </c>
      <c r="AC39" s="120" t="str">
        <f>LEFT(AF39)</f>
        <v>A</v>
      </c>
      <c r="AD39" s="121" t="str">
        <f>MID(AF39,2,1)</f>
        <v>-</v>
      </c>
      <c r="AE39" s="122" t="str">
        <f>RIGHT(AF39)</f>
        <v>-</v>
      </c>
      <c r="AF39" s="123" t="str">
        <f>IF(AD38="","",OFFSET(Biblioteca!$I$2,MATCH(AD38,Biblioteca!$A$3:$A$200,0),0))</f>
        <v>A--</v>
      </c>
      <c r="AG39" s="124"/>
      <c r="AH39" s="125"/>
      <c r="AI39" s="117" t="str">
        <f>IF(AI38="","",IFS(AT39="A",Montagem!$E$130,AV39="T","Realizar a maior quantidade de repetições por "&amp;AN38&amp;" segundos | ",AV39="I",IF(AU39="U","Manter a posição por "&amp;AN38&amp;" segundos de um lado e trocar para o outro na sequência | ","Manter a posição por "&amp;AN38&amp;" segundos | "),AU39="A","Realizar alternadamente "&amp;AN38&amp;" repetições cada lado | ",AU39="U","Realizar "&amp;AN38&amp;" repetições de um lado e trocar para o outro na sequência | ",AT39="P",OFFSET(Biblioteca!$H$2,MATCH(AU38,Biblioteca!$A$3:$A$200,0),0),TRUE,"")&amp;IF(AV39="R","Ajuste a carga para que tenha "&amp;$K$2&amp;" repetições de reserva",""))</f>
        <v/>
      </c>
      <c r="AM39" s="118" t="str">
        <f>IF(AI38="","",IFS(AT39="H","Carga Sugerida: "&amp;ROUNDUP(AW38/2,0)&amp;" kg de cada lado (Total: "&amp;ROUNDUP(AW38/2,0)*2&amp;" kg)",AT39="C","Este exercício usa o Peso Corporal como carga",AT39="E","Este exercício usa a resistência da banda elástica como carga",AT39="O","Carga Sugerida: "&amp;INT(AW38)&amp;" kg",TRUE,""))</f>
        <v/>
      </c>
      <c r="AR39" s="66"/>
      <c r="AS39" s="126">
        <f>AS38</f>
        <v>1</v>
      </c>
      <c r="AT39" s="120" t="str">
        <f>LEFT(AW39)</f>
        <v/>
      </c>
      <c r="AU39" s="121" t="str">
        <f>MID(AW39,2,1)</f>
        <v/>
      </c>
      <c r="AV39" s="122" t="str">
        <f>RIGHT(AW39)</f>
        <v/>
      </c>
      <c r="AW39" s="123" t="str">
        <f>IF(AU38="","",OFFSET(Biblioteca!$I$2,MATCH(AU38,Biblioteca!$A$3:$A$200,0),0))</f>
        <v/>
      </c>
      <c r="AX39" s="124"/>
      <c r="AY39" s="125"/>
      <c r="AZ39" s="117" t="str">
        <f>IF(AZ38="","",IFS(BK39="A",Montagem!$F$130,BM39="T","Realizar a maior quantidade de repetições por "&amp;BE38&amp;" segundos | ",BM39="I",IF(BL39="U","Manter a posição por "&amp;BE38&amp;" segundos de um lado e trocar para o outro na sequência | ","Manter a posição por "&amp;BE38&amp;" segundos | "),BL39="A","Realizar alternadamente "&amp;BE38&amp;" repetições cada lado | ",BL39="U","Realizar "&amp;BE38&amp;" repetições de um lado e trocar para o outro na sequência | ",BK39="P",OFFSET(Biblioteca!$H$2,MATCH(BL38,Biblioteca!$A$3:$A$200,0),0),TRUE,"")&amp;IF(BM39="R","Ajuste a carga para que tenha "&amp;$K$2&amp;" repetições de reserva",""))</f>
        <v>Realizar 10 repetições de um lado e trocar para o outro na sequência | Ajuste a carga para que tenha 0 a 2 repetições de reserva</v>
      </c>
      <c r="BD39" s="118" t="str">
        <f>IF(AZ38="","",IFS(BK39="H","Carga Sugerida: "&amp;ROUNDUP(BN38/2,0)&amp;" kg de cada lado (Total: "&amp;ROUNDUP(BN38/2,0)*2&amp;" kg)",BK39="C","Este exercício usa o Peso Corporal como carga",BK39="E","Este exercício usa a resistência da banda elástica como carga",BK39="O","Carga Sugerida: "&amp;INT(BN38)&amp;" kg",TRUE,""))</f>
        <v>Carga Sugerida: 2 kg</v>
      </c>
      <c r="BI39" s="66"/>
      <c r="BJ39" s="126">
        <f>BJ38</f>
        <v>4</v>
      </c>
      <c r="BK39" s="120" t="str">
        <f>LEFT(BN39)</f>
        <v>O</v>
      </c>
      <c r="BL39" s="121" t="str">
        <f>MID(BN39,2,1)</f>
        <v>U</v>
      </c>
      <c r="BM39" s="122" t="str">
        <f>RIGHT(BN39)</f>
        <v>R</v>
      </c>
      <c r="BN39" s="123" t="str">
        <f>IF(BL38="","",OFFSET(Biblioteca!$I$2,MATCH(BL38,Biblioteca!$A$3:$A$200,0),0))</f>
        <v>OUR</v>
      </c>
      <c r="BO39" s="124"/>
      <c r="BP39" s="125"/>
      <c r="BQ39" s="117" t="str">
        <f>IF(BQ38="","",IFS(CB39="A",Montagem!$G$130,CD39="T","Realizar a maior quantidade de repetições por "&amp;BV38&amp;" segundos | ",CD39="I",IF(CC39="U","Manter a posição por "&amp;BV38&amp;" segundos de um lado e trocar para o outro na sequência | ","Manter a posição por "&amp;BV38&amp;" segundos | "),CC39="A","Realizar alternadamente "&amp;BV38&amp;" repetições cada lado | ",CC39="U","Realizar "&amp;BV38&amp;" repetições de um lado e trocar para o outro na sequência | ",CB39="P",OFFSET(Biblioteca!$H$2,MATCH(CC38,Biblioteca!$A$3:$A$200,0),0),TRUE,"")&amp;IF(CD39="R","Ajuste a carga para que tenha "&amp;$K$2&amp;" repetições de reserva",""))</f>
        <v>Ajuste a carga para que tenha 0 a 2 repetições de reserva</v>
      </c>
      <c r="BU39" s="118" t="str">
        <f>IF(BQ38="","",IFS(CB39="H","Carga Sugerida: "&amp;ROUNDUP(CE38/2,0)&amp;" kg de cada lado (Total: "&amp;ROUNDUP(CE38/2,0)*2&amp;" kg)",CB39="C","Este exercício usa o Peso Corporal como carga",CB39="E","Este exercício usa a resistência da banda elástica como carga",CB39="O","Carga Sugerida: "&amp;INT(CE38)&amp;" kg",TRUE,""))</f>
        <v>Carga Sugerida: 15 kg</v>
      </c>
      <c r="BZ39" s="66"/>
      <c r="CA39" s="126">
        <f>CA38</f>
        <v>4</v>
      </c>
      <c r="CB39" s="120" t="str">
        <f>LEFT(CE39)</f>
        <v>O</v>
      </c>
      <c r="CC39" s="121" t="str">
        <f>MID(CE39,2,1)</f>
        <v>O</v>
      </c>
      <c r="CD39" s="122" t="str">
        <f>RIGHT(CE39)</f>
        <v>R</v>
      </c>
      <c r="CE39" s="123" t="str">
        <f>IF(CC38="","",OFFSET(Biblioteca!$I$2,MATCH(CC38,Biblioteca!$A$3:$A$200,0),0))</f>
        <v>OOR</v>
      </c>
      <c r="CF39" s="124"/>
      <c r="CG39" s="125"/>
      <c r="CH39" s="117" t="str">
        <f>IF(CH38="","",IFS(CS39="A",Montagem!$H$130,CU39="T","Realizar a maior quantidade de repetições por "&amp;CM38&amp;" segundos | ",CU39="I",IF(CT39="U","Manter a posição por "&amp;CM38&amp;" segundos de um lado e trocar para o outro na sequência | ","Manter a posição por "&amp;CM38&amp;" segundos | "),CT39="A","Realizar alternadamente "&amp;CM38&amp;" repetições cada lado | ",CT39="U","Realizar "&amp;CM38&amp;" repetições de um lado e trocar para o outro na sequência | ",CS39="P",OFFSET(Biblioteca!$H$2,MATCH(CT38,Biblioteca!$A$3:$A$200,0),0),TRUE,"")&amp;IF(CU39="R","Ajuste a carga para que tenha "&amp;$K$2&amp;" repetições de reserva",""))</f>
        <v/>
      </c>
      <c r="CL39" s="118" t="str">
        <f>IF(CH38="","",IFS(CS39="H","Carga Sugerida: "&amp;ROUNDUP(CV38/2,0)&amp;" kg de cada lado (Total: "&amp;ROUNDUP(CV38/2,0)*2&amp;" kg)",CS39="C","Este exercício usa o Peso Corporal como carga",CS39="E","Este exercício usa a resistência da banda elástica como carga",CS39="O","Carga Sugerida: "&amp;INT(CV38)&amp;" kg",TRUE,""))</f>
        <v/>
      </c>
      <c r="CQ39" s="66"/>
      <c r="CR39" s="126">
        <f>CR38</f>
        <v>1</v>
      </c>
      <c r="CS39" s="120" t="str">
        <f>LEFT(CV39)</f>
        <v/>
      </c>
      <c r="CT39" s="121" t="str">
        <f>MID(CV39,2,1)</f>
        <v/>
      </c>
      <c r="CU39" s="122" t="str">
        <f>RIGHT(CV39)</f>
        <v/>
      </c>
      <c r="CV39" s="123" t="str">
        <f>IF(CT38="","",OFFSET(Biblioteca!$I$2,MATCH(CT38,Biblioteca!$A$3:$A$200,0),0))</f>
        <v/>
      </c>
      <c r="CW39" s="124"/>
      <c r="CX39" s="125"/>
      <c r="CY39" s="117" t="str">
        <f>IF(CY38="","",IFS(DJ39="A",Montagem!$I$130,DL39="T","Realizar a maior quantidade de repetições por "&amp;DD38&amp;" segundos | ",DL39="I",IF(DK39="U","Manter a posição por "&amp;DD38&amp;" segundos de um lado e trocar para o outro na sequência | ","Manter a posição por "&amp;DD38&amp;" segundos | "),DK39="A","Realizar alternadamente "&amp;DD38&amp;" repetições cada lado | ",DK39="U","Realizar "&amp;DD38&amp;" repetições de um lado e trocar para o outro na sequência | ",DJ39="P",OFFSET(Biblioteca!$H$2,MATCH(DK38,Biblioteca!$A$3:$A$200,0),0),TRUE,"")&amp;IF(DL39="R","Ajuste a carga para que tenha "&amp;$K$2&amp;" repetições de reserva",""))</f>
        <v/>
      </c>
      <c r="DC39" s="118" t="str">
        <f>IF(CY38="","",IFS(DJ39="H","Carga Sugerida: "&amp;ROUNDUP(DM38/2,0)&amp;" kg de cada lado (Total: "&amp;ROUNDUP(DM38/2,0)*2&amp;" kg)",DJ39="C","Este exercício usa o Peso Corporal como carga",DJ39="E","Este exercício usa a resistência da banda elástica como carga",DJ39="O","Carga Sugerida: "&amp;INT(DM38)&amp;" kg",TRUE,""))</f>
        <v/>
      </c>
      <c r="DH39" s="66"/>
      <c r="DI39" s="126">
        <f>DI38</f>
        <v>1</v>
      </c>
      <c r="DJ39" s="120" t="str">
        <f>LEFT(DM39)</f>
        <v/>
      </c>
      <c r="DK39" s="121" t="str">
        <f>MID(DM39,2,1)</f>
        <v/>
      </c>
      <c r="DL39" s="122" t="str">
        <f>RIGHT(DM39)</f>
        <v/>
      </c>
      <c r="DM39" s="123" t="str">
        <f>IF(DK38="","",OFFSET(Biblioteca!$I$2,MATCH(DK38,Biblioteca!$A$3:$A$200,0),0))</f>
        <v/>
      </c>
      <c r="DN39" s="124"/>
      <c r="DO39" s="125"/>
      <c r="DP39" s="57"/>
      <c r="DQ39" s="56"/>
      <c r="DR39" s="56"/>
      <c r="DS39" s="56"/>
      <c r="DT39" s="56"/>
      <c r="DU39" s="56"/>
      <c r="DV39" s="56"/>
      <c r="DW39" s="56"/>
      <c r="DX39" s="56"/>
      <c r="DY39" s="56"/>
    </row>
    <row r="40">
      <c r="A40" s="102" t="str">
        <f>IF(M40="","",HYPERLINK(OFFSET(Biblioteca!$B$2,MATCH(M40,Biblioteca!$A$3:$A$200,0),0),M40))</f>
        <v>Fly Inverso</v>
      </c>
      <c r="D40" s="103" t="str">
        <f>Montagem!Q128</f>
        <v>Bi-SET</v>
      </c>
      <c r="E40" s="104">
        <f>Montagem!R128</f>
        <v>3</v>
      </c>
      <c r="F40" s="104">
        <f>Montagem!S128</f>
        <v>10</v>
      </c>
      <c r="G40" s="104" t="str">
        <f>Montagem!T128</f>
        <v/>
      </c>
      <c r="H40" s="104">
        <f>Montagem!U128</f>
        <v>1</v>
      </c>
      <c r="I40" s="132">
        <f>Montagem!V128</f>
        <v>2</v>
      </c>
      <c r="J40" s="105">
        <v>8.0</v>
      </c>
      <c r="K40" s="106">
        <f>Montagem!K128</f>
        <v>6</v>
      </c>
      <c r="L40" s="111">
        <f>Montagem!W128</f>
        <v>8</v>
      </c>
      <c r="M40" s="111" t="str">
        <f>Montagem!L128</f>
        <v>Fly Inverso</v>
      </c>
      <c r="N40" s="111" t="str">
        <f>Montagem!X128</f>
        <v/>
      </c>
      <c r="O40" s="106">
        <f>IF(N40="",L40,N40)</f>
        <v>8</v>
      </c>
      <c r="P40" s="106">
        <f>IF(L41="C",'Dados de Base'!$D$5*0.1,IF(L41="E",5,IF(J40="",O40,J40)))</f>
        <v>8</v>
      </c>
      <c r="Q40" s="108"/>
      <c r="R40" s="102" t="str">
        <f>IF(AD40="","",HYPERLINK(OFFSET(Biblioteca!$B$2,MATCH(AD40,Biblioteca!$A$3:$A$200,0),0),AD40))</f>
        <v>Leg Press</v>
      </c>
      <c r="U40" s="109" t="str">
        <f>Montagem!AF128</f>
        <v>Bi-SET</v>
      </c>
      <c r="V40" s="110">
        <f>Montagem!AG128</f>
        <v>3</v>
      </c>
      <c r="W40" s="110">
        <f>Montagem!AH128</f>
        <v>10</v>
      </c>
      <c r="X40" s="110" t="str">
        <f>Montagem!AI128</f>
        <v/>
      </c>
      <c r="Y40" s="110">
        <f>Montagem!AJ128</f>
        <v>1</v>
      </c>
      <c r="Z40" s="110">
        <f>Montagem!AK128</f>
        <v>2</v>
      </c>
      <c r="AA40" s="113">
        <v>170.0</v>
      </c>
      <c r="AB40" s="111">
        <f>Montagem!Z128</f>
        <v>6</v>
      </c>
      <c r="AC40" s="111">
        <f>Montagem!AL128</f>
        <v>170</v>
      </c>
      <c r="AD40" s="129" t="str">
        <f>Montagem!AA128</f>
        <v>Leg Press</v>
      </c>
      <c r="AE40" s="111" t="str">
        <f>Montagem!AM128</f>
        <v/>
      </c>
      <c r="AF40" s="106">
        <f>IF(AE40="",AC40,AE40)</f>
        <v>170</v>
      </c>
      <c r="AG40" s="106">
        <f>IF(AC41="C",'Dados de Base'!$D$5*0.1,IF(AC41="E",5,IF(AA40="",AF40,AA40)))</f>
        <v>170</v>
      </c>
      <c r="AH40" s="108"/>
      <c r="AI40" s="115" t="str">
        <f>IF(AU40="","",HYPERLINK(OFFSET(Biblioteca!$B$2,MATCH(AU40,Biblioteca!$A$3:$A$200,0),0),AU40))</f>
        <v/>
      </c>
      <c r="AL40" s="109" t="str">
        <f>Montagem!AU128</f>
        <v/>
      </c>
      <c r="AM40" s="110" t="str">
        <f>Montagem!AV128</f>
        <v/>
      </c>
      <c r="AN40" s="110" t="str">
        <f>Montagem!AW128</f>
        <v/>
      </c>
      <c r="AO40" s="110" t="str">
        <f>Montagem!AX128</f>
        <v/>
      </c>
      <c r="AP40" s="110" t="str">
        <f>Montagem!AY128</f>
        <v/>
      </c>
      <c r="AQ40" s="110" t="str">
        <f>Montagem!AZ128</f>
        <v/>
      </c>
      <c r="AR40" s="114"/>
      <c r="AS40" s="111">
        <f>Montagem!AO128</f>
        <v>1</v>
      </c>
      <c r="AT40" s="111" t="str">
        <f>Montagem!BA128</f>
        <v/>
      </c>
      <c r="AU40" s="111" t="str">
        <f>Montagem!AP128</f>
        <v/>
      </c>
      <c r="AV40" s="111" t="str">
        <f>Montagem!BB128</f>
        <v/>
      </c>
      <c r="AW40" s="106" t="str">
        <f>IF(AV40="",AT40,AV40)</f>
        <v/>
      </c>
      <c r="AX40" s="106" t="str">
        <f>IF(AT41="C",'Dados de Base'!$D$5*0.1,IF(AT41="E",5,IF(AR40="",AW40,AR40)))</f>
        <v/>
      </c>
      <c r="AY40" s="108"/>
      <c r="AZ40" s="102" t="str">
        <f>IF(BL40="","",HYPERLINK(OFFSET(Biblioteca!$B$2,MATCH(BL40,Biblioteca!$A$3:$A$200,0),0),BL40))</f>
        <v>Rosca Scott</v>
      </c>
      <c r="BC40" s="109" t="str">
        <f>Montagem!BJ128</f>
        <v>Bi-SET</v>
      </c>
      <c r="BD40" s="110">
        <f>Montagem!BK128</f>
        <v>3</v>
      </c>
      <c r="BE40" s="110">
        <f>Montagem!BL128</f>
        <v>10</v>
      </c>
      <c r="BF40" s="110">
        <f>Montagem!BM128</f>
        <v>60</v>
      </c>
      <c r="BG40" s="110">
        <f>Montagem!BN128</f>
        <v>1</v>
      </c>
      <c r="BH40" s="110">
        <f>Montagem!BO128</f>
        <v>2</v>
      </c>
      <c r="BI40" s="113">
        <v>10.0</v>
      </c>
      <c r="BJ40" s="111">
        <f>Montagem!BD128</f>
        <v>4</v>
      </c>
      <c r="BK40" s="111">
        <f>Montagem!BP128</f>
        <v>10</v>
      </c>
      <c r="BL40" s="111" t="str">
        <f>Montagem!BE128</f>
        <v>Rosca Scott</v>
      </c>
      <c r="BM40" s="111" t="str">
        <f>Montagem!BQ128</f>
        <v/>
      </c>
      <c r="BN40" s="106">
        <f>IF(BM40="",BK40,BM40)</f>
        <v>10</v>
      </c>
      <c r="BO40" s="106">
        <f>IF(BK41="C",'Dados de Base'!$D$5*0.1,IF(BK41="E",5,IF(BI40="",BN40,BI40)))</f>
        <v>10</v>
      </c>
      <c r="BP40" s="108"/>
      <c r="BQ40" s="115" t="str">
        <f>IF(CC40="","",HYPERLINK(OFFSET(Biblioteca!$B$2,MATCH(CC40,Biblioteca!$A$3:$A$200,0),0),CC40))</f>
        <v>Deslocamento Lateral com Miniband</v>
      </c>
      <c r="BT40" s="109" t="str">
        <f>Montagem!BY128</f>
        <v>Bi-SET</v>
      </c>
      <c r="BU40" s="110">
        <f>Montagem!BZ128</f>
        <v>3</v>
      </c>
      <c r="BV40" s="110">
        <f>Montagem!CA128</f>
        <v>10</v>
      </c>
      <c r="BW40" s="110" t="str">
        <f>Montagem!CB128</f>
        <v/>
      </c>
      <c r="BX40" s="110">
        <f>Montagem!CC128</f>
        <v>1</v>
      </c>
      <c r="BY40" s="110">
        <f>Montagem!CD128</f>
        <v>2</v>
      </c>
      <c r="BZ40" s="113">
        <v>10.0</v>
      </c>
      <c r="CA40" s="111">
        <f>Montagem!BS128</f>
        <v>5</v>
      </c>
      <c r="CB40" s="111">
        <f>Montagem!CE128</f>
        <v>0</v>
      </c>
      <c r="CC40" s="111" t="str">
        <f>Montagem!BT128</f>
        <v>Deslocamento Lateral com Miniband</v>
      </c>
      <c r="CD40" s="111" t="str">
        <f>Montagem!CF128</f>
        <v/>
      </c>
      <c r="CE40" s="106">
        <f>IF(CD40="",CB40,CD40)</f>
        <v>0</v>
      </c>
      <c r="CF40" s="106">
        <f>IF(CB41="C",'Dados de Base'!$D$5*0.1,IF(CB41="E",5,IF(BZ40="",CE40,BZ40)))</f>
        <v>5</v>
      </c>
      <c r="CG40" s="108"/>
      <c r="CH40" s="115" t="str">
        <f>IF(CT40="","",HYPERLINK(OFFSET(Biblioteca!$B$2,MATCH(CT40,Biblioteca!$A$3:$A$200,0),0),CT40))</f>
        <v/>
      </c>
      <c r="CK40" s="109" t="str">
        <f>Montagem!CN128</f>
        <v/>
      </c>
      <c r="CL40" s="110" t="str">
        <f>Montagem!CO128</f>
        <v/>
      </c>
      <c r="CM40" s="110" t="str">
        <f>Montagem!CP128</f>
        <v/>
      </c>
      <c r="CN40" s="110" t="str">
        <f>Montagem!CQ128</f>
        <v/>
      </c>
      <c r="CO40" s="110" t="str">
        <f>Montagem!CR128</f>
        <v/>
      </c>
      <c r="CP40" s="110" t="str">
        <f>Montagem!CS128</f>
        <v/>
      </c>
      <c r="CQ40" s="114"/>
      <c r="CR40" s="111">
        <f>Montagem!CH128</f>
        <v>1</v>
      </c>
      <c r="CS40" s="111" t="str">
        <f>Montagem!CT128</f>
        <v/>
      </c>
      <c r="CT40" s="111" t="str">
        <f>Montagem!CI128</f>
        <v/>
      </c>
      <c r="CU40" s="111" t="str">
        <f>Montagem!CU128</f>
        <v/>
      </c>
      <c r="CV40" s="106" t="str">
        <f>IF(CU40="",CS40,CU40)</f>
        <v/>
      </c>
      <c r="CW40" s="106" t="str">
        <f>IF(CS41="C",'Dados de Base'!$D$5*0.1,IF(CS41="E",5,IF(CQ40="",CV40,CQ40)))</f>
        <v/>
      </c>
      <c r="CX40" s="108"/>
      <c r="CY40" s="115" t="str">
        <f>IF(DK40="","",HYPERLINK(OFFSET(Biblioteca!$B$2,MATCH(DK40,Biblioteca!$A$3:$A$200,0),0),DK40))</f>
        <v/>
      </c>
      <c r="DB40" s="130" t="str">
        <f>Montagem!DC128</f>
        <v/>
      </c>
      <c r="DC40" s="131" t="str">
        <f>Montagem!DD128</f>
        <v/>
      </c>
      <c r="DD40" s="131" t="str">
        <f>Montagem!DE128</f>
        <v/>
      </c>
      <c r="DE40" s="131" t="str">
        <f>Montagem!DF128</f>
        <v/>
      </c>
      <c r="DF40" s="131" t="str">
        <f>Montagem!DG128</f>
        <v/>
      </c>
      <c r="DG40" s="131" t="str">
        <f>Montagem!DH128</f>
        <v/>
      </c>
      <c r="DH40" s="114"/>
      <c r="DI40" s="111">
        <f>Montagem!CW128</f>
        <v>1</v>
      </c>
      <c r="DJ40" s="111" t="str">
        <f>Montagem!DI128</f>
        <v/>
      </c>
      <c r="DK40" s="111" t="str">
        <f>Montagem!CX128</f>
        <v/>
      </c>
      <c r="DL40" s="111" t="str">
        <f>Montagem!DJ128</f>
        <v/>
      </c>
      <c r="DM40" s="106" t="str">
        <f>IF(DL40="",DJ40,DL40)</f>
        <v/>
      </c>
      <c r="DN40" s="106" t="str">
        <f>IF(DJ41="C",'Dados de Base'!$D$5*0.1,IF(DJ41="E",5,IF(DH40="",DM40,DH40)))</f>
        <v/>
      </c>
      <c r="DO40" s="108"/>
      <c r="DP40" s="106"/>
      <c r="DQ40" s="106"/>
      <c r="DR40" s="106"/>
      <c r="DS40" s="106"/>
      <c r="DT40" s="106"/>
      <c r="DU40" s="106"/>
      <c r="DV40" s="106"/>
      <c r="DW40" s="106"/>
      <c r="DX40" s="106"/>
      <c r="DY40" s="106"/>
    </row>
    <row r="41">
      <c r="A41" s="117" t="str">
        <f>IF(A40="","",IFS(L41="A",Montagem!$C$130,N41="T","Realizar a maior quantidade de repetições por "&amp;F40&amp;" segundos | ",N41="I",IF(M41="U","Manter a posição por "&amp;F40&amp;" segundos de um lado e trocar para o outro na sequência | ","Manter a posição por "&amp;F40&amp;" segundos | "),M41="A","Realizar alternadamente "&amp;F40&amp;" repetições cada lado | ",M41="U","Realizar "&amp;F40&amp;" repetições de um lado e trocar para o outro na sequência | ",L41="P",OFFSET(Biblioteca!$H$2,MATCH(M40,Biblioteca!$A$3:$A$200,0),0),TRUE,"")&amp;IF(N41="R","Ajuste a carga para que tenha "&amp;$K$2&amp;" repetições de reserva",""))</f>
        <v>Ajuste a carga para que tenha 0 a 2 repetições de reserva</v>
      </c>
      <c r="E41" s="118" t="str">
        <f>IF(A40="","",IFS(L41="H","Carga Sugerida: "&amp;ROUNDUP(O40/2,0)&amp;" kg de cada lado (Total: "&amp;ROUNDUP(O40/2,0)*2&amp;" kg)",L41="C","Este exercício usa o Peso Corporal como carga",L41="E","Este exercício usa a resistência da banda elástica como carga",L41="O","Carga Sugerida: "&amp;INT(O40)&amp;" kg",TRUE,""))</f>
        <v>Carga Sugerida: 8 kg</v>
      </c>
      <c r="J41" s="66"/>
      <c r="K41" s="106">
        <f>K40</f>
        <v>6</v>
      </c>
      <c r="L41" s="120" t="str">
        <f>LEFT(O41)</f>
        <v>O</v>
      </c>
      <c r="M41" s="121" t="str">
        <f>MID(O41,2,1)</f>
        <v>O</v>
      </c>
      <c r="N41" s="122" t="str">
        <f>RIGHT(O41)</f>
        <v>R</v>
      </c>
      <c r="O41" s="123" t="str">
        <f>IF(M40="","",OFFSET(Biblioteca!$I$2,MATCH(M40,Biblioteca!$A$3:$A$200,0),0))</f>
        <v>OOR</v>
      </c>
      <c r="P41" s="124"/>
      <c r="Q41" s="125"/>
      <c r="R41" s="117" t="str">
        <f>IF(R40="","",IFS(AC41="A",Montagem!$D$130,AE41="T","Realizar a maior quantidade de repetições por "&amp;W40&amp;" segundos | ",AE41="I",IF(AD41="U","Manter a posição por "&amp;W40&amp;" segundos de um lado e trocar para o outro na sequência | ","Manter a posição por "&amp;W40&amp;" segundos | "),AD41="A","Realizar alternadamente "&amp;W40&amp;" repetições cada lado | ",AD41="U","Realizar "&amp;W40&amp;" repetições de um lado e trocar para o outro na sequência | ",AC41="P",OFFSET(Biblioteca!$H$2,MATCH(AD40,Biblioteca!$A$3:$A$200,0),0),TRUE,"")&amp;IF(AE41="R","Ajuste a carga para que tenha "&amp;$K$2&amp;" repetições de reserva",""))</f>
        <v>Ajuste a carga para que tenha 0 a 2 repetições de reserva</v>
      </c>
      <c r="V41" s="118" t="str">
        <f>IF(R40="","",IFS(AC41="H","Carga Sugerida: "&amp;ROUNDUP(AF40/2,0)&amp;" kg de cada lado (Total: "&amp;ROUNDUP(AF40/2,0)*2&amp;" kg)",AC41="C","Este exercício usa o Peso Corporal como carga",AC41="E","Este exercício usa a resistência da banda elástica como carga",AC41="O","Carga Sugerida: "&amp;INT(AF40)&amp;" kg",TRUE,""))</f>
        <v>Carga Sugerida: 170 kg</v>
      </c>
      <c r="AA41" s="66"/>
      <c r="AB41" s="126">
        <f>AB40</f>
        <v>6</v>
      </c>
      <c r="AC41" s="120" t="str">
        <f>LEFT(AF41)</f>
        <v>O</v>
      </c>
      <c r="AD41" s="121" t="str">
        <f>MID(AF41,2,1)</f>
        <v>O</v>
      </c>
      <c r="AE41" s="122" t="str">
        <f>RIGHT(AF41)</f>
        <v>R</v>
      </c>
      <c r="AF41" s="123" t="str">
        <f>IF(AD40="","",OFFSET(Biblioteca!$I$2,MATCH(AD40,Biblioteca!$A$3:$A$200,0),0))</f>
        <v>OOR</v>
      </c>
      <c r="AG41" s="124"/>
      <c r="AH41" s="125"/>
      <c r="AI41" s="117" t="str">
        <f>IF(AI40="","",IFS(AT41="A",Montagem!$E$130,AV41="T","Realizar a maior quantidade de repetições por "&amp;AN40&amp;" segundos | ",AV41="I",IF(AU41="U","Manter a posição por "&amp;AN40&amp;" segundos de um lado e trocar para o outro na sequência | ","Manter a posição por "&amp;AN40&amp;" segundos | "),AU41="A","Realizar alternadamente "&amp;AN40&amp;" repetições cada lado | ",AU41="U","Realizar "&amp;AN40&amp;" repetições de um lado e trocar para o outro na sequência | ",AT41="P",OFFSET(Biblioteca!$H$2,MATCH(AU40,Biblioteca!$A$3:$A$200,0),0),TRUE,"")&amp;IF(AV41="R","Ajuste a carga para que tenha "&amp;$K$2&amp;" repetições de reserva",""))</f>
        <v/>
      </c>
      <c r="AM41" s="118" t="str">
        <f>IF(AI40="","",IFS(AT41="H","Carga Sugerida: "&amp;ROUNDUP(AW40/2,0)&amp;" kg de cada lado (Total: "&amp;ROUNDUP(AW40/2,0)*2&amp;" kg)",AT41="C","Este exercício usa o Peso Corporal como carga",AT41="E","Este exercício usa a resistência da banda elástica como carga",AT41="O","Carga Sugerida: "&amp;INT(AW40)&amp;" kg",TRUE,""))</f>
        <v/>
      </c>
      <c r="AR41" s="66"/>
      <c r="AS41" s="126">
        <f>AS40</f>
        <v>1</v>
      </c>
      <c r="AT41" s="120" t="str">
        <f>LEFT(AW41)</f>
        <v/>
      </c>
      <c r="AU41" s="121" t="str">
        <f>MID(AW41,2,1)</f>
        <v/>
      </c>
      <c r="AV41" s="122" t="str">
        <f>RIGHT(AW41)</f>
        <v/>
      </c>
      <c r="AW41" s="123" t="str">
        <f>IF(AU40="","",OFFSET(Biblioteca!$I$2,MATCH(AU40,Biblioteca!$A$3:$A$200,0),0))</f>
        <v/>
      </c>
      <c r="AX41" s="124"/>
      <c r="AY41" s="125"/>
      <c r="AZ41" s="117" t="str">
        <f>IF(AZ40="","",IFS(BK41="A",Montagem!$F$130,BM41="T","Realizar a maior quantidade de repetições por "&amp;BE40&amp;" segundos | ",BM41="I",IF(BL41="U","Manter a posição por "&amp;BE40&amp;" segundos de um lado e trocar para o outro na sequência | ","Manter a posição por "&amp;BE40&amp;" segundos | "),BL41="A","Realizar alternadamente "&amp;BE40&amp;" repetições cada lado | ",BL41="U","Realizar "&amp;BE40&amp;" repetições de um lado e trocar para o outro na sequência | ",BK41="P",OFFSET(Biblioteca!$H$2,MATCH(BL40,Biblioteca!$A$3:$A$200,0),0),TRUE,"")&amp;IF(BM41="R","Ajuste a carga para que tenha "&amp;$K$2&amp;" repetições de reserva",""))</f>
        <v>Ajuste a carga para que tenha 0 a 2 repetições de reserva</v>
      </c>
      <c r="BD41" s="118" t="str">
        <f>IF(AZ40="","",IFS(BK41="H","Carga Sugerida: "&amp;ROUNDUP(BN40/2,0)&amp;" kg de cada lado (Total: "&amp;ROUNDUP(BN40/2,0)*2&amp;" kg)",BK41="C","Este exercício usa o Peso Corporal como carga",BK41="E","Este exercício usa a resistência da banda elástica como carga",BK41="O","Carga Sugerida: "&amp;INT(BN40)&amp;" kg",TRUE,""))</f>
        <v>Carga Sugerida: 10 kg</v>
      </c>
      <c r="BI41" s="66"/>
      <c r="BJ41" s="126">
        <f>BJ40</f>
        <v>4</v>
      </c>
      <c r="BK41" s="120" t="str">
        <f>LEFT(BN41)</f>
        <v>O</v>
      </c>
      <c r="BL41" s="121" t="str">
        <f>MID(BN41,2,1)</f>
        <v>O</v>
      </c>
      <c r="BM41" s="122" t="str">
        <f>RIGHT(BN41)</f>
        <v>R</v>
      </c>
      <c r="BN41" s="123" t="str">
        <f>IF(BL40="","",OFFSET(Biblioteca!$I$2,MATCH(BL40,Biblioteca!$A$3:$A$200,0),0))</f>
        <v>OOR</v>
      </c>
      <c r="BO41" s="124"/>
      <c r="BP41" s="125"/>
      <c r="BQ41" s="117" t="str">
        <f>IF(BQ40="","",IFS(CB41="A",Montagem!$G$130,CD41="T","Realizar a maior quantidade de repetições por "&amp;BV40&amp;" segundos | ",CD41="I",IF(CC41="U","Manter a posição por "&amp;BV40&amp;" segundos de um lado e trocar para o outro na sequência | ","Manter a posição por "&amp;BV40&amp;" segundos | "),CC41="A","Realizar alternadamente "&amp;BV40&amp;" repetições cada lado | ",CC41="U","Realizar "&amp;BV40&amp;" repetições de um lado e trocar para o outro na sequência | ",CB41="P",OFFSET(Biblioteca!$H$2,MATCH(CC40,Biblioteca!$A$3:$A$200,0),0),TRUE,"")&amp;IF(CD41="R","Ajuste a carga para que tenha "&amp;$K$2&amp;" repetições de reserva",""))</f>
        <v>Realizar 10 repetições de um lado e trocar para o outro na sequência | Ajuste a carga para que tenha 0 a 2 repetições de reserva</v>
      </c>
      <c r="BU41" s="118" t="str">
        <f>IF(BQ40="","",IFS(CB41="H","Carga Sugerida: "&amp;ROUNDUP(CE40/2,0)&amp;" kg de cada lado (Total: "&amp;ROUNDUP(CE40/2,0)*2&amp;" kg)",CB41="C","Este exercício usa o Peso Corporal como carga",CB41="E","Este exercício usa a resistência da banda elástica como carga",CB41="O","Carga Sugerida: "&amp;INT(CE40)&amp;" kg",TRUE,""))</f>
        <v>Este exercício usa a resistência da banda elástica como carga</v>
      </c>
      <c r="BZ41" s="66"/>
      <c r="CA41" s="126">
        <f>CA40</f>
        <v>5</v>
      </c>
      <c r="CB41" s="120" t="str">
        <f>LEFT(CE41)</f>
        <v>E</v>
      </c>
      <c r="CC41" s="121" t="str">
        <f>MID(CE41,2,1)</f>
        <v>U</v>
      </c>
      <c r="CD41" s="122" t="str">
        <f>RIGHT(CE41)</f>
        <v>R</v>
      </c>
      <c r="CE41" s="123" t="str">
        <f>IF(CC40="","",OFFSET(Biblioteca!$I$2,MATCH(CC40,Biblioteca!$A$3:$A$200,0),0))</f>
        <v>EUR</v>
      </c>
      <c r="CF41" s="124"/>
      <c r="CG41" s="125"/>
      <c r="CH41" s="117" t="str">
        <f>IF(CH40="","",IFS(CS41="A",Montagem!$H$130,CU41="T","Realizar a maior quantidade de repetições por "&amp;CM40&amp;" segundos | ",CU41="I",IF(CT41="U","Manter a posição por "&amp;CM40&amp;" segundos de um lado e trocar para o outro na sequência | ","Manter a posição por "&amp;CM40&amp;" segundos | "),CT41="A","Realizar alternadamente "&amp;CM40&amp;" repetições cada lado | ",CT41="U","Realizar "&amp;CM40&amp;" repetições de um lado e trocar para o outro na sequência | ",CS41="P",OFFSET(Biblioteca!$H$2,MATCH(CT40,Biblioteca!$A$3:$A$200,0),0),TRUE,"")&amp;IF(CU41="R","Ajuste a carga para que tenha "&amp;$K$2&amp;" repetições de reserva",""))</f>
        <v/>
      </c>
      <c r="CL41" s="118" t="str">
        <f>IF(CH40="","",IFS(CS41="H","Carga Sugerida: "&amp;ROUNDUP(CV40/2,0)&amp;" kg de cada lado (Total: "&amp;ROUNDUP(CV40/2,0)*2&amp;" kg)",CS41="C","Este exercício usa o Peso Corporal como carga",CS41="E","Este exercício usa a resistência da banda elástica como carga",CS41="O","Carga Sugerida: "&amp;INT(CV40)&amp;" kg",TRUE,""))</f>
        <v/>
      </c>
      <c r="CQ41" s="66"/>
      <c r="CR41" s="126">
        <f>CR40</f>
        <v>1</v>
      </c>
      <c r="CS41" s="120" t="str">
        <f>LEFT(CV41)</f>
        <v/>
      </c>
      <c r="CT41" s="121" t="str">
        <f>MID(CV41,2,1)</f>
        <v/>
      </c>
      <c r="CU41" s="122" t="str">
        <f>RIGHT(CV41)</f>
        <v/>
      </c>
      <c r="CV41" s="123" t="str">
        <f>IF(CT40="","",OFFSET(Biblioteca!$I$2,MATCH(CT40,Biblioteca!$A$3:$A$200,0),0))</f>
        <v/>
      </c>
      <c r="CW41" s="124"/>
      <c r="CX41" s="125"/>
      <c r="CY41" s="117" t="str">
        <f>IF(CY40="","",IFS(DJ41="A",Montagem!$I$130,DL41="T","Realizar a maior quantidade de repetições por "&amp;DD40&amp;" segundos | ",DL41="I",IF(DK41="U","Manter a posição por "&amp;DD40&amp;" segundos de um lado e trocar para o outro na sequência | ","Manter a posição por "&amp;DD40&amp;" segundos | "),DK41="A","Realizar alternadamente "&amp;DD40&amp;" repetições cada lado | ",DK41="U","Realizar "&amp;DD40&amp;" repetições de um lado e trocar para o outro na sequência | ",DJ41="P",OFFSET(Biblioteca!$H$2,MATCH(DK40,Biblioteca!$A$3:$A$200,0),0),TRUE,"")&amp;IF(DL41="R","Ajuste a carga para que tenha "&amp;$K$2&amp;" repetições de reserva",""))</f>
        <v/>
      </c>
      <c r="DC41" s="118" t="str">
        <f>IF(CY40="","",IFS(DJ41="H","Carga Sugerida: "&amp;ROUNDUP(DM40/2,0)&amp;" kg de cada lado (Total: "&amp;ROUNDUP(DM40/2,0)*2&amp;" kg)",DJ41="C","Este exercício usa o Peso Corporal como carga",DJ41="E","Este exercício usa a resistência da banda elástica como carga",DJ41="O","Carga Sugerida: "&amp;INT(DM40)&amp;" kg",TRUE,""))</f>
        <v/>
      </c>
      <c r="DH41" s="66"/>
      <c r="DI41" s="126">
        <f>DI40</f>
        <v>1</v>
      </c>
      <c r="DJ41" s="120" t="str">
        <f>LEFT(DM41)</f>
        <v/>
      </c>
      <c r="DK41" s="121" t="str">
        <f>MID(DM41,2,1)</f>
        <v/>
      </c>
      <c r="DL41" s="122" t="str">
        <f>RIGHT(DM41)</f>
        <v/>
      </c>
      <c r="DM41" s="123" t="str">
        <f>IF(DK40="","",OFFSET(Biblioteca!$I$2,MATCH(DK40,Biblioteca!$A$3:$A$200,0),0))</f>
        <v/>
      </c>
      <c r="DN41" s="124"/>
      <c r="DO41" s="125"/>
      <c r="DP41" s="57"/>
      <c r="DQ41" s="56"/>
      <c r="DR41" s="56"/>
      <c r="DS41" s="56"/>
      <c r="DT41" s="56"/>
      <c r="DU41" s="56"/>
      <c r="DV41" s="56"/>
      <c r="DW41" s="56"/>
      <c r="DX41" s="56"/>
      <c r="DY41" s="56"/>
    </row>
    <row r="42">
      <c r="A42" s="102" t="str">
        <f>IF(M42="","",HYPERLINK(OFFSET(Biblioteca!$B$2,MATCH(M42,Biblioteca!$A$3:$A$200,0),0),M42))</f>
        <v>Rosca Direta</v>
      </c>
      <c r="D42" s="103" t="str">
        <f>Montagem!Q129</f>
        <v>Bi-SET</v>
      </c>
      <c r="E42" s="104">
        <f>Montagem!R129</f>
        <v>3</v>
      </c>
      <c r="F42" s="104">
        <f>Montagem!S129</f>
        <v>10</v>
      </c>
      <c r="G42" s="104">
        <f>Montagem!T129</f>
        <v>60</v>
      </c>
      <c r="H42" s="104">
        <f>Montagem!U129</f>
        <v>1</v>
      </c>
      <c r="I42" s="132">
        <f>Montagem!V129</f>
        <v>2</v>
      </c>
      <c r="J42" s="105">
        <v>20.0</v>
      </c>
      <c r="K42" s="106">
        <f>Montagem!K129</f>
        <v>6</v>
      </c>
      <c r="L42" s="111">
        <f>Montagem!W129</f>
        <v>20</v>
      </c>
      <c r="M42" s="111" t="str">
        <f>Montagem!L129</f>
        <v>Rosca Direta</v>
      </c>
      <c r="N42" s="111" t="str">
        <f>Montagem!X129</f>
        <v/>
      </c>
      <c r="O42" s="106">
        <f>IF(N42="",L42,N42)</f>
        <v>20</v>
      </c>
      <c r="P42" s="106">
        <f>IF(L43="C",'Dados de Base'!$D$5*0.1,IF(L43="E",5,IF(J42="",O42,J42)))</f>
        <v>20</v>
      </c>
      <c r="Q42" s="108"/>
      <c r="R42" s="102" t="str">
        <f>IF(AD42="","",HYPERLINK(OFFSET(Biblioteca!$B$2,MATCH(AD42,Biblioteca!$A$3:$A$200,0),0),AD42))</f>
        <v>Panturrilha Leg Press</v>
      </c>
      <c r="U42" s="109" t="str">
        <f>Montagem!AF129</f>
        <v>Bi-SET</v>
      </c>
      <c r="V42" s="110">
        <f>Montagem!AG129</f>
        <v>3</v>
      </c>
      <c r="W42" s="110">
        <f>Montagem!AH129</f>
        <v>10</v>
      </c>
      <c r="X42" s="110">
        <f>Montagem!AI129</f>
        <v>60</v>
      </c>
      <c r="Y42" s="110">
        <f>Montagem!AJ129</f>
        <v>1</v>
      </c>
      <c r="Z42" s="110">
        <f>Montagem!AK129</f>
        <v>2</v>
      </c>
      <c r="AA42" s="105">
        <v>220.0</v>
      </c>
      <c r="AB42" s="111">
        <f>Montagem!Z129</f>
        <v>6</v>
      </c>
      <c r="AC42" s="111">
        <f>Montagem!AL129</f>
        <v>220.5</v>
      </c>
      <c r="AD42" s="129" t="str">
        <f>Montagem!AA129</f>
        <v>Panturrilha Leg Press</v>
      </c>
      <c r="AE42" s="111" t="str">
        <f>Montagem!AM129</f>
        <v/>
      </c>
      <c r="AF42" s="106">
        <f>IF(AE42="",AC42,AE42)</f>
        <v>220.5</v>
      </c>
      <c r="AG42" s="106">
        <f>IF(AC43="C",'Dados de Base'!$D$5*0.1,IF(AC43="E",5,IF(AA42="",AF42,AA42)))</f>
        <v>220</v>
      </c>
      <c r="AH42" s="108"/>
      <c r="AI42" s="115" t="str">
        <f>IF(AU42="","",HYPERLINK(OFFSET(Biblioteca!$B$2,MATCH(AU42,Biblioteca!$A$3:$A$200,0),0),AU42))</f>
        <v/>
      </c>
      <c r="AL42" s="109" t="str">
        <f>Montagem!AU129</f>
        <v/>
      </c>
      <c r="AM42" s="110" t="str">
        <f>Montagem!AV129</f>
        <v/>
      </c>
      <c r="AN42" s="110" t="str">
        <f>Montagem!AW129</f>
        <v/>
      </c>
      <c r="AO42" s="110" t="str">
        <f>Montagem!AX129</f>
        <v/>
      </c>
      <c r="AP42" s="110" t="str">
        <f>Montagem!AY129</f>
        <v/>
      </c>
      <c r="AQ42" s="110" t="str">
        <f>Montagem!AZ129</f>
        <v/>
      </c>
      <c r="AR42" s="114"/>
      <c r="AS42" s="111">
        <f>Montagem!AO129</f>
        <v>1</v>
      </c>
      <c r="AT42" s="111" t="str">
        <f>Montagem!BA129</f>
        <v/>
      </c>
      <c r="AU42" s="111" t="str">
        <f>Montagem!AP129</f>
        <v/>
      </c>
      <c r="AV42" s="111" t="str">
        <f>Montagem!BB129</f>
        <v/>
      </c>
      <c r="AW42" s="106" t="str">
        <f>IF(AV42="",AT42,AV42)</f>
        <v/>
      </c>
      <c r="AX42" s="106" t="str">
        <f>IF(AT43="C",'Dados de Base'!$D$5*0.1,IF(AT43="E",5,IF(AR42="",AW42,AR42)))</f>
        <v/>
      </c>
      <c r="AY42" s="108"/>
      <c r="AZ42" s="102" t="str">
        <f>IF(BL42="","",HYPERLINK(OFFSET(Biblioteca!$B$2,MATCH(BL42,Biblioteca!$A$3:$A$200,0),0),BL42))</f>
        <v>Abdominal Reto</v>
      </c>
      <c r="BC42" s="109" t="str">
        <f>Montagem!BJ129</f>
        <v>Tri-SET</v>
      </c>
      <c r="BD42" s="110">
        <f>Montagem!BK129</f>
        <v>3</v>
      </c>
      <c r="BE42" s="110">
        <f>Montagem!BL129</f>
        <v>20</v>
      </c>
      <c r="BF42" s="110" t="str">
        <f>Montagem!BM129</f>
        <v/>
      </c>
      <c r="BG42" s="110">
        <f>Montagem!BN129</f>
        <v>1</v>
      </c>
      <c r="BH42" s="110">
        <f>Montagem!BO129</f>
        <v>1</v>
      </c>
      <c r="BI42" s="113">
        <v>10.0</v>
      </c>
      <c r="BJ42" s="111">
        <f>Montagem!BD129</f>
        <v>5</v>
      </c>
      <c r="BK42" s="111">
        <f>Montagem!BP129</f>
        <v>0</v>
      </c>
      <c r="BL42" s="111" t="str">
        <f>Montagem!BE129</f>
        <v>Abdominal Reto</v>
      </c>
      <c r="BM42" s="111" t="str">
        <f>Montagem!BQ129</f>
        <v/>
      </c>
      <c r="BN42" s="106">
        <f>IF(BM42="",BK42,BM42)</f>
        <v>0</v>
      </c>
      <c r="BO42" s="106">
        <f>IF(BK43="C",'Dados de Base'!$D$5*0.1,IF(BK43="E",5,IF(BI42="",BN42,BI42)))</f>
        <v>6.3</v>
      </c>
      <c r="BP42" s="108"/>
      <c r="BQ42" s="102" t="str">
        <f>IF(CC42="","",HYPERLINK(OFFSET(Biblioteca!$B$2,MATCH(CC42,Biblioteca!$A$3:$A$200,0),0),CC42))</f>
        <v>Extensão de Quadril com elástico</v>
      </c>
      <c r="BT42" s="109" t="str">
        <f>Montagem!BY129</f>
        <v>Bi-SET</v>
      </c>
      <c r="BU42" s="110">
        <f>Montagem!BZ129</f>
        <v>3</v>
      </c>
      <c r="BV42" s="110">
        <f>Montagem!CA129</f>
        <v>10</v>
      </c>
      <c r="BW42" s="110">
        <f>Montagem!CB129</f>
        <v>60</v>
      </c>
      <c r="BX42" s="110">
        <f>Montagem!CC129</f>
        <v>1</v>
      </c>
      <c r="BY42" s="110">
        <f>Montagem!CD129</f>
        <v>2</v>
      </c>
      <c r="BZ42" s="113">
        <v>10.0</v>
      </c>
      <c r="CA42" s="111">
        <f>Montagem!BS129</f>
        <v>5</v>
      </c>
      <c r="CB42" s="111">
        <f>Montagem!CE129</f>
        <v>0</v>
      </c>
      <c r="CC42" s="111" t="str">
        <f>Montagem!BT129</f>
        <v>Extensão de Quadril com elástico</v>
      </c>
      <c r="CD42" s="111" t="str">
        <f>Montagem!CF129</f>
        <v/>
      </c>
      <c r="CE42" s="106">
        <f>IF(CD42="",CB42,CD42)</f>
        <v>0</v>
      </c>
      <c r="CF42" s="106">
        <f>IF(CB43="C",'Dados de Base'!$D$5*0.1,IF(CB43="E",5,IF(BZ42="",CE42,BZ42)))</f>
        <v>5</v>
      </c>
      <c r="CG42" s="108"/>
      <c r="CH42" s="115" t="str">
        <f>IF(CT42="","",HYPERLINK(OFFSET(Biblioteca!$B$2,MATCH(CT42,Biblioteca!$A$3:$A$200,0),0),CT42))</f>
        <v/>
      </c>
      <c r="CK42" s="109" t="str">
        <f>Montagem!CN129</f>
        <v/>
      </c>
      <c r="CL42" s="110" t="str">
        <f>Montagem!CO129</f>
        <v/>
      </c>
      <c r="CM42" s="110" t="str">
        <f>Montagem!CP129</f>
        <v/>
      </c>
      <c r="CN42" s="110" t="str">
        <f>Montagem!CQ129</f>
        <v/>
      </c>
      <c r="CO42" s="110" t="str">
        <f>Montagem!CR129</f>
        <v/>
      </c>
      <c r="CP42" s="110" t="str">
        <f>Montagem!CS129</f>
        <v/>
      </c>
      <c r="CQ42" s="114"/>
      <c r="CR42" s="111">
        <f>Montagem!CH129</f>
        <v>1</v>
      </c>
      <c r="CS42" s="111" t="str">
        <f>Montagem!CT129</f>
        <v/>
      </c>
      <c r="CT42" s="111" t="str">
        <f>Montagem!CI129</f>
        <v/>
      </c>
      <c r="CU42" s="111" t="str">
        <f>Montagem!CU129</f>
        <v/>
      </c>
      <c r="CV42" s="106" t="str">
        <f>IF(CU42="",CS42,CU42)</f>
        <v/>
      </c>
      <c r="CW42" s="106" t="str">
        <f>IF(CS43="C",'Dados de Base'!$D$5*0.1,IF(CS43="E",5,IF(CQ42="",CV42,CQ42)))</f>
        <v/>
      </c>
      <c r="CX42" s="108"/>
      <c r="CY42" s="115" t="str">
        <f>IF(DK42="","",HYPERLINK(OFFSET(Biblioteca!$B$2,MATCH(DK42,Biblioteca!$A$3:$A$200,0),0),DK42))</f>
        <v/>
      </c>
      <c r="DB42" s="130" t="str">
        <f>Montagem!DC129</f>
        <v/>
      </c>
      <c r="DC42" s="131" t="str">
        <f>Montagem!DD129</f>
        <v/>
      </c>
      <c r="DD42" s="131" t="str">
        <f>Montagem!DE129</f>
        <v/>
      </c>
      <c r="DE42" s="131" t="str">
        <f>Montagem!DF129</f>
        <v/>
      </c>
      <c r="DF42" s="131" t="str">
        <f>Montagem!DG129</f>
        <v/>
      </c>
      <c r="DG42" s="131" t="str">
        <f>Montagem!DH129</f>
        <v/>
      </c>
      <c r="DH42" s="114"/>
      <c r="DI42" s="111">
        <f>Montagem!CW129</f>
        <v>1</v>
      </c>
      <c r="DJ42" s="111" t="str">
        <f>Montagem!DI129</f>
        <v/>
      </c>
      <c r="DK42" s="111" t="str">
        <f>Montagem!CX129</f>
        <v/>
      </c>
      <c r="DL42" s="111" t="str">
        <f>Montagem!DJ129</f>
        <v/>
      </c>
      <c r="DM42" s="106" t="str">
        <f>IF(DL42="",DJ42,DL42)</f>
        <v/>
      </c>
      <c r="DN42" s="106" t="str">
        <f>IF(DJ43="C",'Dados de Base'!$D$5*0.1,IF(DJ43="E",5,IF(DH42="",DM42,DH42)))</f>
        <v/>
      </c>
      <c r="DO42" s="108"/>
      <c r="DP42" s="106"/>
      <c r="DQ42" s="106"/>
      <c r="DR42" s="106"/>
      <c r="DS42" s="106"/>
      <c r="DT42" s="106"/>
      <c r="DU42" s="106"/>
      <c r="DV42" s="106"/>
      <c r="DW42" s="106"/>
      <c r="DX42" s="106"/>
      <c r="DY42" s="106"/>
    </row>
    <row r="43">
      <c r="A43" s="117" t="str">
        <f>IF(A42="","",IFS(L43="A",Montagem!$C$130,N43="T","Realizar a maior quantidade de repetições por "&amp;F42&amp;" segundos | ",N43="I",IF(M43="U","Manter a posição por "&amp;F42&amp;" segundos de um lado e trocar para o outro na sequência | ","Manter a posição por "&amp;F42&amp;" segundos | "),M43="A","Realizar alternadamente "&amp;F42&amp;" repetições cada lado | ",M43="U","Realizar "&amp;F42&amp;" repetições de um lado e trocar para o outro na sequência | ",L43="P",OFFSET(Biblioteca!$H$2,MATCH(M42,Biblioteca!$A$3:$A$200,0),0),TRUE,"")&amp;IF(N43="R","Ajuste a carga para que tenha "&amp;$K$2&amp;" repetições de reserva",""))</f>
        <v>Ajuste a carga para que tenha 0 a 2 repetições de reserva</v>
      </c>
      <c r="E43" s="118" t="str">
        <f>IF(A42="","",IFS(L43="H","Carga Sugerida: "&amp;ROUNDUP(O42/2,0)&amp;" kg de cada lado (Total: "&amp;ROUNDUP(O42/2,0)*2&amp;" kg)",L43="C","Este exercício usa o Peso Corporal como carga",L43="E","Este exercício usa a resistência da banda elástica como carga",L43="O","Carga Sugerida: "&amp;INT(O42)&amp;" kg",TRUE,""))</f>
        <v>Carga Sugerida: 20 kg</v>
      </c>
      <c r="J43" s="66"/>
      <c r="K43" s="106">
        <f>K42</f>
        <v>6</v>
      </c>
      <c r="L43" s="120" t="str">
        <f>LEFT(O43)</f>
        <v>O</v>
      </c>
      <c r="M43" s="121" t="str">
        <f>MID(O43,2,1)</f>
        <v>O</v>
      </c>
      <c r="N43" s="122" t="str">
        <f>RIGHT(O43)</f>
        <v>R</v>
      </c>
      <c r="O43" s="123" t="str">
        <f>IF(M42="","",OFFSET(Biblioteca!$I$2,MATCH(M42,Biblioteca!$A$3:$A$200,0),0))</f>
        <v>OOR</v>
      </c>
      <c r="P43" s="124"/>
      <c r="Q43" s="125"/>
      <c r="R43" s="117" t="str">
        <f>IF(R42="","",IFS(AC43="A",Montagem!$D$130,AE43="T","Realizar a maior quantidade de repetições por "&amp;W42&amp;" segundos | ",AE43="I",IF(AD43="U","Manter a posição por "&amp;W42&amp;" segundos de um lado e trocar para o outro na sequência | ","Manter a posição por "&amp;W42&amp;" segundos | "),AD43="A","Realizar alternadamente "&amp;W42&amp;" repetições cada lado | ",AD43="U","Realizar "&amp;W42&amp;" repetições de um lado e trocar para o outro na sequência | ",AC43="P",OFFSET(Biblioteca!$H$2,MATCH(AD42,Biblioteca!$A$3:$A$200,0),0),TRUE,"")&amp;IF(AE43="R","Ajuste a carga para que tenha "&amp;$K$2&amp;" repetições de reserva",""))</f>
        <v>Ajuste a carga para que tenha 0 a 2 repetições de reserva</v>
      </c>
      <c r="V43" s="118" t="str">
        <f>IF(R42="","",IFS(AC43="H","Carga Sugerida: "&amp;ROUNDUP(AF42/2,0)&amp;" kg de cada lado (Total: "&amp;ROUNDUP(AF42/2,0)*2&amp;" kg)",AC43="C","Este exercício usa o Peso Corporal como carga",AC43="E","Este exercício usa a resistência da banda elástica como carga",AC43="O","Carga Sugerida: "&amp;INT(AF42)&amp;" kg",TRUE,""))</f>
        <v>Carga Sugerida: 220 kg</v>
      </c>
      <c r="AA43" s="66"/>
      <c r="AB43" s="126">
        <f>AB42</f>
        <v>6</v>
      </c>
      <c r="AC43" s="120" t="str">
        <f>LEFT(AF43)</f>
        <v>O</v>
      </c>
      <c r="AD43" s="121" t="str">
        <f>MID(AF43,2,1)</f>
        <v>O</v>
      </c>
      <c r="AE43" s="122" t="str">
        <f>RIGHT(AF43)</f>
        <v>R</v>
      </c>
      <c r="AF43" s="123" t="str">
        <f>IF(AD42="","",OFFSET(Biblioteca!$I$2,MATCH(AD42,Biblioteca!$A$3:$A$200,0),0))</f>
        <v>OOR</v>
      </c>
      <c r="AG43" s="124"/>
      <c r="AH43" s="125"/>
      <c r="AI43" s="117" t="str">
        <f>IF(AI42="","",IFS(AT43="A",Montagem!$E$130,AV43="T","Realizar a maior quantidade de repetições por "&amp;AN42&amp;" segundos | ",AV43="I",IF(AU43="U","Manter a posição por "&amp;AN42&amp;" segundos de um lado e trocar para o outro na sequência | ","Manter a posição por "&amp;AN42&amp;" segundos | "),AU43="A","Realizar alternadamente "&amp;AN42&amp;" repetições cada lado | ",AU43="U","Realizar "&amp;AN42&amp;" repetições de um lado e trocar para o outro na sequência | ",AT43="P",OFFSET(Biblioteca!$H$2,MATCH(AU42,Biblioteca!$A$3:$A$200,0),0),TRUE,"")&amp;IF(AV43="R","Ajuste a carga para que tenha "&amp;$K$2&amp;" repetições de reserva",""))</f>
        <v/>
      </c>
      <c r="AM43" s="118" t="str">
        <f>IF(AI42="","",IFS(AT43="H","Carga Sugerida: "&amp;ROUNDUP(AW42/2,0)&amp;" kg de cada lado (Total: "&amp;ROUNDUP(AW42/2,0)*2&amp;" kg)",AT43="C","Este exercício usa o Peso Corporal como carga",AT43="E","Este exercício usa a resistência da banda elástica como carga",AT43="O","Carga Sugerida: "&amp;INT(AW42)&amp;" kg",TRUE,""))</f>
        <v/>
      </c>
      <c r="AR43" s="66"/>
      <c r="AS43" s="126">
        <f>AS42</f>
        <v>1</v>
      </c>
      <c r="AT43" s="120" t="str">
        <f>LEFT(AW43)</f>
        <v/>
      </c>
      <c r="AU43" s="121" t="str">
        <f>MID(AW43,2,1)</f>
        <v/>
      </c>
      <c r="AV43" s="122" t="str">
        <f>RIGHT(AW43)</f>
        <v/>
      </c>
      <c r="AW43" s="123" t="str">
        <f>IF(AU42="","",OFFSET(Biblioteca!$I$2,MATCH(AU42,Biblioteca!$A$3:$A$200,0),0))</f>
        <v/>
      </c>
      <c r="AX43" s="124"/>
      <c r="AY43" s="125"/>
      <c r="AZ43" s="117" t="str">
        <f>IF(AZ42="","",IFS(BK43="A",Montagem!$F$130,BM43="T","Realizar a maior quantidade de repetições por "&amp;BE42&amp;" segundos | ",BM43="I",IF(BL43="U","Manter a posição por "&amp;BE42&amp;" segundos de um lado e trocar para o outro na sequência | ","Manter a posição por "&amp;BE42&amp;" segundos | "),BL43="A","Realizar alternadamente "&amp;BE42&amp;" repetições cada lado | ",BL43="U","Realizar "&amp;BE42&amp;" repetições de um lado e trocar para o outro na sequência | ",BK43="P",OFFSET(Biblioteca!$H$2,MATCH(BL42,Biblioteca!$A$3:$A$200,0),0),TRUE,"")&amp;IF(BM43="R","Ajuste a carga para que tenha "&amp;$K$2&amp;" repetições de reserva",""))</f>
        <v>Ajuste a carga para que tenha 0 a 2 repetições de reserva</v>
      </c>
      <c r="BD43" s="118" t="str">
        <f>IF(AZ42="","",IFS(BK43="H","Carga Sugerida: "&amp;ROUNDUP(BN42/2,0)&amp;" kg de cada lado (Total: "&amp;ROUNDUP(BN42/2,0)*2&amp;" kg)",BK43="C","Este exercício usa o Peso Corporal como carga",BK43="E","Este exercício usa a resistência da banda elástica como carga",BK43="O","Carga Sugerida: "&amp;INT(BN42)&amp;" kg",TRUE,""))</f>
        <v>Este exercício usa o Peso Corporal como carga</v>
      </c>
      <c r="BI43" s="66"/>
      <c r="BJ43" s="126">
        <f>BJ42</f>
        <v>5</v>
      </c>
      <c r="BK43" s="120" t="str">
        <f>LEFT(BN43)</f>
        <v>C</v>
      </c>
      <c r="BL43" s="121" t="str">
        <f>MID(BN43,2,1)</f>
        <v>O</v>
      </c>
      <c r="BM43" s="122" t="str">
        <f>RIGHT(BN43)</f>
        <v>R</v>
      </c>
      <c r="BN43" s="123" t="str">
        <f>IF(BL42="","",OFFSET(Biblioteca!$I$2,MATCH(BL42,Biblioteca!$A$3:$A$200,0),0))</f>
        <v>COR</v>
      </c>
      <c r="BO43" s="124"/>
      <c r="BP43" s="125"/>
      <c r="BQ43" s="117" t="str">
        <f>IF(BQ42="","",IFS(CB43="A",Montagem!$G$130,CD43="T","Realizar a maior quantidade de repetições por "&amp;BV42&amp;" segundos | ",CD43="I",IF(CC43="U","Manter a posição por "&amp;BV42&amp;" segundos de um lado e trocar para o outro na sequência | ","Manter a posição por "&amp;BV42&amp;" segundos | "),CC43="A","Realizar alternadamente "&amp;BV42&amp;" repetições cada lado | ",CC43="U","Realizar "&amp;BV42&amp;" repetições de um lado e trocar para o outro na sequência | ",CB43="P",OFFSET(Biblioteca!$H$2,MATCH(CC42,Biblioteca!$A$3:$A$200,0),0),TRUE,"")&amp;IF(CD43="R","Ajuste a carga para que tenha "&amp;$K$2&amp;" repetições de reserva",""))</f>
        <v>Realizar 10 repetições de um lado e trocar para o outro na sequência | Ajuste a carga para que tenha 0 a 2 repetições de reserva</v>
      </c>
      <c r="BU43" s="118" t="str">
        <f>IF(BQ42="","",IFS(CB43="H","Carga Sugerida: "&amp;ROUNDUP(CE42/2,0)&amp;" kg de cada lado (Total: "&amp;ROUNDUP(CE42/2,0)*2&amp;" kg)",CB43="C","Este exercício usa o Peso Corporal como carga",CB43="E","Este exercício usa a resistência da banda elástica como carga",CB43="O","Carga Sugerida: "&amp;INT(CE42)&amp;" kg",TRUE,""))</f>
        <v>Este exercício usa a resistência da banda elástica como carga</v>
      </c>
      <c r="BZ43" s="66"/>
      <c r="CA43" s="126">
        <f>CA42</f>
        <v>5</v>
      </c>
      <c r="CB43" s="120" t="str">
        <f>LEFT(CE43)</f>
        <v>E</v>
      </c>
      <c r="CC43" s="121" t="str">
        <f>MID(CE43,2,1)</f>
        <v>U</v>
      </c>
      <c r="CD43" s="122" t="str">
        <f>RIGHT(CE43)</f>
        <v>R</v>
      </c>
      <c r="CE43" s="123" t="str">
        <f>IF(CC42="","",OFFSET(Biblioteca!$I$2,MATCH(CC42,Biblioteca!$A$3:$A$200,0),0))</f>
        <v>EUR</v>
      </c>
      <c r="CF43" s="124"/>
      <c r="CG43" s="125"/>
      <c r="CH43" s="117" t="str">
        <f>IF(CH42="","",IFS(CS43="A",Montagem!$H$130,CU43="T","Realizar a maior quantidade de repetições por "&amp;CM42&amp;" segundos | ",CU43="I",IF(CT43="U","Manter a posição por "&amp;CM42&amp;" segundos de um lado e trocar para o outro na sequência | ","Manter a posição por "&amp;CM42&amp;" segundos | "),CT43="A","Realizar alternadamente "&amp;CM42&amp;" repetições cada lado | ",CT43="U","Realizar "&amp;CM42&amp;" repetições de um lado e trocar para o outro na sequência | ",CS43="P",OFFSET(Biblioteca!$H$2,MATCH(CT42,Biblioteca!$A$3:$A$200,0),0),TRUE,"")&amp;IF(CU43="R","Ajuste a carga para que tenha "&amp;$K$2&amp;" repetições de reserva",""))</f>
        <v/>
      </c>
      <c r="CL43" s="118" t="str">
        <f>IF(CH42="","",IFS(CS43="H","Carga Sugerida: "&amp;ROUNDUP(CV42/2,0)&amp;" kg de cada lado (Total: "&amp;ROUNDUP(CV42/2,0)*2&amp;" kg)",CS43="C","Este exercício usa o Peso Corporal como carga",CS43="E","Este exercício usa a resistência da banda elástica como carga",CS43="O","Carga Sugerida: "&amp;INT(CV42)&amp;" kg",TRUE,""))</f>
        <v/>
      </c>
      <c r="CQ43" s="66"/>
      <c r="CR43" s="126">
        <f>CR42</f>
        <v>1</v>
      </c>
      <c r="CS43" s="120" t="str">
        <f>LEFT(CV43)</f>
        <v/>
      </c>
      <c r="CT43" s="121" t="str">
        <f>MID(CV43,2,1)</f>
        <v/>
      </c>
      <c r="CU43" s="122" t="str">
        <f>RIGHT(CV43)</f>
        <v/>
      </c>
      <c r="CV43" s="123" t="str">
        <f>IF(CT42="","",OFFSET(Biblioteca!$I$2,MATCH(CT42,Biblioteca!$A$3:$A$200,0),0))</f>
        <v/>
      </c>
      <c r="CW43" s="124"/>
      <c r="CX43" s="125"/>
      <c r="CY43" s="117" t="str">
        <f>IF(CY42="","",IFS(DJ43="A",Montagem!$I$130,DL43="T","Realizar a maior quantidade de repetições por "&amp;DD42&amp;" segundos | ",DL43="I",IF(DK43="U","Manter a posição por "&amp;DD42&amp;" segundos de um lado e trocar para o outro na sequência | ","Manter a posição por "&amp;DD42&amp;" segundos | "),DK43="A","Realizar alternadamente "&amp;DD42&amp;" repetições cada lado | ",DK43="U","Realizar "&amp;DD42&amp;" repetições de um lado e trocar para o outro na sequência | ",DJ43="P",OFFSET(Biblioteca!$H$2,MATCH(DK42,Biblioteca!$A$3:$A$200,0),0),TRUE,"")&amp;IF(DL43="R","Ajuste a carga para que tenha "&amp;$K$2&amp;" repetições de reserva",""))</f>
        <v/>
      </c>
      <c r="DC43" s="118" t="str">
        <f>IF(CY42="","",IFS(DJ43="H","Carga Sugerida: "&amp;ROUNDUP(DM42/2,0)&amp;" kg de cada lado (Total: "&amp;ROUNDUP(DM42/2,0)*2&amp;" kg)",DJ43="C","Este exercício usa o Peso Corporal como carga",DJ43="E","Este exercício usa a resistência da banda elástica como carga",DJ43="O","Carga Sugerida: "&amp;INT(DM42)&amp;" kg",TRUE,""))</f>
        <v/>
      </c>
      <c r="DH43" s="66"/>
      <c r="DI43" s="126">
        <f>DI42</f>
        <v>1</v>
      </c>
      <c r="DJ43" s="120" t="str">
        <f>LEFT(DM43)</f>
        <v/>
      </c>
      <c r="DK43" s="121" t="str">
        <f>MID(DM43,2,1)</f>
        <v/>
      </c>
      <c r="DL43" s="122" t="str">
        <f>RIGHT(DM43)</f>
        <v/>
      </c>
      <c r="DM43" s="123" t="str">
        <f>IF(DK42="","",OFFSET(Biblioteca!$I$2,MATCH(DK42,Biblioteca!$A$3:$A$200,0),0))</f>
        <v/>
      </c>
      <c r="DN43" s="124"/>
      <c r="DO43" s="125"/>
      <c r="DP43" s="57"/>
      <c r="DQ43" s="56"/>
      <c r="DR43" s="56"/>
      <c r="DS43" s="56"/>
      <c r="DT43" s="56"/>
      <c r="DU43" s="56"/>
      <c r="DV43" s="56"/>
      <c r="DW43" s="56"/>
      <c r="DX43" s="56"/>
      <c r="DY43" s="56"/>
    </row>
    <row r="44">
      <c r="A44" s="115" t="str">
        <f>IF(M44="","",HYPERLINK(OFFSET(Biblioteca!$B$2,MATCH(M44,Biblioteca!$A$3:$A$200,0),0),M44))</f>
        <v>Esteira</v>
      </c>
      <c r="D44" s="103" t="str">
        <f>Montagem!Q130</f>
        <v/>
      </c>
      <c r="E44" s="104" t="str">
        <f>Montagem!R130</f>
        <v/>
      </c>
      <c r="F44" s="104" t="str">
        <f>Montagem!S130</f>
        <v/>
      </c>
      <c r="G44" s="104">
        <f>Montagem!T130</f>
        <v>60</v>
      </c>
      <c r="H44" s="104" t="str">
        <f>Montagem!U130</f>
        <v/>
      </c>
      <c r="I44" s="132" t="str">
        <f>Montagem!V130</f>
        <v/>
      </c>
      <c r="J44" s="105">
        <v>10.0</v>
      </c>
      <c r="K44" s="106">
        <f>Montagem!K130</f>
        <v>7</v>
      </c>
      <c r="L44" s="111">
        <f>Montagem!W130</f>
        <v>0</v>
      </c>
      <c r="M44" s="111" t="str">
        <f>Montagem!L130</f>
        <v>Esteira</v>
      </c>
      <c r="N44" s="111" t="str">
        <f>Montagem!X130</f>
        <v/>
      </c>
      <c r="O44" s="106">
        <f>IF(N44="",L44,N44)</f>
        <v>0</v>
      </c>
      <c r="P44" s="106">
        <f>IF(L45="C",'Dados de Base'!$D$5*0.1,IF(L45="E",5,IF(J44="",O44,J44)))</f>
        <v>10</v>
      </c>
      <c r="Q44" s="108"/>
      <c r="R44" s="115" t="str">
        <f>IF(AD44="","",HYPERLINK(OFFSET(Biblioteca!$B$2,MATCH(AD44,Biblioteca!$A$3:$A$200,0),0),AD44))</f>
        <v>Bicicleta</v>
      </c>
      <c r="U44" s="109" t="str">
        <f>Montagem!AF130</f>
        <v/>
      </c>
      <c r="V44" s="110" t="str">
        <f>Montagem!AG130</f>
        <v/>
      </c>
      <c r="W44" s="110" t="str">
        <f>Montagem!AH130</f>
        <v/>
      </c>
      <c r="X44" s="110">
        <f>Montagem!AI130</f>
        <v>60</v>
      </c>
      <c r="Y44" s="110" t="str">
        <f>Montagem!AJ130</f>
        <v/>
      </c>
      <c r="Z44" s="110" t="str">
        <f>Montagem!AK130</f>
        <v/>
      </c>
      <c r="AA44" s="113">
        <v>10.0</v>
      </c>
      <c r="AB44" s="111">
        <f>Montagem!Z130</f>
        <v>7</v>
      </c>
      <c r="AC44" s="111">
        <f>Montagem!AL130</f>
        <v>0</v>
      </c>
      <c r="AD44" s="129" t="str">
        <f>Montagem!AA130</f>
        <v>Bicicleta</v>
      </c>
      <c r="AE44" s="111" t="str">
        <f>Montagem!AM130</f>
        <v/>
      </c>
      <c r="AF44" s="106">
        <f>IF(AE44="",AC44,AE44)</f>
        <v>0</v>
      </c>
      <c r="AG44" s="106">
        <f>IF(AC45="C",'Dados de Base'!$D$5*0.1,IF(AC45="E",5,IF(AA44="",AF44,AA44)))</f>
        <v>10</v>
      </c>
      <c r="AH44" s="108"/>
      <c r="AI44" s="115" t="str">
        <f>IF(AU44="","",HYPERLINK(OFFSET(Biblioteca!$B$2,MATCH(AU44,Biblioteca!$A$3:$A$200,0),0),AU44))</f>
        <v/>
      </c>
      <c r="AL44" s="109" t="str">
        <f>Montagem!AU130</f>
        <v/>
      </c>
      <c r="AM44" s="110" t="str">
        <f>Montagem!AV130</f>
        <v/>
      </c>
      <c r="AN44" s="110" t="str">
        <f>Montagem!AW130</f>
        <v/>
      </c>
      <c r="AO44" s="110" t="str">
        <f>Montagem!AX130</f>
        <v/>
      </c>
      <c r="AP44" s="110" t="str">
        <f>Montagem!AY130</f>
        <v/>
      </c>
      <c r="AQ44" s="110" t="str">
        <f>Montagem!AZ130</f>
        <v/>
      </c>
      <c r="AR44" s="114"/>
      <c r="AS44" s="111">
        <f>Montagem!AO130</f>
        <v>1</v>
      </c>
      <c r="AT44" s="111" t="str">
        <f>Montagem!BA130</f>
        <v/>
      </c>
      <c r="AU44" s="111" t="str">
        <f>Montagem!AP130</f>
        <v/>
      </c>
      <c r="AV44" s="111" t="str">
        <f>Montagem!BB130</f>
        <v/>
      </c>
      <c r="AW44" s="106" t="str">
        <f>IF(AV44="",AT44,AV44)</f>
        <v/>
      </c>
      <c r="AX44" s="106" t="str">
        <f>IF(AT45="C",'Dados de Base'!$D$5*0.1,IF(AT45="E",5,IF(AR44="",AW44,AR44)))</f>
        <v/>
      </c>
      <c r="AY44" s="108"/>
      <c r="AZ44" s="102" t="str">
        <f>IF(BL44="","",HYPERLINK(OFFSET(Biblioteca!$B$2,MATCH(BL44,Biblioteca!$A$3:$A$200,0),0),BL44))</f>
        <v>Abdominal canoa lateral</v>
      </c>
      <c r="BC44" s="109" t="str">
        <f>Montagem!BJ130</f>
        <v>Tri-SET</v>
      </c>
      <c r="BD44" s="110">
        <f>Montagem!BK130</f>
        <v>3</v>
      </c>
      <c r="BE44" s="110">
        <f>Montagem!BL130</f>
        <v>15</v>
      </c>
      <c r="BF44" s="110" t="str">
        <f>Montagem!BM130</f>
        <v/>
      </c>
      <c r="BG44" s="110">
        <f>Montagem!BN130</f>
        <v>1</v>
      </c>
      <c r="BH44" s="110">
        <f>Montagem!BO130</f>
        <v>1</v>
      </c>
      <c r="BI44" s="113">
        <v>10.0</v>
      </c>
      <c r="BJ44" s="111">
        <f>Montagem!BD130</f>
        <v>5</v>
      </c>
      <c r="BK44" s="111">
        <f>Montagem!BP130</f>
        <v>0</v>
      </c>
      <c r="BL44" s="111" t="str">
        <f>Montagem!BE130</f>
        <v>Abdominal canoa lateral</v>
      </c>
      <c r="BM44" s="111" t="str">
        <f>Montagem!BQ130</f>
        <v/>
      </c>
      <c r="BN44" s="106">
        <f>IF(BM44="",BK44,BM44)</f>
        <v>0</v>
      </c>
      <c r="BO44" s="106">
        <f>IF(BK45="C",'Dados de Base'!$D$5*0.1,IF(BK45="E",5,IF(BI44="",BN44,BI44)))</f>
        <v>6.3</v>
      </c>
      <c r="BP44" s="108"/>
      <c r="BQ44" s="102" t="str">
        <f>IF(CC44="","",HYPERLINK(OFFSET(Biblioteca!$B$2,MATCH(CC44,Biblioteca!$A$3:$A$200,0),0),CC44))</f>
        <v>Abdominal infra no solo</v>
      </c>
      <c r="BT44" s="109" t="str">
        <f>Montagem!BY130</f>
        <v>Bi-SET</v>
      </c>
      <c r="BU44" s="110">
        <f>Montagem!BZ130</f>
        <v>3</v>
      </c>
      <c r="BV44" s="110">
        <f>Montagem!CA130</f>
        <v>15</v>
      </c>
      <c r="BW44" s="110" t="str">
        <f>Montagem!CB130</f>
        <v/>
      </c>
      <c r="BX44" s="110">
        <f>Montagem!CC130</f>
        <v>1</v>
      </c>
      <c r="BY44" s="110">
        <f>Montagem!CD130</f>
        <v>1</v>
      </c>
      <c r="BZ44" s="113">
        <v>10.0</v>
      </c>
      <c r="CA44" s="111">
        <f>Montagem!BS130</f>
        <v>6</v>
      </c>
      <c r="CB44" s="111">
        <f>Montagem!CE130</f>
        <v>0</v>
      </c>
      <c r="CC44" s="111" t="str">
        <f>Montagem!BT130</f>
        <v>Abdominal infra no solo</v>
      </c>
      <c r="CD44" s="111" t="str">
        <f>Montagem!CF130</f>
        <v/>
      </c>
      <c r="CE44" s="106">
        <f>IF(CD44="",CB44,CD44)</f>
        <v>0</v>
      </c>
      <c r="CF44" s="106">
        <f>IF(CB45="C",'Dados de Base'!$D$5*0.1,IF(CB45="E",5,IF(BZ44="",CE44,BZ44)))</f>
        <v>6.3</v>
      </c>
      <c r="CG44" s="108"/>
      <c r="CH44" s="115" t="str">
        <f>IF(CT44="","",HYPERLINK(OFFSET(Biblioteca!$B$2,MATCH(CT44,Biblioteca!$A$3:$A$200,0),0),CT44))</f>
        <v/>
      </c>
      <c r="CK44" s="109" t="str">
        <f>Montagem!CN130</f>
        <v/>
      </c>
      <c r="CL44" s="110" t="str">
        <f>Montagem!CO130</f>
        <v/>
      </c>
      <c r="CM44" s="110" t="str">
        <f>Montagem!CP130</f>
        <v/>
      </c>
      <c r="CN44" s="110" t="str">
        <f>Montagem!CQ130</f>
        <v/>
      </c>
      <c r="CO44" s="110" t="str">
        <f>Montagem!CR130</f>
        <v/>
      </c>
      <c r="CP44" s="110" t="str">
        <f>Montagem!CS130</f>
        <v/>
      </c>
      <c r="CQ44" s="114"/>
      <c r="CR44" s="111">
        <f>Montagem!CH130</f>
        <v>1</v>
      </c>
      <c r="CS44" s="111" t="str">
        <f>Montagem!CT130</f>
        <v/>
      </c>
      <c r="CT44" s="111" t="str">
        <f>Montagem!CI130</f>
        <v/>
      </c>
      <c r="CU44" s="111" t="str">
        <f>Montagem!CU130</f>
        <v/>
      </c>
      <c r="CV44" s="106" t="str">
        <f>IF(CU44="",CS44,CU44)</f>
        <v/>
      </c>
      <c r="CW44" s="106" t="str">
        <f>IF(CS45="C",'Dados de Base'!$D$5*0.1,IF(CS45="E",5,IF(CQ44="",CV44,CQ44)))</f>
        <v/>
      </c>
      <c r="CX44" s="108"/>
      <c r="CY44" s="115" t="str">
        <f>IF(DK44="","",HYPERLINK(OFFSET(Biblioteca!$B$2,MATCH(DK44,Biblioteca!$A$3:$A$200,0),0),DK44))</f>
        <v/>
      </c>
      <c r="DB44" s="130" t="str">
        <f>Montagem!DC130</f>
        <v/>
      </c>
      <c r="DC44" s="131" t="str">
        <f>Montagem!DD130</f>
        <v/>
      </c>
      <c r="DD44" s="131" t="str">
        <f>Montagem!DE130</f>
        <v/>
      </c>
      <c r="DE44" s="131" t="str">
        <f>Montagem!DF130</f>
        <v/>
      </c>
      <c r="DF44" s="131" t="str">
        <f>Montagem!DG130</f>
        <v/>
      </c>
      <c r="DG44" s="131" t="str">
        <f>Montagem!DH130</f>
        <v/>
      </c>
      <c r="DH44" s="114"/>
      <c r="DI44" s="111">
        <f>Montagem!CW130</f>
        <v>1</v>
      </c>
      <c r="DJ44" s="111" t="str">
        <f>Montagem!DI130</f>
        <v/>
      </c>
      <c r="DK44" s="111" t="str">
        <f>Montagem!CX130</f>
        <v/>
      </c>
      <c r="DL44" s="111" t="str">
        <f>Montagem!DJ130</f>
        <v/>
      </c>
      <c r="DM44" s="106" t="str">
        <f>IF(DL44="",DJ44,DL44)</f>
        <v/>
      </c>
      <c r="DN44" s="106" t="str">
        <f>IF(DJ45="C",'Dados de Base'!$D$5*0.1,IF(DJ45="E",5,IF(DH44="",DM44,DH44)))</f>
        <v/>
      </c>
      <c r="DO44" s="108"/>
      <c r="DP44" s="106"/>
      <c r="DQ44" s="106"/>
      <c r="DR44" s="106"/>
      <c r="DS44" s="106"/>
      <c r="DT44" s="106"/>
      <c r="DU44" s="106"/>
      <c r="DV44" s="106"/>
      <c r="DW44" s="106"/>
      <c r="DX44" s="106"/>
      <c r="DY44" s="106"/>
    </row>
    <row r="45">
      <c r="A45" s="117" t="str">
        <f>IF(A44="","",IFS(L45="A",Montagem!$C$130,N45="T","Realizar a maior quantidade de repetições por "&amp;F44&amp;" segundos | ",N45="I",IF(M45="U","Manter a posição por "&amp;F44&amp;" segundos de um lado e trocar para o outro na sequência | ","Manter a posição por "&amp;F44&amp;" segundos | "),M45="A","Realizar alternadamente "&amp;F44&amp;" repetições cada lado | ",M45="U","Realizar "&amp;F44&amp;" repetições de um lado e trocar para o outro na sequência | ",L45="P",OFFSET(Biblioteca!$H$2,MATCH(M44,Biblioteca!$A$3:$A$200,0),0),TRUE,"")&amp;IF(N45="R","Ajuste a carga para que tenha "&amp;$K$2&amp;" repetições de reserva",""))</f>
        <v>1x (3m a 142,95 - 148,3 bpm-&gt; 15,4 - 16,4km/h)</v>
      </c>
      <c r="E45" s="118" t="str">
        <f>IF(A44="","",IFS(L45="H","Carga Sugerida: "&amp;ROUNDUP(O44/2,0)&amp;" kg de cada lado (Total: "&amp;ROUNDUP(O44/2,0)*2&amp;" kg)",L45="C","Este exercício usa o Peso Corporal como carga",L45="E","Este exercício usa a resistência da banda elástica como carga",L45="O","Carga Sugerida: "&amp;INT(O44)&amp;" kg",TRUE,""))</f>
        <v/>
      </c>
      <c r="J45" s="66"/>
      <c r="K45" s="106">
        <f>K44</f>
        <v>7</v>
      </c>
      <c r="L45" s="120" t="str">
        <f>LEFT(O45)</f>
        <v>A</v>
      </c>
      <c r="M45" s="121" t="str">
        <f>MID(O45,2,1)</f>
        <v>-</v>
      </c>
      <c r="N45" s="122" t="str">
        <f>RIGHT(O45)</f>
        <v>-</v>
      </c>
      <c r="O45" s="123" t="str">
        <f>IF(M44="","",OFFSET(Biblioteca!$I$2,MATCH(M44,Biblioteca!$A$3:$A$200,0),0))</f>
        <v>A--</v>
      </c>
      <c r="P45" s="124"/>
      <c r="Q45" s="125"/>
      <c r="R45" s="117" t="str">
        <f>IF(R44="","",IFS(AC45="A",Montagem!$D$130,AE45="T","Realizar a maior quantidade de repetições por "&amp;W44&amp;" segundos | ",AE45="I",IF(AD45="U","Manter a posição por "&amp;W44&amp;" segundos de um lado e trocar para o outro na sequência | ","Manter a posição por "&amp;W44&amp;" segundos | "),AD45="A","Realizar alternadamente "&amp;W44&amp;" repetições cada lado | ",AD45="U","Realizar "&amp;W44&amp;" repetições de um lado e trocar para o outro na sequência | ",AC45="P",OFFSET(Biblioteca!$H$2,MATCH(AD44,Biblioteca!$A$3:$A$200,0),0),TRUE,"")&amp;IF(AE45="R","Ajuste a carga para que tenha "&amp;$K$2&amp;" repetições de reserva",""))</f>
        <v>1x (3m all out)</v>
      </c>
      <c r="V45" s="118" t="str">
        <f>IF(R44="","",IFS(AC45="H","Carga Sugerida: "&amp;ROUNDUP(AF44/2,0)&amp;" kg de cada lado (Total: "&amp;ROUNDUP(AF44/2,0)*2&amp;" kg)",AC45="C","Este exercício usa o Peso Corporal como carga",AC45="E","Este exercício usa a resistência da banda elástica como carga",AC45="O","Carga Sugerida: "&amp;INT(AF44)&amp;" kg",TRUE,""))</f>
        <v/>
      </c>
      <c r="AA45" s="66"/>
      <c r="AB45" s="126">
        <f>AB44</f>
        <v>7</v>
      </c>
      <c r="AC45" s="120" t="str">
        <f>LEFT(AF45)</f>
        <v>A</v>
      </c>
      <c r="AD45" s="121" t="str">
        <f>MID(AF45,2,1)</f>
        <v>-</v>
      </c>
      <c r="AE45" s="122" t="str">
        <f>RIGHT(AF45)</f>
        <v>-</v>
      </c>
      <c r="AF45" s="123" t="str">
        <f>IF(AD44="","",OFFSET(Biblioteca!$I$2,MATCH(AD44,Biblioteca!$A$3:$A$200,0),0))</f>
        <v>A--</v>
      </c>
      <c r="AG45" s="124"/>
      <c r="AH45" s="125"/>
      <c r="AI45" s="117" t="str">
        <f>IF(AI44="","",IFS(AT45="A",Montagem!$E$130,AV45="T","Realizar a maior quantidade de repetições por "&amp;AN44&amp;" segundos | ",AV45="I",IF(AU45="U","Manter a posição por "&amp;AN44&amp;" segundos de um lado e trocar para o outro na sequência | ","Manter a posição por "&amp;AN44&amp;" segundos | "),AU45="A","Realizar alternadamente "&amp;AN44&amp;" repetições cada lado | ",AU45="U","Realizar "&amp;AN44&amp;" repetições de um lado e trocar para o outro na sequência | ",AT45="P",OFFSET(Biblioteca!$H$2,MATCH(AU44,Biblioteca!$A$3:$A$200,0),0),TRUE,"")&amp;IF(AV45="R","Ajuste a carga para que tenha "&amp;$K$2&amp;" repetições de reserva",""))</f>
        <v/>
      </c>
      <c r="AM45" s="118" t="str">
        <f>IF(AI44="","",IFS(AT45="H","Carga Sugerida: "&amp;ROUNDUP(AW44/2,0)&amp;" kg de cada lado (Total: "&amp;ROUNDUP(AW44/2,0)*2&amp;" kg)",AT45="C","Este exercício usa o Peso Corporal como carga",AT45="E","Este exercício usa a resistência da banda elástica como carga",AT45="O","Carga Sugerida: "&amp;INT(AW44)&amp;" kg",TRUE,""))</f>
        <v/>
      </c>
      <c r="AR45" s="66"/>
      <c r="AS45" s="126">
        <f>AS44</f>
        <v>1</v>
      </c>
      <c r="AT45" s="120" t="str">
        <f>LEFT(AW45)</f>
        <v/>
      </c>
      <c r="AU45" s="121" t="str">
        <f>MID(AW45,2,1)</f>
        <v/>
      </c>
      <c r="AV45" s="122" t="str">
        <f>RIGHT(AW45)</f>
        <v/>
      </c>
      <c r="AW45" s="123" t="str">
        <f>IF(AU44="","",OFFSET(Biblioteca!$I$2,MATCH(AU44,Biblioteca!$A$3:$A$200,0),0))</f>
        <v/>
      </c>
      <c r="AX45" s="124"/>
      <c r="AY45" s="125"/>
      <c r="AZ45" s="117" t="str">
        <f>IF(AZ44="","",IFS(BK45="A",Montagem!$F$130,BM45="T","Realizar a maior quantidade de repetições por "&amp;BE44&amp;" segundos | ",BM45="I",IF(BL45="U","Manter a posição por "&amp;BE44&amp;" segundos de um lado e trocar para o outro na sequência | ","Manter a posição por "&amp;BE44&amp;" segundos | "),BL45="A","Realizar alternadamente "&amp;BE44&amp;" repetições cada lado | ",BL45="U","Realizar "&amp;BE44&amp;" repetições de um lado e trocar para o outro na sequência | ",BK45="P",OFFSET(Biblioteca!$H$2,MATCH(BL44,Biblioteca!$A$3:$A$200,0),0),TRUE,"")&amp;IF(BM45="R","Ajuste a carga para que tenha "&amp;$K$2&amp;" repetições de reserva",""))</f>
        <v>Realizar 15 repetições de um lado e trocar para o outro na sequência | Ajuste a carga para que tenha 0 a 2 repetições de reserva</v>
      </c>
      <c r="BD45" s="118" t="str">
        <f>IF(AZ44="","",IFS(BK45="H","Carga Sugerida: "&amp;ROUNDUP(BN44/2,0)&amp;" kg de cada lado (Total: "&amp;ROUNDUP(BN44/2,0)*2&amp;" kg)",BK45="C","Este exercício usa o Peso Corporal como carga",BK45="E","Este exercício usa a resistência da banda elástica como carga",BK45="O","Carga Sugerida: "&amp;INT(BN44)&amp;" kg",TRUE,""))</f>
        <v>Este exercício usa o Peso Corporal como carga</v>
      </c>
      <c r="BI45" s="66"/>
      <c r="BJ45" s="126">
        <f>BJ44</f>
        <v>5</v>
      </c>
      <c r="BK45" s="120" t="str">
        <f>LEFT(BN45)</f>
        <v>C</v>
      </c>
      <c r="BL45" s="121" t="str">
        <f>MID(BN45,2,1)</f>
        <v>U</v>
      </c>
      <c r="BM45" s="122" t="str">
        <f>RIGHT(BN45)</f>
        <v>R</v>
      </c>
      <c r="BN45" s="123" t="str">
        <f>IF(BL44="","",OFFSET(Biblioteca!$I$2,MATCH(BL44,Biblioteca!$A$3:$A$200,0),0))</f>
        <v>CUR</v>
      </c>
      <c r="BO45" s="124"/>
      <c r="BP45" s="125"/>
      <c r="BQ45" s="117" t="str">
        <f>IF(BQ44="","",IFS(CB45="A",Montagem!$G$130,CD45="T","Realizar a maior quantidade de repetições por "&amp;BV44&amp;" segundos | ",CD45="I",IF(CC45="U","Manter a posição por "&amp;BV44&amp;" segundos de um lado e trocar para o outro na sequência | ","Manter a posição por "&amp;BV44&amp;" segundos | "),CC45="A","Realizar alternadamente "&amp;BV44&amp;" repetições cada lado | ",CC45="U","Realizar "&amp;BV44&amp;" repetições de um lado e trocar para o outro na sequência | ",CB45="P",OFFSET(Biblioteca!$H$2,MATCH(CC44,Biblioteca!$A$3:$A$200,0),0),TRUE,"")&amp;IF(CD45="R","Ajuste a carga para que tenha "&amp;$K$2&amp;" repetições de reserva",""))</f>
        <v>Ajuste a carga para que tenha 0 a 2 repetições de reserva</v>
      </c>
      <c r="BU45" s="118" t="str">
        <f>IF(BQ44="","",IFS(CB45="H","Carga Sugerida: "&amp;ROUNDUP(CE44/2,0)&amp;" kg de cada lado (Total: "&amp;ROUNDUP(CE44/2,0)*2&amp;" kg)",CB45="C","Este exercício usa o Peso Corporal como carga",CB45="E","Este exercício usa a resistência da banda elástica como carga",CB45="O","Carga Sugerida: "&amp;INT(CE44)&amp;" kg",TRUE,""))</f>
        <v>Este exercício usa o Peso Corporal como carga</v>
      </c>
      <c r="BZ45" s="66"/>
      <c r="CA45" s="126">
        <f>CA44</f>
        <v>6</v>
      </c>
      <c r="CB45" s="120" t="str">
        <f>LEFT(CE45)</f>
        <v>C</v>
      </c>
      <c r="CC45" s="121" t="str">
        <f>MID(CE45,2,1)</f>
        <v>O</v>
      </c>
      <c r="CD45" s="122" t="str">
        <f>RIGHT(CE45)</f>
        <v>R</v>
      </c>
      <c r="CE45" s="123" t="str">
        <f>IF(CC44="","",OFFSET(Biblioteca!$I$2,MATCH(CC44,Biblioteca!$A$3:$A$200,0),0))</f>
        <v>COR</v>
      </c>
      <c r="CF45" s="124"/>
      <c r="CG45" s="125"/>
      <c r="CH45" s="117" t="str">
        <f>IF(CH44="","",IFS(CS45="A",Montagem!$H$130,CU45="T","Realizar a maior quantidade de repetições por "&amp;CM44&amp;" segundos | ",CU45="I",IF(CT45="U","Manter a posição por "&amp;CM44&amp;" segundos de um lado e trocar para o outro na sequência | ","Manter a posição por "&amp;CM44&amp;" segundos | "),CT45="A","Realizar alternadamente "&amp;CM44&amp;" repetições cada lado | ",CT45="U","Realizar "&amp;CM44&amp;" repetições de um lado e trocar para o outro na sequência | ",CS45="P",OFFSET(Biblioteca!$H$2,MATCH(CT44,Biblioteca!$A$3:$A$200,0),0),TRUE,"")&amp;IF(CU45="R","Ajuste a carga para que tenha "&amp;$K$2&amp;" repetições de reserva",""))</f>
        <v/>
      </c>
      <c r="CL45" s="118" t="str">
        <f>IF(CH44="","",IFS(CS45="H","Carga Sugerida: "&amp;ROUNDUP(CV44/2,0)&amp;" kg de cada lado (Total: "&amp;ROUNDUP(CV44/2,0)*2&amp;" kg)",CS45="C","Este exercício usa o Peso Corporal como carga",CS45="E","Este exercício usa a resistência da banda elástica como carga",CS45="O","Carga Sugerida: "&amp;INT(CV44)&amp;" kg",TRUE,""))</f>
        <v/>
      </c>
      <c r="CQ45" s="66"/>
      <c r="CR45" s="126">
        <f>CR44</f>
        <v>1</v>
      </c>
      <c r="CS45" s="120" t="str">
        <f>LEFT(CV45)</f>
        <v/>
      </c>
      <c r="CT45" s="121" t="str">
        <f>MID(CV45,2,1)</f>
        <v/>
      </c>
      <c r="CU45" s="122" t="str">
        <f>RIGHT(CV45)</f>
        <v/>
      </c>
      <c r="CV45" s="123" t="str">
        <f>IF(CT44="","",OFFSET(Biblioteca!$I$2,MATCH(CT44,Biblioteca!$A$3:$A$200,0),0))</f>
        <v/>
      </c>
      <c r="CW45" s="124"/>
      <c r="CX45" s="125"/>
      <c r="CY45" s="117" t="str">
        <f>IF(CY44="","",IFS(DJ45="A",Montagem!$I$130,DL45="T","Realizar a maior quantidade de repetições por "&amp;DD44&amp;" segundos | ",DL45="I",IF(DK45="U","Manter a posição por "&amp;DD44&amp;" segundos de um lado e trocar para o outro na sequência | ","Manter a posição por "&amp;DD44&amp;" segundos | "),DK45="A","Realizar alternadamente "&amp;DD44&amp;" repetições cada lado | ",DK45="U","Realizar "&amp;DD44&amp;" repetições de um lado e trocar para o outro na sequência | ",DJ45="P",OFFSET(Biblioteca!$H$2,MATCH(DK44,Biblioteca!$A$3:$A$200,0),0),TRUE,"")&amp;IF(DL45="R","Ajuste a carga para que tenha "&amp;$K$2&amp;" repetições de reserva",""))</f>
        <v/>
      </c>
      <c r="DC45" s="118" t="str">
        <f>IF(CY44="","",IFS(DJ45="H","Carga Sugerida: "&amp;ROUNDUP(DM44/2,0)&amp;" kg de cada lado (Total: "&amp;ROUNDUP(DM44/2,0)*2&amp;" kg)",DJ45="C","Este exercício usa o Peso Corporal como carga",DJ45="E","Este exercício usa a resistência da banda elástica como carga",DJ45="O","Carga Sugerida: "&amp;INT(DM44)&amp;" kg",TRUE,""))</f>
        <v/>
      </c>
      <c r="DH45" s="66"/>
      <c r="DI45" s="126">
        <f>DI44</f>
        <v>1</v>
      </c>
      <c r="DJ45" s="120" t="str">
        <f>LEFT(DM45)</f>
        <v/>
      </c>
      <c r="DK45" s="121" t="str">
        <f>MID(DM45,2,1)</f>
        <v/>
      </c>
      <c r="DL45" s="122" t="str">
        <f>RIGHT(DM45)</f>
        <v/>
      </c>
      <c r="DM45" s="123" t="str">
        <f>IF(DK44="","",OFFSET(Biblioteca!$I$2,MATCH(DK44,Biblioteca!$A$3:$A$200,0),0))</f>
        <v/>
      </c>
      <c r="DN45" s="124"/>
      <c r="DO45" s="125"/>
      <c r="DP45" s="57"/>
      <c r="DQ45" s="56"/>
      <c r="DR45" s="56"/>
      <c r="DS45" s="56"/>
      <c r="DT45" s="56"/>
      <c r="DU45" s="56"/>
      <c r="DV45" s="56"/>
      <c r="DW45" s="56"/>
      <c r="DX45" s="56"/>
      <c r="DY45" s="56"/>
    </row>
    <row r="46">
      <c r="A46" s="102" t="str">
        <f>IF(M46="","",HYPERLINK(OFFSET(Biblioteca!$B$2,MATCH(M46,Biblioteca!$A$3:$A$200,0),0),M46))</f>
        <v>Fly no peck deck</v>
      </c>
      <c r="D46" s="103" t="str">
        <f>Montagem!Q131</f>
        <v>Bi-SET</v>
      </c>
      <c r="E46" s="104">
        <f>Montagem!R131</f>
        <v>3</v>
      </c>
      <c r="F46" s="104">
        <f>Montagem!S131</f>
        <v>10</v>
      </c>
      <c r="G46" s="104" t="str">
        <f>Montagem!T131</f>
        <v/>
      </c>
      <c r="H46" s="104">
        <f>Montagem!U131</f>
        <v>1</v>
      </c>
      <c r="I46" s="132">
        <f>Montagem!V131</f>
        <v>2</v>
      </c>
      <c r="J46" s="105">
        <v>8.0</v>
      </c>
      <c r="K46" s="106">
        <f>Montagem!K131</f>
        <v>8</v>
      </c>
      <c r="L46" s="111">
        <f>Montagem!W131</f>
        <v>8</v>
      </c>
      <c r="M46" s="111" t="str">
        <f>Montagem!L131</f>
        <v>Fly no peck deck</v>
      </c>
      <c r="N46" s="111" t="str">
        <f>Montagem!X131</f>
        <v/>
      </c>
      <c r="O46" s="106">
        <f>IF(N46="",L46,N46)</f>
        <v>8</v>
      </c>
      <c r="P46" s="106">
        <f>IF(L47="C",'Dados de Base'!$D$5*0.1,IF(L47="E",5,IF(J46="",O46,J46)))</f>
        <v>8</v>
      </c>
      <c r="Q46" s="108"/>
      <c r="R46" s="102" t="str">
        <f>IF(AD46="","",HYPERLINK(OFFSET(Biblioteca!$B$2,MATCH(AD46,Biblioteca!$A$3:$A$200,0),0),AD46))</f>
        <v>Afundo</v>
      </c>
      <c r="U46" s="109" t="str">
        <f>Montagem!AF131</f>
        <v>Bi-SET</v>
      </c>
      <c r="V46" s="110">
        <f>Montagem!AG131</f>
        <v>3</v>
      </c>
      <c r="W46" s="110">
        <f>Montagem!AH131</f>
        <v>10</v>
      </c>
      <c r="X46" s="110" t="str">
        <f>Montagem!AI131</f>
        <v/>
      </c>
      <c r="Y46" s="110">
        <f>Montagem!AJ131</f>
        <v>1</v>
      </c>
      <c r="Z46" s="110">
        <f>Montagem!AK131</f>
        <v>2</v>
      </c>
      <c r="AA46" s="113">
        <v>36.0</v>
      </c>
      <c r="AB46" s="111">
        <f>Montagem!Z131</f>
        <v>8</v>
      </c>
      <c r="AC46" s="111">
        <f>Montagem!AL131</f>
        <v>36</v>
      </c>
      <c r="AD46" s="129" t="str">
        <f>Montagem!AA131</f>
        <v>Afundo</v>
      </c>
      <c r="AE46" s="111" t="str">
        <f>Montagem!AM131</f>
        <v/>
      </c>
      <c r="AF46" s="106">
        <f>IF(AE46="",AC46,AE46)</f>
        <v>36</v>
      </c>
      <c r="AG46" s="106">
        <f>IF(AC47="C",'Dados de Base'!$D$5*0.1,IF(AC47="E",5,IF(AA46="",AF46,AA46)))</f>
        <v>36</v>
      </c>
      <c r="AH46" s="108"/>
      <c r="AI46" s="115" t="str">
        <f>IF(AU46="","",HYPERLINK(OFFSET(Biblioteca!$B$2,MATCH(AU46,Biblioteca!$A$3:$A$200,0),0),AU46))</f>
        <v/>
      </c>
      <c r="AL46" s="109" t="str">
        <f>Montagem!AU131</f>
        <v/>
      </c>
      <c r="AM46" s="110" t="str">
        <f>Montagem!AV131</f>
        <v/>
      </c>
      <c r="AN46" s="110" t="str">
        <f>Montagem!AW131</f>
        <v/>
      </c>
      <c r="AO46" s="110" t="str">
        <f>Montagem!AX131</f>
        <v/>
      </c>
      <c r="AP46" s="110" t="str">
        <f>Montagem!AY131</f>
        <v/>
      </c>
      <c r="AQ46" s="110" t="str">
        <f>Montagem!AZ131</f>
        <v/>
      </c>
      <c r="AR46" s="114"/>
      <c r="AS46" s="111">
        <f>Montagem!AO131</f>
        <v>1</v>
      </c>
      <c r="AT46" s="111" t="str">
        <f>Montagem!BA131</f>
        <v/>
      </c>
      <c r="AU46" s="111" t="str">
        <f>Montagem!AP131</f>
        <v/>
      </c>
      <c r="AV46" s="111" t="str">
        <f>Montagem!BB131</f>
        <v/>
      </c>
      <c r="AW46" s="106" t="str">
        <f>IF(AV46="",AT46,AV46)</f>
        <v/>
      </c>
      <c r="AX46" s="106" t="str">
        <f>IF(AT47="C",'Dados de Base'!$D$5*0.1,IF(AT47="E",5,IF(AR46="",AW46,AR46)))</f>
        <v/>
      </c>
      <c r="AY46" s="108"/>
      <c r="AZ46" s="102" t="str">
        <f>IF(BL46="","",HYPERLINK(OFFSET(Biblioteca!$B$2,MATCH(BL46,Biblioteca!$A$3:$A$200,0),0),BL46))</f>
        <v>Superman</v>
      </c>
      <c r="BC46" s="109" t="str">
        <f>Montagem!BJ131</f>
        <v>Tri-SET</v>
      </c>
      <c r="BD46" s="110">
        <f>Montagem!BK131</f>
        <v>3</v>
      </c>
      <c r="BE46" s="110">
        <f>Montagem!BL131</f>
        <v>15</v>
      </c>
      <c r="BF46" s="110">
        <f>Montagem!BM131</f>
        <v>60</v>
      </c>
      <c r="BG46" s="110">
        <f>Montagem!BN131</f>
        <v>1</v>
      </c>
      <c r="BH46" s="110">
        <f>Montagem!BO131</f>
        <v>1</v>
      </c>
      <c r="BI46" s="113">
        <v>10.0</v>
      </c>
      <c r="BJ46" s="111">
        <f>Montagem!BD131</f>
        <v>5</v>
      </c>
      <c r="BK46" s="111">
        <f>Montagem!BP131</f>
        <v>0</v>
      </c>
      <c r="BL46" s="111" t="str">
        <f>Montagem!BE131</f>
        <v>Superman</v>
      </c>
      <c r="BM46" s="111" t="str">
        <f>Montagem!BQ131</f>
        <v/>
      </c>
      <c r="BN46" s="106">
        <f>IF(BM46="",BK46,BM46)</f>
        <v>0</v>
      </c>
      <c r="BO46" s="106">
        <f>IF(BK47="C",'Dados de Base'!$D$5*0.1,IF(BK47="E",5,IF(BI46="",BN46,BI46)))</f>
        <v>6.3</v>
      </c>
      <c r="BP46" s="108"/>
      <c r="BQ46" s="102" t="str">
        <f>IF(CC46="","",HYPERLINK(OFFSET(Biblioteca!$B$2,MATCH(CC46,Biblioteca!$A$3:$A$200,0),0),CC46))</f>
        <v>Abdominal Bicicleta</v>
      </c>
      <c r="BT46" s="109" t="str">
        <f>Montagem!BY131</f>
        <v>Bi-SET</v>
      </c>
      <c r="BU46" s="110">
        <f>Montagem!BZ131</f>
        <v>3</v>
      </c>
      <c r="BV46" s="110">
        <f>Montagem!CA131</f>
        <v>15</v>
      </c>
      <c r="BW46" s="110">
        <f>Montagem!CB131</f>
        <v>45</v>
      </c>
      <c r="BX46" s="110">
        <f>Montagem!CC131</f>
        <v>1</v>
      </c>
      <c r="BY46" s="110">
        <f>Montagem!CD131</f>
        <v>1</v>
      </c>
      <c r="BZ46" s="113">
        <v>10.0</v>
      </c>
      <c r="CA46" s="111">
        <f>Montagem!BS131</f>
        <v>6</v>
      </c>
      <c r="CB46" s="111">
        <f>Montagem!CE131</f>
        <v>0</v>
      </c>
      <c r="CC46" s="111" t="str">
        <f>Montagem!BT131</f>
        <v>Abdominal Bicicleta</v>
      </c>
      <c r="CD46" s="111" t="str">
        <f>Montagem!CF131</f>
        <v/>
      </c>
      <c r="CE46" s="106">
        <f>IF(CD46="",CB46,CD46)</f>
        <v>0</v>
      </c>
      <c r="CF46" s="106">
        <f>IF(CB47="C",'Dados de Base'!$D$5*0.1,IF(CB47="E",5,IF(BZ46="",CE46,BZ46)))</f>
        <v>6.3</v>
      </c>
      <c r="CG46" s="108"/>
      <c r="CH46" s="115" t="str">
        <f>IF(CT46="","",HYPERLINK(OFFSET(Biblioteca!$B$2,MATCH(CT46,Biblioteca!$A$3:$A$200,0),0),CT46))</f>
        <v/>
      </c>
      <c r="CK46" s="109" t="str">
        <f>Montagem!CN131</f>
        <v/>
      </c>
      <c r="CL46" s="110" t="str">
        <f>Montagem!CO131</f>
        <v/>
      </c>
      <c r="CM46" s="110" t="str">
        <f>Montagem!CP131</f>
        <v/>
      </c>
      <c r="CN46" s="110" t="str">
        <f>Montagem!CQ131</f>
        <v/>
      </c>
      <c r="CO46" s="110" t="str">
        <f>Montagem!CR131</f>
        <v/>
      </c>
      <c r="CP46" s="110" t="str">
        <f>Montagem!CS131</f>
        <v/>
      </c>
      <c r="CQ46" s="114"/>
      <c r="CR46" s="111">
        <f>Montagem!CH131</f>
        <v>1</v>
      </c>
      <c r="CS46" s="111" t="str">
        <f>Montagem!CT131</f>
        <v/>
      </c>
      <c r="CT46" s="111" t="str">
        <f>Montagem!CI131</f>
        <v/>
      </c>
      <c r="CU46" s="145" t="str">
        <f>Montagem!CU131</f>
        <v/>
      </c>
      <c r="CV46" s="106" t="str">
        <f>IF(CU46="",CS46,CU46)</f>
        <v/>
      </c>
      <c r="CW46" s="106" t="str">
        <f>IF(CS47="C",'Dados de Base'!$D$5*0.1,IF(CS47="E",5,IF(CQ46="",CV46,CQ46)))</f>
        <v/>
      </c>
      <c r="CX46" s="108"/>
      <c r="CY46" s="115" t="str">
        <f>IF(DK46="","",HYPERLINK(OFFSET(Biblioteca!$B$2,MATCH(DK46,Biblioteca!$A$3:$A$200,0),0),DK46))</f>
        <v/>
      </c>
      <c r="DB46" s="130" t="str">
        <f>Montagem!DC131</f>
        <v/>
      </c>
      <c r="DC46" s="131" t="str">
        <f>Montagem!DD131</f>
        <v/>
      </c>
      <c r="DD46" s="131" t="str">
        <f>Montagem!DE131</f>
        <v/>
      </c>
      <c r="DE46" s="131" t="str">
        <f>Montagem!DF131</f>
        <v/>
      </c>
      <c r="DF46" s="131" t="str">
        <f>Montagem!DG131</f>
        <v/>
      </c>
      <c r="DG46" s="131" t="str">
        <f>Montagem!DH131</f>
        <v/>
      </c>
      <c r="DH46" s="114"/>
      <c r="DI46" s="111">
        <f>Montagem!CW131</f>
        <v>1</v>
      </c>
      <c r="DJ46" s="111" t="str">
        <f>Montagem!DI131</f>
        <v/>
      </c>
      <c r="DK46" s="111" t="str">
        <f>Montagem!CX131</f>
        <v/>
      </c>
      <c r="DL46" s="145" t="str">
        <f>Montagem!DJ131</f>
        <v/>
      </c>
      <c r="DM46" s="106" t="str">
        <f>IF(DL46="",DJ46,DL46)</f>
        <v/>
      </c>
      <c r="DN46" s="106" t="str">
        <f>IF(DJ47="C",'Dados de Base'!$D$5*0.1,IF(DJ47="E",5,IF(DH46="",DM46,DH46)))</f>
        <v/>
      </c>
      <c r="DO46" s="108"/>
      <c r="DP46" s="106"/>
      <c r="DQ46" s="106"/>
      <c r="DR46" s="106"/>
      <c r="DS46" s="106"/>
      <c r="DT46" s="106"/>
      <c r="DU46" s="106"/>
      <c r="DV46" s="106"/>
      <c r="DW46" s="106"/>
      <c r="DX46" s="106"/>
      <c r="DY46" s="106"/>
    </row>
    <row r="47">
      <c r="A47" s="117" t="str">
        <f>IF(A46="","",IFS(L47="A",Montagem!$C$130,N47="T","Realizar a maior quantidade de repetições por "&amp;F46&amp;" segundos | ",N47="I",IF(M47="U","Manter a posição por "&amp;F46&amp;" segundos de um lado e trocar para o outro na sequência | ","Manter a posição por "&amp;F46&amp;" segundos | "),M47="A","Realizar alternadamente "&amp;F46&amp;" repetições cada lado | ",M47="U","Realizar "&amp;F46&amp;" repetições de um lado e trocar para o outro na sequência | ",L47="P",OFFSET(Biblioteca!$H$2,MATCH(M46,Biblioteca!$A$3:$A$200,0),0),TRUE,"")&amp;IF(N47="R","Ajuste a carga para que tenha "&amp;$K$2&amp;" repetições de reserva",""))</f>
        <v>Ajuste a carga para que tenha 0 a 2 repetições de reserva</v>
      </c>
      <c r="E47" s="118" t="str">
        <f>IF(A46="","",IFS(L47="H","Carga Sugerida: "&amp;ROUNDUP(O46/2,0)&amp;" kg de cada lado (Total: "&amp;ROUNDUP(O46/2,0)*2&amp;" kg)",L47="C","Este exercício usa o Peso Corporal como carga",L47="E","Este exercício usa a resistência da banda elástica como carga",L47="O","Carga Sugerida: "&amp;INT(O46)&amp;" kg",TRUE,""))</f>
        <v>Carga Sugerida: 8 kg</v>
      </c>
      <c r="J47" s="66"/>
      <c r="K47" s="106">
        <f>K46</f>
        <v>8</v>
      </c>
      <c r="L47" s="120" t="str">
        <f>LEFT(O47)</f>
        <v>O</v>
      </c>
      <c r="M47" s="121" t="str">
        <f>MID(O47,2,1)</f>
        <v>O</v>
      </c>
      <c r="N47" s="122" t="str">
        <f>RIGHT(O47)</f>
        <v>R</v>
      </c>
      <c r="O47" s="123" t="str">
        <f>IF(M46="","",OFFSET(Biblioteca!$I$2,MATCH(M46,Biblioteca!$A$3:$A$200,0),0))</f>
        <v>OOR</v>
      </c>
      <c r="P47" s="124"/>
      <c r="Q47" s="125"/>
      <c r="R47" s="117" t="str">
        <f>IF(R46="","",IFS(AC47="A",Montagem!$D$130,AE47="T","Realizar a maior quantidade de repetições por "&amp;W46&amp;" segundos | ",AE47="I",IF(AD47="U","Manter a posição por "&amp;W46&amp;" segundos de um lado e trocar para o outro na sequência | ","Manter a posição por "&amp;W46&amp;" segundos | "),AD47="A","Realizar alternadamente "&amp;W46&amp;" repetições cada lado | ",AD47="U","Realizar "&amp;W46&amp;" repetições de um lado e trocar para o outro na sequência | ",AC47="P",OFFSET(Biblioteca!$H$2,MATCH(AD46,Biblioteca!$A$3:$A$200,0),0),TRUE,"")&amp;IF(AE47="R","Ajuste a carga para que tenha "&amp;$K$2&amp;" repetições de reserva",""))</f>
        <v>Realizar alternadamente 10 repetições cada lado | Ajuste a carga para que tenha 0 a 2 repetições de reserva</v>
      </c>
      <c r="V47" s="118" t="str">
        <f>IF(R46="","",IFS(AC47="H","Carga Sugerida: "&amp;ROUNDUP(AF46/2,0)&amp;" kg de cada lado (Total: "&amp;ROUNDUP(AF46/2,0)*2&amp;" kg)",AC47="C","Este exercício usa o Peso Corporal como carga",AC47="E","Este exercício usa a resistência da banda elástica como carga",AC47="O","Carga Sugerida: "&amp;INT(AF46)&amp;" kg",TRUE,""))</f>
        <v>Carga Sugerida: 18 kg de cada lado (Total: 36 kg)</v>
      </c>
      <c r="AA47" s="66"/>
      <c r="AB47" s="126">
        <f>AB46</f>
        <v>8</v>
      </c>
      <c r="AC47" s="120" t="str">
        <f>LEFT(AF47)</f>
        <v>H</v>
      </c>
      <c r="AD47" s="121" t="str">
        <f>MID(AF47,2,1)</f>
        <v>A</v>
      </c>
      <c r="AE47" s="122" t="str">
        <f>RIGHT(AF47)</f>
        <v>R</v>
      </c>
      <c r="AF47" s="123" t="str">
        <f>IF(AD46="","",OFFSET(Biblioteca!$I$2,MATCH(AD46,Biblioteca!$A$3:$A$200,0),0))</f>
        <v>HAR</v>
      </c>
      <c r="AG47" s="124"/>
      <c r="AH47" s="125"/>
      <c r="AI47" s="117" t="str">
        <f>IF(AI46="","",IFS(AT47="A",Montagem!$E$130,AV47="T","Realizar a maior quantidade de repetições por "&amp;AN46&amp;" segundos | ",AV47="I",IF(AU47="U","Manter a posição por "&amp;AN46&amp;" segundos de um lado e trocar para o outro na sequência | ","Manter a posição por "&amp;AN46&amp;" segundos | "),AU47="A","Realizar alternadamente "&amp;AN46&amp;" repetições cada lado | ",AU47="U","Realizar "&amp;AN46&amp;" repetições de um lado e trocar para o outro na sequência | ",AT47="P",OFFSET(Biblioteca!$H$2,MATCH(AU46,Biblioteca!$A$3:$A$200,0),0),TRUE,"")&amp;IF(AV47="R","Ajuste a carga para que tenha "&amp;$K$2&amp;" repetições de reserva",""))</f>
        <v/>
      </c>
      <c r="AM47" s="118" t="str">
        <f>IF(AI46="","",IFS(AT47="H","Carga Sugerida: "&amp;ROUNDUP(AW46/2,0)&amp;" kg de cada lado (Total: "&amp;ROUNDUP(AW46/2,0)*2&amp;" kg)",AT47="C","Este exercício usa o Peso Corporal como carga",AT47="E","Este exercício usa a resistência da banda elástica como carga",AT47="O","Carga Sugerida: "&amp;INT(AW46)&amp;" kg",TRUE,""))</f>
        <v/>
      </c>
      <c r="AR47" s="66"/>
      <c r="AS47" s="126">
        <f>AS46</f>
        <v>1</v>
      </c>
      <c r="AT47" s="120" t="str">
        <f>LEFT(AW47)</f>
        <v/>
      </c>
      <c r="AU47" s="121" t="str">
        <f>MID(AW47,2,1)</f>
        <v/>
      </c>
      <c r="AV47" s="122" t="str">
        <f>RIGHT(AW47)</f>
        <v/>
      </c>
      <c r="AW47" s="123" t="str">
        <f>IF(AU46="","",OFFSET(Biblioteca!$I$2,MATCH(AU46,Biblioteca!$A$3:$A$200,0),0))</f>
        <v/>
      </c>
      <c r="AX47" s="124"/>
      <c r="AY47" s="125"/>
      <c r="AZ47" s="117" t="str">
        <f>IF(AZ46="","",IFS(BK47="A",Montagem!$F$130,BM47="T","Realizar a maior quantidade de repetições por "&amp;BE46&amp;" segundos | ",BM47="I",IF(BL47="U","Manter a posição por "&amp;BE46&amp;" segundos de um lado e trocar para o outro na sequência | ","Manter a posição por "&amp;BE46&amp;" segundos | "),BL47="A","Realizar alternadamente "&amp;BE46&amp;" repetições cada lado | ",BL47="U","Realizar "&amp;BE46&amp;" repetições de um lado e trocar para o outro na sequência | ",BK47="P",OFFSET(Biblioteca!$H$2,MATCH(BL46,Biblioteca!$A$3:$A$200,0),0),TRUE,"")&amp;IF(BM47="R","Ajuste a carga para que tenha "&amp;$K$2&amp;" repetições de reserva",""))</f>
        <v>Ajuste a carga para que tenha 0 a 2 repetições de reserva</v>
      </c>
      <c r="BD47" s="118" t="str">
        <f>IF(AZ46="","",IFS(BK47="H","Carga Sugerida: "&amp;ROUNDUP(BN46/2,0)&amp;" kg de cada lado (Total: "&amp;ROUNDUP(BN46/2,0)*2&amp;" kg)",BK47="C","Este exercício usa o Peso Corporal como carga",BK47="E","Este exercício usa a resistência da banda elástica como carga",BK47="O","Carga Sugerida: "&amp;INT(BN46)&amp;" kg",TRUE,""))</f>
        <v>Este exercício usa o Peso Corporal como carga</v>
      </c>
      <c r="BI47" s="66"/>
      <c r="BJ47" s="126">
        <f>BJ46</f>
        <v>5</v>
      </c>
      <c r="BK47" s="120" t="str">
        <f>LEFT(BN47)</f>
        <v>C</v>
      </c>
      <c r="BL47" s="121" t="str">
        <f>MID(BN47,2,1)</f>
        <v>O</v>
      </c>
      <c r="BM47" s="122" t="str">
        <f>RIGHT(BN47)</f>
        <v>R</v>
      </c>
      <c r="BN47" s="123" t="str">
        <f>IF(BL46="","",OFFSET(Biblioteca!$I$2,MATCH(BL46,Biblioteca!$A$3:$A$200,0),0))</f>
        <v>COR</v>
      </c>
      <c r="BO47" s="124"/>
      <c r="BP47" s="125"/>
      <c r="BQ47" s="117" t="str">
        <f>IF(BQ46="","",IFS(CB47="A",Montagem!$G$130,CD47="T","Realizar a maior quantidade de repetições por "&amp;BV46&amp;" segundos | ",CD47="I",IF(CC47="U","Manter a posição por "&amp;BV46&amp;" segundos de um lado e trocar para o outro na sequência | ","Manter a posição por "&amp;BV46&amp;" segundos | "),CC47="A","Realizar alternadamente "&amp;BV46&amp;" repetições cada lado | ",CC47="U","Realizar "&amp;BV46&amp;" repetições de um lado e trocar para o outro na sequência | ",CB47="P",OFFSET(Biblioteca!$H$2,MATCH(CC46,Biblioteca!$A$3:$A$200,0),0),TRUE,"")&amp;IF(CD47="R","Ajuste a carga para que tenha "&amp;$K$2&amp;" repetições de reserva",""))</f>
        <v>Ajuste a carga para que tenha 0 a 2 repetições de reserva</v>
      </c>
      <c r="BU47" s="118" t="str">
        <f>IF(BQ46="","",IFS(CB47="H","Carga Sugerida: "&amp;ROUNDUP(CE46/2,0)&amp;" kg de cada lado (Total: "&amp;ROUNDUP(CE46/2,0)*2&amp;" kg)",CB47="C","Este exercício usa o Peso Corporal como carga",CB47="E","Este exercício usa a resistência da banda elástica como carga",CB47="O","Carga Sugerida: "&amp;INT(CE46)&amp;" kg",TRUE,""))</f>
        <v>Este exercício usa o Peso Corporal como carga</v>
      </c>
      <c r="BZ47" s="66"/>
      <c r="CA47" s="126">
        <f>CA46</f>
        <v>6</v>
      </c>
      <c r="CB47" s="120" t="str">
        <f>LEFT(CE47)</f>
        <v>C</v>
      </c>
      <c r="CC47" s="121" t="str">
        <f>MID(CE47,2,1)</f>
        <v>O</v>
      </c>
      <c r="CD47" s="122" t="str">
        <f>RIGHT(CE47)</f>
        <v>R</v>
      </c>
      <c r="CE47" s="123" t="str">
        <f>IF(CC46="","",OFFSET(Biblioteca!$I$2,MATCH(CC46,Biblioteca!$A$3:$A$200,0),0))</f>
        <v>COR</v>
      </c>
      <c r="CF47" s="124"/>
      <c r="CG47" s="125"/>
      <c r="CH47" s="117" t="str">
        <f>IF(CH46="","",IFS(CS47="A",Montagem!$H$130,CU47="T","Realizar a maior quantidade de repetições por "&amp;CM46&amp;" segundos | ",CU47="I",IF(CT47="U","Manter a posição por "&amp;CM46&amp;" segundos de um lado e trocar para o outro na sequência | ","Manter a posição por "&amp;CM46&amp;" segundos | "),CT47="A","Realizar alternadamente "&amp;CM46&amp;" repetições cada lado | ",CT47="U","Realizar "&amp;CM46&amp;" repetições de um lado e trocar para o outro na sequência | ",CS47="P",OFFSET(Biblioteca!$H$2,MATCH(CT46,Biblioteca!$A$3:$A$200,0),0),TRUE,"")&amp;IF(CU47="R","Ajuste a carga para que tenha "&amp;$K$2&amp;" repetições de reserva",""))</f>
        <v/>
      </c>
      <c r="CL47" s="118" t="str">
        <f>IF(CH46="","",IFS(CS47="H","Carga Sugerida: "&amp;ROUNDUP(CV46/2,0)&amp;" kg de cada lado (Total: "&amp;ROUNDUP(CV46/2,0)*2&amp;" kg)",CS47="C","Este exercício usa o Peso Corporal como carga",CS47="E","Este exercício usa a resistência da banda elástica como carga",CS47="O","Carga Sugerida: "&amp;INT(CV46)&amp;" kg",TRUE,""))</f>
        <v/>
      </c>
      <c r="CQ47" s="66"/>
      <c r="CR47" s="126">
        <f>CR46</f>
        <v>1</v>
      </c>
      <c r="CS47" s="120" t="str">
        <f>LEFT(CV47)</f>
        <v/>
      </c>
      <c r="CT47" s="121" t="str">
        <f>MID(CV47,2,1)</f>
        <v/>
      </c>
      <c r="CU47" s="122" t="str">
        <f>RIGHT(CV47)</f>
        <v/>
      </c>
      <c r="CV47" s="123" t="str">
        <f>IF(CT46="","",OFFSET(Biblioteca!$I$2,MATCH(CT46,Biblioteca!$A$3:$A$200,0),0))</f>
        <v/>
      </c>
      <c r="CW47" s="124"/>
      <c r="CX47" s="125"/>
      <c r="CY47" s="117" t="str">
        <f>IF(CY46="","",IFS(DJ47="A",Montagem!$I$130,DL47="T","Realizar a maior quantidade de repetições por "&amp;DD46&amp;" segundos | ",DL47="I",IF(DK47="U","Manter a posição por "&amp;DD46&amp;" segundos de um lado e trocar para o outro na sequência | ","Manter a posição por "&amp;DD46&amp;" segundos | "),DK47="A","Realizar alternadamente "&amp;DD46&amp;" repetições cada lado | ",DK47="U","Realizar "&amp;DD46&amp;" repetições de um lado e trocar para o outro na sequência | ",DJ47="P",OFFSET(Biblioteca!$H$2,MATCH(DK46,Biblioteca!$A$3:$A$200,0),0),TRUE,"")&amp;IF(DL47="R","Ajuste a carga para que tenha "&amp;$K$2&amp;" repetições de reserva",""))</f>
        <v/>
      </c>
      <c r="DC47" s="118" t="str">
        <f>IF(CY46="","",IFS(DJ47="H","Carga Sugerida: "&amp;ROUNDUP(DM46/2,0)&amp;" kg de cada lado (Total: "&amp;ROUNDUP(DM46/2,0)*2&amp;" kg)",DJ47="C","Este exercício usa o Peso Corporal como carga",DJ47="E","Este exercício usa a resistência da banda elástica como carga",DJ47="O","Carga Sugerida: "&amp;INT(DM46)&amp;" kg",TRUE,""))</f>
        <v/>
      </c>
      <c r="DH47" s="66"/>
      <c r="DI47" s="126">
        <f>DI46</f>
        <v>1</v>
      </c>
      <c r="DJ47" s="120" t="str">
        <f>LEFT(DM47)</f>
        <v/>
      </c>
      <c r="DK47" s="121" t="str">
        <f>MID(DM47,2,1)</f>
        <v/>
      </c>
      <c r="DL47" s="122" t="str">
        <f>RIGHT(DM47)</f>
        <v/>
      </c>
      <c r="DM47" s="123" t="str">
        <f>IF(DK46="","",OFFSET(Biblioteca!$I$2,MATCH(DK46,Biblioteca!$A$3:$A$200,0),0))</f>
        <v/>
      </c>
      <c r="DN47" s="124"/>
      <c r="DO47" s="125"/>
      <c r="DP47" s="57"/>
      <c r="DQ47" s="56"/>
      <c r="DR47" s="56"/>
      <c r="DS47" s="56"/>
      <c r="DT47" s="56"/>
      <c r="DU47" s="56"/>
      <c r="DV47" s="56"/>
      <c r="DW47" s="56"/>
      <c r="DX47" s="56"/>
      <c r="DY47" s="56"/>
    </row>
    <row r="48">
      <c r="A48" s="102" t="str">
        <f>IF(M48="","",HYPERLINK(OFFSET(Biblioteca!$B$2,MATCH(M48,Biblioteca!$A$3:$A$200,0),0),M48))</f>
        <v>Tríceps Testa polia</v>
      </c>
      <c r="D48" s="103" t="str">
        <f>Montagem!Q132</f>
        <v>Bi-SET</v>
      </c>
      <c r="E48" s="104">
        <f>Montagem!R132</f>
        <v>3</v>
      </c>
      <c r="F48" s="104">
        <f>Montagem!S132</f>
        <v>10</v>
      </c>
      <c r="G48" s="104">
        <f>Montagem!T132</f>
        <v>60</v>
      </c>
      <c r="H48" s="104">
        <f>Montagem!U132</f>
        <v>1</v>
      </c>
      <c r="I48" s="132">
        <f>Montagem!V132</f>
        <v>2</v>
      </c>
      <c r="J48" s="105">
        <v>7.0</v>
      </c>
      <c r="K48" s="106">
        <f>Montagem!K132</f>
        <v>8</v>
      </c>
      <c r="L48" s="111">
        <f>Montagem!W132</f>
        <v>7.6</v>
      </c>
      <c r="M48" s="111" t="str">
        <f>Montagem!L132</f>
        <v>Tríceps Testa polia</v>
      </c>
      <c r="N48" s="111" t="str">
        <f>Montagem!X132</f>
        <v/>
      </c>
      <c r="O48" s="106">
        <f>IF(N48="",L48,N48)</f>
        <v>7.6</v>
      </c>
      <c r="P48" s="106">
        <f>IF(L49="C",'Dados de Base'!$D$5*0.1,IF(L49="E",5,IF(J48="",O48,J48)))</f>
        <v>7</v>
      </c>
      <c r="Q48" s="108"/>
      <c r="R48" s="102" t="str">
        <f>IF(AD48="","",HYPERLINK(OFFSET(Biblioteca!$B$2,MATCH(AD48,Biblioteca!$A$3:$A$200,0),0),AD48))</f>
        <v>Flexão Plantar na Máquina</v>
      </c>
      <c r="U48" s="109" t="str">
        <f>Montagem!AF132</f>
        <v>Bi-SET</v>
      </c>
      <c r="V48" s="110">
        <f>Montagem!AG132</f>
        <v>3</v>
      </c>
      <c r="W48" s="110">
        <f>Montagem!AH132</f>
        <v>10</v>
      </c>
      <c r="X48" s="110">
        <f>Montagem!AI132</f>
        <v>60</v>
      </c>
      <c r="Y48" s="110">
        <f>Montagem!AJ132</f>
        <v>1</v>
      </c>
      <c r="Z48" s="110">
        <f>Montagem!AK132</f>
        <v>2</v>
      </c>
      <c r="AA48" s="113">
        <v>150.0</v>
      </c>
      <c r="AB48" s="111">
        <f>Montagem!Z132</f>
        <v>8</v>
      </c>
      <c r="AC48" s="111">
        <f>Montagem!AL132</f>
        <v>150</v>
      </c>
      <c r="AD48" s="129" t="str">
        <f>Montagem!AA132</f>
        <v>Flexão Plantar na Máquina</v>
      </c>
      <c r="AE48" s="111" t="str">
        <f>Montagem!AM132</f>
        <v/>
      </c>
      <c r="AF48" s="106">
        <f>IF(AE48="",AC48,AE48)</f>
        <v>150</v>
      </c>
      <c r="AG48" s="106">
        <f>IF(AC49="C",'Dados de Base'!$D$5*0.1,IF(AC49="E",5,IF(AA48="",AF48,AA48)))</f>
        <v>150</v>
      </c>
      <c r="AH48" s="108"/>
      <c r="AI48" s="115" t="str">
        <f>IF(AU48="","",HYPERLINK(OFFSET(Biblioteca!$B$2,MATCH(AU48,Biblioteca!$A$3:$A$200,0),0),AU48))</f>
        <v/>
      </c>
      <c r="AL48" s="109" t="str">
        <f>Montagem!AU132</f>
        <v/>
      </c>
      <c r="AM48" s="110" t="str">
        <f>Montagem!AV132</f>
        <v/>
      </c>
      <c r="AN48" s="110" t="str">
        <f>Montagem!AW132</f>
        <v/>
      </c>
      <c r="AO48" s="110" t="str">
        <f>Montagem!AX132</f>
        <v/>
      </c>
      <c r="AP48" s="110" t="str">
        <f>Montagem!AY132</f>
        <v/>
      </c>
      <c r="AQ48" s="110" t="str">
        <f>Montagem!AZ132</f>
        <v/>
      </c>
      <c r="AR48" s="114"/>
      <c r="AS48" s="111">
        <f>Montagem!AO132</f>
        <v>1</v>
      </c>
      <c r="AT48" s="111" t="str">
        <f>Montagem!BA132</f>
        <v/>
      </c>
      <c r="AU48" s="111" t="str">
        <f>Montagem!AP132</f>
        <v/>
      </c>
      <c r="AV48" s="111" t="str">
        <f>Montagem!BB132</f>
        <v/>
      </c>
      <c r="AW48" s="106" t="str">
        <f>IF(AV48="",AT48,AV48)</f>
        <v/>
      </c>
      <c r="AX48" s="106" t="str">
        <f>IF(AT49="C",'Dados de Base'!$D$5*0.1,IF(AT49="E",5,IF(AR48="",AW48,AR48)))</f>
        <v/>
      </c>
      <c r="AY48" s="108"/>
      <c r="AZ48" s="115" t="str">
        <f>IF(BL48="","",HYPERLINK(OFFSET(Biblioteca!$B$2,MATCH(BL48,Biblioteca!$A$3:$A$200,0),0),BL48))</f>
        <v>Esteira</v>
      </c>
      <c r="BC48" s="109" t="str">
        <f>Montagem!BJ132</f>
        <v/>
      </c>
      <c r="BD48" s="110" t="str">
        <f>Montagem!BK132</f>
        <v/>
      </c>
      <c r="BE48" s="110" t="str">
        <f>Montagem!BL132</f>
        <v/>
      </c>
      <c r="BF48" s="110">
        <f>Montagem!BM132</f>
        <v>60</v>
      </c>
      <c r="BG48" s="110" t="str">
        <f>Montagem!BN132</f>
        <v/>
      </c>
      <c r="BH48" s="110" t="str">
        <f>Montagem!BO132</f>
        <v/>
      </c>
      <c r="BI48" s="113">
        <v>10.0</v>
      </c>
      <c r="BJ48" s="111">
        <f>Montagem!BD132</f>
        <v>6</v>
      </c>
      <c r="BK48" s="111">
        <f>Montagem!BP132</f>
        <v>0</v>
      </c>
      <c r="BL48" s="111" t="str">
        <f>Montagem!BE132</f>
        <v>Esteira</v>
      </c>
      <c r="BM48" s="111" t="str">
        <f>Montagem!BQ132</f>
        <v/>
      </c>
      <c r="BN48" s="106">
        <f>IF(BM48="",BK48,BM48)</f>
        <v>0</v>
      </c>
      <c r="BO48" s="106">
        <f>IF(BK49="C",'Dados de Base'!$D$5*0.1,IF(BK49="E",5,IF(BI48="",BN48,BI48)))</f>
        <v>10</v>
      </c>
      <c r="BP48" s="108"/>
      <c r="BQ48" s="102" t="str">
        <f>IF(CC48="","",HYPERLINK(OFFSET(Biblioteca!$B$2,MATCH(CC48,Biblioteca!$A$3:$A$200,0),0),CC48))</f>
        <v>Corda</v>
      </c>
      <c r="BT48" s="109" t="str">
        <f>Montagem!BY132</f>
        <v/>
      </c>
      <c r="BU48" s="110" t="str">
        <f>Montagem!BZ132</f>
        <v/>
      </c>
      <c r="BV48" s="110" t="str">
        <f>Montagem!CA132</f>
        <v/>
      </c>
      <c r="BW48" s="110">
        <f>Montagem!CB132</f>
        <v>60</v>
      </c>
      <c r="BX48" s="110" t="str">
        <f>Montagem!CC132</f>
        <v/>
      </c>
      <c r="BY48" s="110" t="str">
        <f>Montagem!CD132</f>
        <v/>
      </c>
      <c r="BZ48" s="113">
        <v>10.0</v>
      </c>
      <c r="CA48" s="111">
        <f>Montagem!BS132</f>
        <v>7</v>
      </c>
      <c r="CB48" s="111">
        <f>Montagem!CE132</f>
        <v>0</v>
      </c>
      <c r="CC48" s="111" t="str">
        <f>Montagem!BT132</f>
        <v>Corda</v>
      </c>
      <c r="CD48" s="111" t="str">
        <f>Montagem!CF132</f>
        <v/>
      </c>
      <c r="CE48" s="106">
        <f>IF(CD48="",CB48,CD48)</f>
        <v>0</v>
      </c>
      <c r="CF48" s="106">
        <f>IF(CB49="C",'Dados de Base'!$D$5*0.1,IF(CB49="E",5,IF(BZ48="",CE48,BZ48)))</f>
        <v>10</v>
      </c>
      <c r="CG48" s="108"/>
      <c r="CH48" s="115" t="str">
        <f>IF(CT48="","",HYPERLINK(OFFSET(Biblioteca!$B$2,MATCH(CT48,Biblioteca!$A$3:$A$200,0),0),CT48))</f>
        <v/>
      </c>
      <c r="CK48" s="109" t="str">
        <f>Montagem!CN132</f>
        <v/>
      </c>
      <c r="CL48" s="110" t="str">
        <f>Montagem!CO132</f>
        <v/>
      </c>
      <c r="CM48" s="110" t="str">
        <f>Montagem!CP132</f>
        <v/>
      </c>
      <c r="CN48" s="110" t="str">
        <f>Montagem!CQ132</f>
        <v/>
      </c>
      <c r="CO48" s="110" t="str">
        <f>Montagem!CR132</f>
        <v/>
      </c>
      <c r="CP48" s="110" t="str">
        <f>Montagem!CS132</f>
        <v/>
      </c>
      <c r="CQ48" s="114"/>
      <c r="CR48" s="111">
        <f>Montagem!CH132</f>
        <v>1</v>
      </c>
      <c r="CS48" s="111" t="str">
        <f>Montagem!CT132</f>
        <v/>
      </c>
      <c r="CT48" s="111" t="str">
        <f>Montagem!CI132</f>
        <v/>
      </c>
      <c r="CU48" s="145" t="str">
        <f>Montagem!CU132</f>
        <v/>
      </c>
      <c r="CV48" s="106" t="str">
        <f>IF(CU48="",CS48,CU48)</f>
        <v/>
      </c>
      <c r="CW48" s="106" t="str">
        <f>IF(CS49="C",'Dados de Base'!$D$5*0.1,IF(CS49="E",5,IF(CQ48="",CV48,CQ48)))</f>
        <v/>
      </c>
      <c r="CX48" s="108"/>
      <c r="CY48" s="115" t="str">
        <f>IF(DK48="","",HYPERLINK(OFFSET(Biblioteca!$B$2,MATCH(DK48,Biblioteca!$A$3:$A$200,0),0),DK48))</f>
        <v/>
      </c>
      <c r="DB48" s="130" t="str">
        <f>Montagem!DC132</f>
        <v/>
      </c>
      <c r="DC48" s="131" t="str">
        <f>Montagem!DD132</f>
        <v/>
      </c>
      <c r="DD48" s="131" t="str">
        <f>Montagem!DE132</f>
        <v/>
      </c>
      <c r="DE48" s="131" t="str">
        <f>Montagem!DF132</f>
        <v/>
      </c>
      <c r="DF48" s="131" t="str">
        <f>Montagem!DG132</f>
        <v/>
      </c>
      <c r="DG48" s="131" t="str">
        <f>Montagem!DH132</f>
        <v/>
      </c>
      <c r="DH48" s="114"/>
      <c r="DI48" s="111">
        <f>Montagem!CW132</f>
        <v>1</v>
      </c>
      <c r="DJ48" s="111" t="str">
        <f>Montagem!DI132</f>
        <v/>
      </c>
      <c r="DK48" s="111" t="str">
        <f>Montagem!CX132</f>
        <v/>
      </c>
      <c r="DL48" s="145" t="str">
        <f>Montagem!DJ132</f>
        <v/>
      </c>
      <c r="DM48" s="106" t="str">
        <f>IF(DL48="",DJ48,DL48)</f>
        <v/>
      </c>
      <c r="DN48" s="106" t="str">
        <f>IF(DJ49="C",'Dados de Base'!$D$5*0.1,IF(DJ49="E",5,IF(DH48="",DM48,DH48)))</f>
        <v/>
      </c>
      <c r="DO48" s="108"/>
      <c r="DP48" s="106"/>
      <c r="DQ48" s="106"/>
      <c r="DR48" s="106"/>
      <c r="DS48" s="106"/>
      <c r="DT48" s="106"/>
      <c r="DU48" s="106"/>
      <c r="DV48" s="106"/>
      <c r="DW48" s="106"/>
      <c r="DX48" s="106"/>
      <c r="DY48" s="106"/>
    </row>
    <row r="49">
      <c r="A49" s="117" t="str">
        <f>IF(A48="","",IFS(L49="A",Montagem!$C$130,N49="T","Realizar a maior quantidade de repetições por "&amp;F48&amp;" segundos | ",N49="I",IF(M49="U","Manter a posição por "&amp;F48&amp;" segundos de um lado e trocar para o outro na sequência | ","Manter a posição por "&amp;F48&amp;" segundos | "),M49="A","Realizar alternadamente "&amp;F48&amp;" repetições cada lado | ",M49="U","Realizar "&amp;F48&amp;" repetições de um lado e trocar para o outro na sequência | ",L49="P",OFFSET(Biblioteca!$H$2,MATCH(M48,Biblioteca!$A$3:$A$200,0),0),TRUE,"")&amp;IF(N49="R","Ajuste a carga para que tenha "&amp;$K$2&amp;" repetições de reserva",""))</f>
        <v>Ajuste a carga para que tenha 0 a 2 repetições de reserva</v>
      </c>
      <c r="E49" s="118" t="str">
        <f>IF(A48="","",IFS(L49="H","Carga Sugerida: "&amp;ROUNDUP(O48/2,0)&amp;" kg de cada lado (Total: "&amp;ROUNDUP(O48/2,0)*2&amp;" kg)",L49="C","Este exercício usa o Peso Corporal como carga",L49="E","Este exercício usa a resistência da banda elástica como carga",L49="O","Carga Sugerida: "&amp;INT(O48)&amp;" kg",TRUE,""))</f>
        <v>Carga Sugerida: 7 kg</v>
      </c>
      <c r="J49" s="66"/>
      <c r="K49" s="106">
        <f>K48</f>
        <v>8</v>
      </c>
      <c r="L49" s="120" t="str">
        <f>LEFT(O49)</f>
        <v>O</v>
      </c>
      <c r="M49" s="121" t="str">
        <f>MID(O49,2,1)</f>
        <v>O</v>
      </c>
      <c r="N49" s="122" t="str">
        <f>RIGHT(O49)</f>
        <v>R</v>
      </c>
      <c r="O49" s="123" t="str">
        <f>IF(M48="","",OFFSET(Biblioteca!$I$2,MATCH(M48,Biblioteca!$A$3:$A$200,0),0))</f>
        <v>OOR</v>
      </c>
      <c r="P49" s="57"/>
      <c r="Q49" s="125"/>
      <c r="R49" s="117" t="str">
        <f>IF(R48="","",IFS(AC49="A",Montagem!$D$130,AE49="T","Realizar a maior quantidade de repetições por "&amp;W48&amp;" segundos | ",AE49="I",IF(AD49="U","Manter a posição por "&amp;W48&amp;" segundos de um lado e trocar para o outro na sequência | ","Manter a posição por "&amp;W48&amp;" segundos | "),AD49="A","Realizar alternadamente "&amp;W48&amp;" repetições cada lado | ",AD49="U","Realizar "&amp;W48&amp;" repetições de um lado e trocar para o outro na sequência | ",AC49="P",OFFSET(Biblioteca!$H$2,MATCH(AD48,Biblioteca!$A$3:$A$200,0),0),TRUE,"")&amp;IF(AE49="R","Ajuste a carga para que tenha "&amp;$K$2&amp;" repetições de reserva",""))</f>
        <v>Ajuste a carga para que tenha 0 a 2 repetições de reserva</v>
      </c>
      <c r="V49" s="118" t="str">
        <f>IF(R48="","",IFS(AC49="H","Carga Sugerida: "&amp;ROUNDUP(AF48/2,0)&amp;" kg de cada lado (Total: "&amp;ROUNDUP(AF48/2,0)*2&amp;" kg)",AC49="C","Este exercício usa o Peso Corporal como carga",AC49="E","Este exercício usa a resistência da banda elástica como carga",AC49="O","Carga Sugerida: "&amp;INT(AF48)&amp;" kg",TRUE,""))</f>
        <v>Carga Sugerida: 150 kg</v>
      </c>
      <c r="AA49" s="66"/>
      <c r="AB49" s="126">
        <f>AB48</f>
        <v>8</v>
      </c>
      <c r="AC49" s="120" t="str">
        <f>LEFT(AF49)</f>
        <v>O</v>
      </c>
      <c r="AD49" s="121" t="str">
        <f>MID(AF49,2,1)</f>
        <v>O</v>
      </c>
      <c r="AE49" s="122" t="str">
        <f>RIGHT(AF49)</f>
        <v>R</v>
      </c>
      <c r="AF49" s="123" t="str">
        <f>IF(AD48="","",OFFSET(Biblioteca!$I$2,MATCH(AD48,Biblioteca!$A$3:$A$200,0),0))</f>
        <v>OOR</v>
      </c>
      <c r="AG49" s="57"/>
      <c r="AH49" s="125"/>
      <c r="AI49" s="117" t="str">
        <f>IF(AI48="","",IFS(AT49="A",Montagem!$E$130,AV49="T","Realizar a maior quantidade de repetições por "&amp;AN48&amp;" segundos | ",AV49="I",IF(AU49="U","Manter a posição por "&amp;AN48&amp;" segundos de um lado e trocar para o outro na sequência | ","Manter a posição por "&amp;AN48&amp;" segundos | "),AU49="A","Realizar alternadamente "&amp;AN48&amp;" repetições cada lado | ",AU49="U","Realizar "&amp;AN48&amp;" repetições de um lado e trocar para o outro na sequência | ",AT49="P",OFFSET(Biblioteca!$H$2,MATCH(AU48,Biblioteca!$A$3:$A$200,0),0),TRUE,"")&amp;IF(AV49="R","Ajuste a carga para que tenha "&amp;$K$2&amp;" repetições de reserva",""))</f>
        <v/>
      </c>
      <c r="AM49" s="118" t="str">
        <f>IF(AI48="","",IFS(AT49="H","Carga Sugerida: "&amp;ROUNDUP(AW48/2,0)&amp;" kg de cada lado (Total: "&amp;ROUNDUP(AW48/2,0)*2&amp;" kg)",AT49="C","Este exercício usa o Peso Corporal como carga",AT49="E","Este exercício usa a resistência da banda elástica como carga",AT49="O","Carga Sugerida: "&amp;INT(AW48)&amp;" kg",TRUE,""))</f>
        <v/>
      </c>
      <c r="AR49" s="66"/>
      <c r="AS49" s="126">
        <f>AS48</f>
        <v>1</v>
      </c>
      <c r="AT49" s="120" t="str">
        <f>LEFT(AW49)</f>
        <v/>
      </c>
      <c r="AU49" s="121" t="str">
        <f>MID(AW49,2,1)</f>
        <v/>
      </c>
      <c r="AV49" s="122" t="str">
        <f>RIGHT(AW49)</f>
        <v/>
      </c>
      <c r="AW49" s="123" t="str">
        <f>IF(AU48="","",OFFSET(Biblioteca!$I$2,MATCH(AU48,Biblioteca!$A$3:$A$200,0),0))</f>
        <v/>
      </c>
      <c r="AX49" s="57"/>
      <c r="AY49" s="125"/>
      <c r="AZ49" s="117" t="str">
        <f>IF(AZ48="","",IFS(BK49="A",Montagem!$F$130,BM49="T","Realizar a maior quantidade de repetições por "&amp;BE48&amp;" segundos | ",BM49="I",IF(BL49="U","Manter a posição por "&amp;BE48&amp;" segundos de um lado e trocar para o outro na sequência | ","Manter a posição por "&amp;BE48&amp;" segundos | "),BL49="A","Realizar alternadamente "&amp;BE48&amp;" repetições cada lado | ",BL49="U","Realizar "&amp;BE48&amp;" repetições de um lado e trocar para o outro na sequência | ",BK49="P",OFFSET(Biblioteca!$H$2,MATCH(BL48,Biblioteca!$A$3:$A$200,0),0),TRUE,"")&amp;IF(BM49="R","Ajuste a carga para que tenha "&amp;$K$2&amp;" repetições de reserva",""))</f>
        <v>Mantenha 37-40min em intensidade constante com frequência cardíaca entre 105,5 - 116,2 bpm (50 - 60% VO2Máx -&gt; 8,5 - 10,9km/h)</v>
      </c>
      <c r="BD49" s="118" t="str">
        <f>IF(AZ48="","",IFS(BK49="H","Carga Sugerida: "&amp;ROUNDUP(BN48/2,0)&amp;" kg de cada lado (Total: "&amp;ROUNDUP(BN48/2,0)*2&amp;" kg)",BK49="C","Este exercício usa o Peso Corporal como carga",BK49="E","Este exercício usa a resistência da banda elástica como carga",BK49="O","Carga Sugerida: "&amp;INT(BN48)&amp;" kg",TRUE,""))</f>
        <v/>
      </c>
      <c r="BI49" s="66"/>
      <c r="BJ49" s="126">
        <f>BJ48</f>
        <v>6</v>
      </c>
      <c r="BK49" s="120" t="str">
        <f>LEFT(BN49)</f>
        <v>A</v>
      </c>
      <c r="BL49" s="121" t="str">
        <f>MID(BN49,2,1)</f>
        <v>-</v>
      </c>
      <c r="BM49" s="122" t="str">
        <f>RIGHT(BN49)</f>
        <v>-</v>
      </c>
      <c r="BN49" s="123" t="str">
        <f>IF(BL48="","",OFFSET(Biblioteca!$I$2,MATCH(BL48,Biblioteca!$A$3:$A$200,0),0))</f>
        <v>A--</v>
      </c>
      <c r="BO49" s="57"/>
      <c r="BP49" s="125"/>
      <c r="BQ49" s="117" t="str">
        <f>IF(BQ48="","",IFS(CB49="A",Montagem!$G$130,CD49="T","Realizar a maior quantidade de repetições por "&amp;BV48&amp;" segundos | ",CD49="I",IF(CC49="U","Manter a posição por "&amp;BV48&amp;" segundos de um lado e trocar para o outro na sequência | ","Manter a posição por "&amp;BV48&amp;" segundos | "),CC49="A","Realizar alternadamente "&amp;BV48&amp;" repetições cada lado | ",CC49="U","Realizar "&amp;BV48&amp;" repetições de um lado e trocar para o outro na sequência | ",CB49="P",OFFSET(Biblioteca!$H$2,MATCH(CC48,Biblioteca!$A$3:$A$200,0),0),TRUE,"")&amp;IF(CD49="R","Ajuste a carga para que tenha "&amp;$K$2&amp;" repetições de reserva",""))</f>
        <v>1x (5m all out)</v>
      </c>
      <c r="BU49" s="118" t="str">
        <f>IF(BQ48="","",IFS(CB49="H","Carga Sugerida: "&amp;ROUNDUP(CE48/2,0)&amp;" kg de cada lado (Total: "&amp;ROUNDUP(CE48/2,0)*2&amp;" kg)",CB49="C","Este exercício usa o Peso Corporal como carga",CB49="E","Este exercício usa a resistência da banda elástica como carga",CB49="O","Carga Sugerida: "&amp;INT(CE48)&amp;" kg",TRUE,""))</f>
        <v/>
      </c>
      <c r="BZ49" s="66"/>
      <c r="CA49" s="126">
        <f>CA48</f>
        <v>7</v>
      </c>
      <c r="CB49" s="120" t="str">
        <f>LEFT(CE49)</f>
        <v>A</v>
      </c>
      <c r="CC49" s="121" t="str">
        <f>MID(CE49,2,1)</f>
        <v>T</v>
      </c>
      <c r="CD49" s="122" t="str">
        <f>RIGHT(CE49)</f>
        <v>T</v>
      </c>
      <c r="CE49" s="123" t="str">
        <f>IF(CC48="","",OFFSET(Biblioteca!$I$2,MATCH(CC48,Biblioteca!$A$3:$A$200,0),0))</f>
        <v>AT</v>
      </c>
      <c r="CF49" s="57"/>
      <c r="CG49" s="125"/>
      <c r="CH49" s="117" t="str">
        <f>IF(CH48="","",IFS(CS49="A",Montagem!$H$130,CU49="T","Realizar a maior quantidade de repetições por "&amp;CM48&amp;" segundos | ",CU49="I",IF(CT49="U","Manter a posição por "&amp;CM48&amp;" segundos de um lado e trocar para o outro na sequência | ","Manter a posição por "&amp;CM48&amp;" segundos | "),CT49="A","Realizar alternadamente "&amp;CM48&amp;" repetições cada lado | ",CT49="U","Realizar "&amp;CM48&amp;" repetições de um lado e trocar para o outro na sequência | ",CS49="P",OFFSET(Biblioteca!$H$2,MATCH(CT48,Biblioteca!$A$3:$A$200,0),0),TRUE,"")&amp;IF(CU49="R","Ajuste a carga para que tenha "&amp;$K$2&amp;" repetições de reserva",""))</f>
        <v/>
      </c>
      <c r="CL49" s="118" t="str">
        <f>IF(CH48="","",IFS(CS49="H","Carga Sugerida: "&amp;ROUNDUP(CV48/2,0)&amp;" kg de cada lado (Total: "&amp;ROUNDUP(CV48/2,0)*2&amp;" kg)",CS49="C","Este exercício usa o Peso Corporal como carga",CS49="E","Este exercício usa a resistência da banda elástica como carga",CS49="O","Carga Sugerida: "&amp;INT(CV48)&amp;" kg",TRUE,""))</f>
        <v/>
      </c>
      <c r="CQ49" s="66"/>
      <c r="CR49" s="126">
        <f>CR48</f>
        <v>1</v>
      </c>
      <c r="CS49" s="120" t="str">
        <f>LEFT(CV49)</f>
        <v/>
      </c>
      <c r="CT49" s="121" t="str">
        <f>MID(CV49,2,1)</f>
        <v/>
      </c>
      <c r="CU49" s="122" t="str">
        <f>RIGHT(CV49)</f>
        <v/>
      </c>
      <c r="CV49" s="123" t="str">
        <f>IF(CT48="","",OFFSET(Biblioteca!$I$2,MATCH(CT48,Biblioteca!$A$3:$A$200,0),0))</f>
        <v/>
      </c>
      <c r="CW49" s="57"/>
      <c r="CX49" s="125"/>
      <c r="CY49" s="117" t="str">
        <f>IF(CY48="","",IFS(DJ49="A",Montagem!$I$130,DL49="T","Realizar a maior quantidade de repetições por "&amp;DD48&amp;" segundos | ",DL49="I",IF(DK49="U","Manter a posição por "&amp;DD48&amp;" segundos de um lado e trocar para o outro na sequência | ","Manter a posição por "&amp;DD48&amp;" segundos | "),DK49="A","Realizar alternadamente "&amp;DD48&amp;" repetições cada lado | ",DK49="U","Realizar "&amp;DD48&amp;" repetições de um lado e trocar para o outro na sequência | ",DJ49="P",OFFSET(Biblioteca!$H$2,MATCH(DK48,Biblioteca!$A$3:$A$200,0),0),TRUE,"")&amp;IF(DL49="R","Ajuste a carga para que tenha "&amp;$K$2&amp;" repetições de reserva",""))</f>
        <v/>
      </c>
      <c r="DC49" s="118" t="str">
        <f>IF(CY48="","",IFS(DJ49="H","Carga Sugerida: "&amp;ROUNDUP(DM48/2,0)&amp;" kg de cada lado (Total: "&amp;ROUNDUP(DM48/2,0)*2&amp;" kg)",DJ49="C","Este exercício usa o Peso Corporal como carga",DJ49="E","Este exercício usa a resistência da banda elástica como carga",DJ49="O","Carga Sugerida: "&amp;INT(DM48)&amp;" kg",TRUE,""))</f>
        <v/>
      </c>
      <c r="DH49" s="66"/>
      <c r="DI49" s="126">
        <f>DI48</f>
        <v>1</v>
      </c>
      <c r="DJ49" s="120" t="str">
        <f>LEFT(DM49)</f>
        <v/>
      </c>
      <c r="DK49" s="121" t="str">
        <f>MID(DM49,2,1)</f>
        <v/>
      </c>
      <c r="DL49" s="122" t="str">
        <f>RIGHT(DM49)</f>
        <v/>
      </c>
      <c r="DM49" s="123" t="str">
        <f>IF(DK48="","",OFFSET(Biblioteca!$I$2,MATCH(DK48,Biblioteca!$A$3:$A$200,0),0))</f>
        <v/>
      </c>
      <c r="DN49" s="57"/>
      <c r="DO49" s="125"/>
      <c r="DP49" s="57"/>
      <c r="DQ49" s="56"/>
      <c r="DR49" s="56"/>
      <c r="DS49" s="56"/>
      <c r="DT49" s="56"/>
      <c r="DU49" s="56"/>
      <c r="DV49" s="56"/>
      <c r="DW49" s="56"/>
      <c r="DX49" s="56"/>
      <c r="DY49" s="56"/>
    </row>
    <row r="50">
      <c r="A50" s="115" t="str">
        <f>IF(M50="","",HYPERLINK(OFFSET(Biblioteca!$B$2,MATCH(M50,Biblioteca!$A$3:$A$200,0),0),M50))</f>
        <v>Esteira</v>
      </c>
      <c r="D50" s="103" t="str">
        <f>Montagem!Q133</f>
        <v/>
      </c>
      <c r="E50" s="104" t="str">
        <f>Montagem!R133</f>
        <v/>
      </c>
      <c r="F50" s="104" t="str">
        <f>Montagem!S133</f>
        <v/>
      </c>
      <c r="G50" s="104">
        <f>Montagem!T133</f>
        <v>60</v>
      </c>
      <c r="H50" s="104" t="str">
        <f>Montagem!U133</f>
        <v/>
      </c>
      <c r="I50" s="132" t="str">
        <f>Montagem!V133</f>
        <v/>
      </c>
      <c r="J50" s="105">
        <v>10.0</v>
      </c>
      <c r="K50" s="106">
        <f>Montagem!K133</f>
        <v>9</v>
      </c>
      <c r="L50" s="111">
        <f>Montagem!W133</f>
        <v>0</v>
      </c>
      <c r="M50" s="111" t="str">
        <f>Montagem!L133</f>
        <v>Esteira</v>
      </c>
      <c r="N50" s="111" t="str">
        <f>Montagem!X133</f>
        <v/>
      </c>
      <c r="O50" s="106">
        <f>IF(N50="",L50,N50)</f>
        <v>0</v>
      </c>
      <c r="P50" s="106">
        <f>IF(L51="C",'Dados de Base'!$D$5*0.1,IF(L51="E",5,IF(J50="",O50,J50)))</f>
        <v>10</v>
      </c>
      <c r="Q50" s="108"/>
      <c r="R50" s="115" t="str">
        <f>IF(AD50="","",HYPERLINK(OFFSET(Biblioteca!$B$2,MATCH(AD50,Biblioteca!$A$3:$A$200,0),0),AD50))</f>
        <v>Bicicleta</v>
      </c>
      <c r="U50" s="109" t="str">
        <f>Montagem!AF133</f>
        <v/>
      </c>
      <c r="V50" s="110" t="str">
        <f>Montagem!AG133</f>
        <v/>
      </c>
      <c r="W50" s="110" t="str">
        <f>Montagem!AH133</f>
        <v/>
      </c>
      <c r="X50" s="110">
        <f>Montagem!AI133</f>
        <v>60</v>
      </c>
      <c r="Y50" s="110" t="str">
        <f>Montagem!AJ133</f>
        <v/>
      </c>
      <c r="Z50" s="110" t="str">
        <f>Montagem!AK133</f>
        <v/>
      </c>
      <c r="AA50" s="113">
        <v>10.0</v>
      </c>
      <c r="AB50" s="111">
        <f>Montagem!Z133</f>
        <v>9</v>
      </c>
      <c r="AC50" s="111">
        <f>Montagem!AL133</f>
        <v>0</v>
      </c>
      <c r="AD50" s="129" t="str">
        <f>Montagem!AA133</f>
        <v>Bicicleta</v>
      </c>
      <c r="AE50" s="111" t="str">
        <f>Montagem!AM133</f>
        <v/>
      </c>
      <c r="AF50" s="106">
        <f>IF(AE50="",AC50,AE50)</f>
        <v>0</v>
      </c>
      <c r="AG50" s="106">
        <f>IF(AC51="C",'Dados de Base'!$D$5*0.1,IF(AC51="E",5,IF(AA50="",AF50,AA50)))</f>
        <v>10</v>
      </c>
      <c r="AH50" s="108"/>
      <c r="AI50" s="115" t="str">
        <f>IF(AU50="","",HYPERLINK(OFFSET(Biblioteca!$B$2,MATCH(AU50,Biblioteca!$A$3:$A$200,0),0),AU50))</f>
        <v/>
      </c>
      <c r="AL50" s="109" t="str">
        <f>Montagem!AU133</f>
        <v/>
      </c>
      <c r="AM50" s="110" t="str">
        <f>Montagem!AV133</f>
        <v/>
      </c>
      <c r="AN50" s="110" t="str">
        <f>Montagem!AW133</f>
        <v/>
      </c>
      <c r="AO50" s="110" t="str">
        <f>Montagem!AX133</f>
        <v/>
      </c>
      <c r="AP50" s="110" t="str">
        <f>Montagem!AY133</f>
        <v/>
      </c>
      <c r="AQ50" s="110" t="str">
        <f>Montagem!AZ133</f>
        <v/>
      </c>
      <c r="AR50" s="114"/>
      <c r="AS50" s="111">
        <f>Montagem!AO133</f>
        <v>1</v>
      </c>
      <c r="AT50" s="111" t="str">
        <f>Montagem!BA133</f>
        <v/>
      </c>
      <c r="AU50" s="111" t="str">
        <f>Montagem!AP133</f>
        <v/>
      </c>
      <c r="AV50" s="111" t="str">
        <f>Montagem!BB133</f>
        <v/>
      </c>
      <c r="AW50" s="106" t="str">
        <f>IF(AV50="",AT50,AV50)</f>
        <v/>
      </c>
      <c r="AX50" s="106" t="str">
        <f>IF(AT51="C",'Dados de Base'!$D$5*0.1,IF(AT51="E",5,IF(AR50="",AW50,AR50)))</f>
        <v/>
      </c>
      <c r="AY50" s="108"/>
      <c r="AZ50" s="115" t="str">
        <f>IF(BL50="","",HYPERLINK(OFFSET(Biblioteca!$B$2,MATCH(BL50,Biblioteca!$A$3:$A$200,0),0),BL50))</f>
        <v/>
      </c>
      <c r="BC50" s="109" t="str">
        <f>Montagem!BJ133</f>
        <v/>
      </c>
      <c r="BD50" s="110" t="str">
        <f>Montagem!BK133</f>
        <v/>
      </c>
      <c r="BE50" s="110" t="str">
        <f>Montagem!BL133</f>
        <v/>
      </c>
      <c r="BF50" s="110" t="str">
        <f>Montagem!BM133</f>
        <v/>
      </c>
      <c r="BG50" s="110" t="str">
        <f>Montagem!BN133</f>
        <v/>
      </c>
      <c r="BH50" s="110" t="str">
        <f>Montagem!BO133</f>
        <v/>
      </c>
      <c r="BI50" s="113"/>
      <c r="BJ50" s="111">
        <f>Montagem!BD133</f>
        <v>7</v>
      </c>
      <c r="BK50" s="111" t="str">
        <f>Montagem!BP133</f>
        <v/>
      </c>
      <c r="BL50" s="111" t="str">
        <f>Montagem!BE133</f>
        <v/>
      </c>
      <c r="BM50" s="111" t="str">
        <f>Montagem!BQ133</f>
        <v/>
      </c>
      <c r="BN50" s="106" t="str">
        <f>IF(BM50="",BK50,BM50)</f>
        <v/>
      </c>
      <c r="BO50" s="106" t="str">
        <f>IF(BK51="C",'Dados de Base'!$D$5*0.1,IF(BK51="E",5,IF(BI50="",BN50,BI50)))</f>
        <v/>
      </c>
      <c r="BP50" s="108"/>
      <c r="BQ50" s="115" t="str">
        <f>IF(CC50="","",HYPERLINK(OFFSET(Biblioteca!$B$2,MATCH(CC50,Biblioteca!$A$3:$A$200,0),0),CC50))</f>
        <v/>
      </c>
      <c r="BT50" s="109" t="str">
        <f>Montagem!BY133</f>
        <v/>
      </c>
      <c r="BU50" s="110" t="str">
        <f>Montagem!BZ133</f>
        <v/>
      </c>
      <c r="BV50" s="110" t="str">
        <f>Montagem!CA133</f>
        <v/>
      </c>
      <c r="BW50" s="110" t="str">
        <f>Montagem!CB133</f>
        <v/>
      </c>
      <c r="BX50" s="110" t="str">
        <f>Montagem!CC133</f>
        <v/>
      </c>
      <c r="BY50" s="110" t="str">
        <f>Montagem!CD133</f>
        <v/>
      </c>
      <c r="BZ50" s="114"/>
      <c r="CA50" s="111">
        <f>Montagem!BS133</f>
        <v>8</v>
      </c>
      <c r="CB50" s="111" t="str">
        <f>Montagem!CE133</f>
        <v/>
      </c>
      <c r="CC50" s="111" t="str">
        <f>Montagem!BT133</f>
        <v/>
      </c>
      <c r="CD50" s="111" t="str">
        <f>Montagem!CF133</f>
        <v/>
      </c>
      <c r="CE50" s="106" t="str">
        <f>IF(CD50="",CB50,CD50)</f>
        <v/>
      </c>
      <c r="CF50" s="106" t="str">
        <f>IF(CB51="C",'Dados de Base'!$D$5*0.1,IF(CB51="E",5,IF(BZ50="",CE50,BZ50)))</f>
        <v/>
      </c>
      <c r="CG50" s="108"/>
      <c r="CH50" s="115" t="str">
        <f>IF(CT50="","",HYPERLINK(OFFSET(Biblioteca!$B$2,MATCH(CT50,Biblioteca!$A$3:$A$200,0),0),CT50))</f>
        <v/>
      </c>
      <c r="CK50" s="109" t="str">
        <f>Montagem!CN133</f>
        <v/>
      </c>
      <c r="CL50" s="110" t="str">
        <f>Montagem!CO133</f>
        <v/>
      </c>
      <c r="CM50" s="110" t="str">
        <f>Montagem!CP133</f>
        <v/>
      </c>
      <c r="CN50" s="110" t="str">
        <f>Montagem!CQ133</f>
        <v/>
      </c>
      <c r="CO50" s="110" t="str">
        <f>Montagem!CR133</f>
        <v/>
      </c>
      <c r="CP50" s="110" t="str">
        <f>Montagem!CS133</f>
        <v/>
      </c>
      <c r="CQ50" s="114"/>
      <c r="CR50" s="111">
        <f>Montagem!CH133</f>
        <v>1</v>
      </c>
      <c r="CS50" s="111" t="str">
        <f>Montagem!CT133</f>
        <v/>
      </c>
      <c r="CT50" s="111" t="str">
        <f>Montagem!CI133</f>
        <v/>
      </c>
      <c r="CU50" s="145" t="str">
        <f>Montagem!CU133</f>
        <v/>
      </c>
      <c r="CV50" s="106" t="str">
        <f>IF(CU50="",CS50,CU50)</f>
        <v/>
      </c>
      <c r="CW50" s="106" t="str">
        <f>IF(CS51="C",'Dados de Base'!$D$5*0.1,IF(CS51="E",5,IF(CQ50="",CV50,CQ50)))</f>
        <v/>
      </c>
      <c r="CX50" s="108"/>
      <c r="CY50" s="115" t="str">
        <f>IF(DK50="","",HYPERLINK(OFFSET(Biblioteca!$B$2,MATCH(DK50,Biblioteca!$A$3:$A$200,0),0),DK50))</f>
        <v/>
      </c>
      <c r="DB50" s="130" t="str">
        <f>Montagem!DC133</f>
        <v/>
      </c>
      <c r="DC50" s="131" t="str">
        <f>Montagem!DD133</f>
        <v/>
      </c>
      <c r="DD50" s="131" t="str">
        <f>Montagem!DE133</f>
        <v/>
      </c>
      <c r="DE50" s="131" t="str">
        <f>Montagem!DF133</f>
        <v/>
      </c>
      <c r="DF50" s="131" t="str">
        <f>Montagem!DG133</f>
        <v/>
      </c>
      <c r="DG50" s="131" t="str">
        <f>Montagem!DH133</f>
        <v/>
      </c>
      <c r="DH50" s="114"/>
      <c r="DI50" s="111">
        <f>Montagem!CW133</f>
        <v>1</v>
      </c>
      <c r="DJ50" s="111" t="str">
        <f>Montagem!DI133</f>
        <v/>
      </c>
      <c r="DK50" s="111" t="str">
        <f>Montagem!CX133</f>
        <v/>
      </c>
      <c r="DL50" s="145" t="str">
        <f>Montagem!DJ133</f>
        <v/>
      </c>
      <c r="DM50" s="106" t="str">
        <f>IF(DL50="",DJ50,DL50)</f>
        <v/>
      </c>
      <c r="DN50" s="106" t="str">
        <f>IF(DJ51="C",'Dados de Base'!$D$5*0.1,IF(DJ51="E",5,IF(DH50="",DM50,DH50)))</f>
        <v/>
      </c>
      <c r="DO50" s="108"/>
      <c r="DP50" s="106"/>
      <c r="DQ50" s="106"/>
      <c r="DR50" s="106"/>
      <c r="DS50" s="106"/>
      <c r="DT50" s="106"/>
      <c r="DU50" s="106"/>
      <c r="DV50" s="106"/>
      <c r="DW50" s="106"/>
      <c r="DX50" s="106"/>
      <c r="DY50" s="106"/>
    </row>
    <row r="51">
      <c r="A51" s="117" t="str">
        <f>IF(A50="","",IFS(L51="A",Montagem!$C$130,N51="T","Realizar a maior quantidade de repetições por "&amp;F50&amp;" segundos | ",N51="I",IF(M51="U","Manter a posição por "&amp;F50&amp;" segundos de um lado e trocar para o outro na sequência | ","Manter a posição por "&amp;F50&amp;" segundos | "),M51="A","Realizar alternadamente "&amp;F50&amp;" repetições cada lado | ",M51="U","Realizar "&amp;F50&amp;" repetições de um lado e trocar para o outro na sequência | ",L51="P",OFFSET(Biblioteca!$H$2,MATCH(M50,Biblioteca!$A$3:$A$200,0),0),TRUE,"")&amp;IF(N51="R","Ajuste a carga para que tenha "&amp;$K$2&amp;" repetições de reserva",""))</f>
        <v>1x (3m a 142,95 - 148,3 bpm-&gt; 15,4 - 16,4km/h)</v>
      </c>
      <c r="E51" s="118" t="str">
        <f>IF(A50="","",IFS(L51="H","Carga Sugerida: "&amp;ROUNDUP(O50/2,0)&amp;" kg de cada lado (Total: "&amp;ROUNDUP(O50/2,0)*2&amp;" kg)",L51="C","Este exercício usa o Peso Corporal como carga",L51="E","Este exercício usa a resistência da banda elástica como carga",L51="O","Carga Sugerida: "&amp;INT(O50)&amp;" kg",TRUE,""))</f>
        <v/>
      </c>
      <c r="J51" s="66"/>
      <c r="K51" s="106">
        <f>K50</f>
        <v>9</v>
      </c>
      <c r="L51" s="120" t="str">
        <f>LEFT(O51)</f>
        <v>A</v>
      </c>
      <c r="M51" s="121" t="str">
        <f>MID(O51,2,1)</f>
        <v>-</v>
      </c>
      <c r="N51" s="122" t="str">
        <f>RIGHT(O51)</f>
        <v>-</v>
      </c>
      <c r="O51" s="123" t="str">
        <f>IF(M50="","",OFFSET(Biblioteca!$I$2,MATCH(M50,Biblioteca!$A$3:$A$200,0),0))</f>
        <v>A--</v>
      </c>
      <c r="P51" s="57"/>
      <c r="Q51" s="125"/>
      <c r="R51" s="117" t="str">
        <f>IF(R50="","",IFS(AC51="A",Montagem!$D$130,AE51="T","Realizar a maior quantidade de repetições por "&amp;W50&amp;" segundos | ",AE51="I",IF(AD51="U","Manter a posição por "&amp;W50&amp;" segundos de um lado e trocar para o outro na sequência | ","Manter a posição por "&amp;W50&amp;" segundos | "),AD51="A","Realizar alternadamente "&amp;W50&amp;" repetições cada lado | ",AD51="U","Realizar "&amp;W50&amp;" repetições de um lado e trocar para o outro na sequência | ",AC51="P",OFFSET(Biblioteca!$H$2,MATCH(AD50,Biblioteca!$A$3:$A$200,0),0),TRUE,"")&amp;IF(AE51="R","Ajuste a carga para que tenha "&amp;$K$2&amp;" repetições de reserva",""))</f>
        <v>1x (3m all out)</v>
      </c>
      <c r="V51" s="118" t="str">
        <f>IF(R50="","",IFS(AC51="H","Carga Sugerida: "&amp;ROUNDUP(AF50/2,0)&amp;" kg de cada lado (Total: "&amp;ROUNDUP(AF50/2,0)*2&amp;" kg)",AC51="C","Este exercício usa o Peso Corporal como carga",AC51="E","Este exercício usa a resistência da banda elástica como carga",AC51="O","Carga Sugerida: "&amp;INT(AF50)&amp;" kg",TRUE,""))</f>
        <v/>
      </c>
      <c r="AA51" s="66"/>
      <c r="AB51" s="126">
        <f>AB50</f>
        <v>9</v>
      </c>
      <c r="AC51" s="120" t="str">
        <f>LEFT(AF51)</f>
        <v>A</v>
      </c>
      <c r="AD51" s="121" t="str">
        <f>MID(AF51,2,1)</f>
        <v>-</v>
      </c>
      <c r="AE51" s="122" t="str">
        <f>RIGHT(AF51)</f>
        <v>-</v>
      </c>
      <c r="AF51" s="123" t="str">
        <f>IF(AD50="","",OFFSET(Biblioteca!$I$2,MATCH(AD50,Biblioteca!$A$3:$A$200,0),0))</f>
        <v>A--</v>
      </c>
      <c r="AG51" s="57"/>
      <c r="AH51" s="125"/>
      <c r="AI51" s="117" t="str">
        <f>IF(AI50="","",IFS(AT51="A",Montagem!$E$130,AV51="T","Realizar a maior quantidade de repetições por "&amp;AN50&amp;" segundos | ",AV51="I",IF(AU51="U","Manter a posição por "&amp;AN50&amp;" segundos de um lado e trocar para o outro na sequência | ","Manter a posição por "&amp;AN50&amp;" segundos | "),AU51="A","Realizar alternadamente "&amp;AN50&amp;" repetições cada lado | ",AU51="U","Realizar "&amp;AN50&amp;" repetições de um lado e trocar para o outro na sequência | ",AT51="P",OFFSET(Biblioteca!$H$2,MATCH(AU50,Biblioteca!$A$3:$A$200,0),0),TRUE,"")&amp;IF(AV51="R","Ajuste a carga para que tenha "&amp;$K$2&amp;" repetições de reserva",""))</f>
        <v/>
      </c>
      <c r="AM51" s="118" t="str">
        <f>IF(AI50="","",IFS(AT51="H","Carga Sugerida: "&amp;ROUNDUP(AW50/2,0)&amp;" kg de cada lado (Total: "&amp;ROUNDUP(AW50/2,0)*2&amp;" kg)",AT51="C","Este exercício usa o Peso Corporal como carga",AT51="E","Este exercício usa a resistência da banda elástica como carga",AT51="O","Carga Sugerida: "&amp;INT(AW50)&amp;" kg",TRUE,""))</f>
        <v/>
      </c>
      <c r="AR51" s="66"/>
      <c r="AS51" s="126">
        <f>AS50</f>
        <v>1</v>
      </c>
      <c r="AT51" s="120" t="str">
        <f>LEFT(AW51)</f>
        <v/>
      </c>
      <c r="AU51" s="121" t="str">
        <f>MID(AW51,2,1)</f>
        <v/>
      </c>
      <c r="AV51" s="122" t="str">
        <f>RIGHT(AW51)</f>
        <v/>
      </c>
      <c r="AW51" s="123" t="str">
        <f>IF(AU50="","",OFFSET(Biblioteca!$I$2,MATCH(AU50,Biblioteca!$A$3:$A$200,0),0))</f>
        <v/>
      </c>
      <c r="AX51" s="57"/>
      <c r="AY51" s="125"/>
      <c r="AZ51" s="117" t="str">
        <f>IF(AZ50="","",IFS(BK51="A",Montagem!$F$130,BM51="T","Realizar a maior quantidade de repetições por "&amp;BE50&amp;" segundos | ",BM51="I",IF(BL51="U","Manter a posição por "&amp;BE50&amp;" segundos de um lado e trocar para o outro na sequência | ","Manter a posição por "&amp;BE50&amp;" segundos | "),BL51="A","Realizar alternadamente "&amp;BE50&amp;" repetições cada lado | ",BL51="U","Realizar "&amp;BE50&amp;" repetições de um lado e trocar para o outro na sequência | ",BK51="P",OFFSET(Biblioteca!$H$2,MATCH(BL50,Biblioteca!$A$3:$A$200,0),0),TRUE,"")&amp;IF(BM51="R","Ajuste a carga para que tenha "&amp;$K$2&amp;" repetições de reserva",""))</f>
        <v/>
      </c>
      <c r="BD51" s="118" t="str">
        <f>IF(AZ50="","",IFS(BK51="H","Carga Sugerida: "&amp;ROUNDUP(BN50/2,0)&amp;" kg de cada lado (Total: "&amp;ROUNDUP(BN50/2,0)*2&amp;" kg)",BK51="C","Este exercício usa o Peso Corporal como carga",BK51="E","Este exercício usa a resistência da banda elástica como carga",BK51="O","Carga Sugerida: "&amp;INT(BN50)&amp;" kg",TRUE,""))</f>
        <v/>
      </c>
      <c r="BI51" s="66"/>
      <c r="BJ51" s="126">
        <f>BJ50</f>
        <v>7</v>
      </c>
      <c r="BK51" s="120" t="str">
        <f>LEFT(BN51)</f>
        <v/>
      </c>
      <c r="BL51" s="121" t="str">
        <f>MID(BN51,2,1)</f>
        <v/>
      </c>
      <c r="BM51" s="122" t="str">
        <f>RIGHT(BN51)</f>
        <v/>
      </c>
      <c r="BN51" s="123" t="str">
        <f>IF(BL50="","",OFFSET(Biblioteca!$I$2,MATCH(BL50,Biblioteca!$A$3:$A$200,0),0))</f>
        <v/>
      </c>
      <c r="BO51" s="57"/>
      <c r="BP51" s="125"/>
      <c r="BQ51" s="117" t="str">
        <f>IF(BQ50="","",IFS(CB51="A",Montagem!$G$130,CD51="T","Realizar a maior quantidade de repetições por "&amp;BV50&amp;" segundos | ",CD51="I",IF(CC51="U","Manter a posição por "&amp;BV50&amp;" segundos de um lado e trocar para o outro na sequência | ","Manter a posição por "&amp;BV50&amp;" segundos | "),CC51="A","Realizar alternadamente "&amp;BV50&amp;" repetições cada lado | ",CC51="U","Realizar "&amp;BV50&amp;" repetições de um lado e trocar para o outro na sequência | ",CB51="P",OFFSET(Biblioteca!$H$2,MATCH(CC50,Biblioteca!$A$3:$A$200,0),0),TRUE,"")&amp;IF(CD51="R","Ajuste a carga para que tenha "&amp;$K$2&amp;" repetições de reserva",""))</f>
        <v/>
      </c>
      <c r="BU51" s="118" t="str">
        <f>IF(BQ50="","",IFS(CB51="H","Carga Sugerida: "&amp;ROUNDUP(CE50/2,0)&amp;" kg de cada lado (Total: "&amp;ROUNDUP(CE50/2,0)*2&amp;" kg)",CB51="C","Este exercício usa o Peso Corporal como carga",CB51="E","Este exercício usa a resistência da banda elástica como carga",CB51="O","Carga Sugerida: "&amp;INT(CE50)&amp;" kg",TRUE,""))</f>
        <v/>
      </c>
      <c r="BZ51" s="66"/>
      <c r="CA51" s="126">
        <f>CA50</f>
        <v>8</v>
      </c>
      <c r="CB51" s="120" t="str">
        <f>LEFT(CE51)</f>
        <v/>
      </c>
      <c r="CC51" s="121" t="str">
        <f>MID(CE51,2,1)</f>
        <v/>
      </c>
      <c r="CD51" s="122" t="str">
        <f>RIGHT(CE51)</f>
        <v/>
      </c>
      <c r="CE51" s="123" t="str">
        <f>IF(CC50="","",OFFSET(Biblioteca!$I$2,MATCH(CC50,Biblioteca!$A$3:$A$200,0),0))</f>
        <v/>
      </c>
      <c r="CF51" s="57"/>
      <c r="CG51" s="125"/>
      <c r="CH51" s="117" t="str">
        <f>IF(CH50="","",IFS(CS51="A",Montagem!$H$130,CU51="T","Realizar a maior quantidade de repetições por "&amp;CM50&amp;" segundos | ",CU51="I",IF(CT51="U","Manter a posição por "&amp;CM50&amp;" segundos de um lado e trocar para o outro na sequência | ","Manter a posição por "&amp;CM50&amp;" segundos | "),CT51="A","Realizar alternadamente "&amp;CM50&amp;" repetições cada lado | ",CT51="U","Realizar "&amp;CM50&amp;" repetições de um lado e trocar para o outro na sequência | ",CS51="P",OFFSET(Biblioteca!$H$2,MATCH(CT50,Biblioteca!$A$3:$A$200,0),0),TRUE,"")&amp;IF(CU51="R","Ajuste a carga para que tenha "&amp;$K$2&amp;" repetições de reserva",""))</f>
        <v/>
      </c>
      <c r="CL51" s="118" t="str">
        <f>IF(CH50="","",IFS(CS51="H","Carga Sugerida: "&amp;ROUNDUP(CV50/2,0)&amp;" kg de cada lado (Total: "&amp;ROUNDUP(CV50/2,0)*2&amp;" kg)",CS51="C","Este exercício usa o Peso Corporal como carga",CS51="E","Este exercício usa a resistência da banda elástica como carga",CS51="O","Carga Sugerida: "&amp;INT(CV50)&amp;" kg",TRUE,""))</f>
        <v/>
      </c>
      <c r="CQ51" s="66"/>
      <c r="CR51" s="126">
        <f>CR50</f>
        <v>1</v>
      </c>
      <c r="CS51" s="120" t="str">
        <f>LEFT(CV51)</f>
        <v/>
      </c>
      <c r="CT51" s="121" t="str">
        <f>MID(CV51,2,1)</f>
        <v/>
      </c>
      <c r="CU51" s="122" t="str">
        <f>RIGHT(CV51)</f>
        <v/>
      </c>
      <c r="CV51" s="123" t="str">
        <f>IF(CT50="","",OFFSET(Biblioteca!$I$2,MATCH(CT50,Biblioteca!$A$3:$A$200,0),0))</f>
        <v/>
      </c>
      <c r="CW51" s="57"/>
      <c r="CX51" s="125"/>
      <c r="CY51" s="117" t="str">
        <f>IF(CY50="","",IFS(DJ51="A",Montagem!$I$130,DL51="T","Realizar a maior quantidade de repetições por "&amp;DD50&amp;" segundos | ",DL51="I",IF(DK51="U","Manter a posição por "&amp;DD50&amp;" segundos de um lado e trocar para o outro na sequência | ","Manter a posição por "&amp;DD50&amp;" segundos | "),DK51="A","Realizar alternadamente "&amp;DD50&amp;" repetições cada lado | ",DK51="U","Realizar "&amp;DD50&amp;" repetições de um lado e trocar para o outro na sequência | ",DJ51="P",OFFSET(Biblioteca!$H$2,MATCH(DK50,Biblioteca!$A$3:$A$200,0),0),TRUE,"")&amp;IF(DL51="R","Ajuste a carga para que tenha "&amp;$K$2&amp;" repetições de reserva",""))</f>
        <v/>
      </c>
      <c r="DC51" s="118" t="str">
        <f>IF(CY50="","",IFS(DJ51="H","Carga Sugerida: "&amp;ROUNDUP(DM50/2,0)&amp;" kg de cada lado (Total: "&amp;ROUNDUP(DM50/2,0)*2&amp;" kg)",DJ51="C","Este exercício usa o Peso Corporal como carga",DJ51="E","Este exercício usa a resistência da banda elástica como carga",DJ51="O","Carga Sugerida: "&amp;INT(DM50)&amp;" kg",TRUE,""))</f>
        <v/>
      </c>
      <c r="DH51" s="66"/>
      <c r="DI51" s="126">
        <f>DI50</f>
        <v>1</v>
      </c>
      <c r="DJ51" s="120" t="str">
        <f>LEFT(DM51)</f>
        <v/>
      </c>
      <c r="DK51" s="121" t="str">
        <f>MID(DM51,2,1)</f>
        <v/>
      </c>
      <c r="DL51" s="122" t="str">
        <f>RIGHT(DM51)</f>
        <v/>
      </c>
      <c r="DM51" s="123" t="str">
        <f>IF(DK50="","",OFFSET(Biblioteca!$I$2,MATCH(DK50,Biblioteca!$A$3:$A$200,0),0))</f>
        <v/>
      </c>
      <c r="DN51" s="57"/>
      <c r="DO51" s="125"/>
      <c r="DP51" s="57"/>
      <c r="DQ51" s="56"/>
      <c r="DR51" s="56"/>
      <c r="DS51" s="56"/>
      <c r="DT51" s="56"/>
      <c r="DU51" s="56"/>
      <c r="DV51" s="56"/>
      <c r="DW51" s="56"/>
      <c r="DX51" s="56"/>
      <c r="DY51" s="56"/>
    </row>
    <row r="52">
      <c r="A52" s="102" t="str">
        <f>IF(M52="","",HYPERLINK(OFFSET(Biblioteca!$B$2,MATCH(M52,Biblioteca!$A$3:$A$200,0),0),M52))</f>
        <v>Abdominal canoa</v>
      </c>
      <c r="D52" s="103" t="str">
        <f>Montagem!Q134</f>
        <v>Bi-SET</v>
      </c>
      <c r="E52" s="104">
        <f>Montagem!R134</f>
        <v>3</v>
      </c>
      <c r="F52" s="104">
        <f>Montagem!S134</f>
        <v>15</v>
      </c>
      <c r="G52" s="104" t="str">
        <f>Montagem!T134</f>
        <v/>
      </c>
      <c r="H52" s="104">
        <f>Montagem!U134</f>
        <v>1</v>
      </c>
      <c r="I52" s="132">
        <f>Montagem!V134</f>
        <v>2</v>
      </c>
      <c r="J52" s="105">
        <v>10.0</v>
      </c>
      <c r="K52" s="106">
        <f>Montagem!K134</f>
        <v>10</v>
      </c>
      <c r="L52" s="111">
        <f>Montagem!W134</f>
        <v>0</v>
      </c>
      <c r="M52" s="111" t="str">
        <f>Montagem!L134</f>
        <v>Abdominal canoa</v>
      </c>
      <c r="N52" s="111" t="str">
        <f>Montagem!X134</f>
        <v/>
      </c>
      <c r="O52" s="106">
        <f>IF(N52="",L52,N52)</f>
        <v>0</v>
      </c>
      <c r="P52" s="106">
        <f>IF(L53="C",'Dados de Base'!$D$5*0.1,IF(L53="E",5,IF(J52="",O52,J52)))</f>
        <v>6.3</v>
      </c>
      <c r="Q52" s="108"/>
      <c r="R52" s="102" t="str">
        <f>IF(AD52="","",HYPERLINK(OFFSET(Biblioteca!$B$2,MATCH(AD52,Biblioteca!$A$3:$A$200,0),0),AD52))</f>
        <v>Abdominal roda</v>
      </c>
      <c r="U52" s="109" t="str">
        <f>Montagem!AF134</f>
        <v>Bi-SET</v>
      </c>
      <c r="V52" s="110">
        <f>Montagem!AG134</f>
        <v>3</v>
      </c>
      <c r="W52" s="110">
        <f>Montagem!AH134</f>
        <v>15</v>
      </c>
      <c r="X52" s="110" t="str">
        <f>Montagem!AI134</f>
        <v/>
      </c>
      <c r="Y52" s="110">
        <f>Montagem!AJ134</f>
        <v>1</v>
      </c>
      <c r="Z52" s="110">
        <f>Montagem!AK134</f>
        <v>2</v>
      </c>
      <c r="AA52" s="113">
        <v>10.0</v>
      </c>
      <c r="AB52" s="111">
        <f>Montagem!Z134</f>
        <v>10</v>
      </c>
      <c r="AC52" s="111">
        <f>Montagem!AL134</f>
        <v>0</v>
      </c>
      <c r="AD52" s="129" t="str">
        <f>Montagem!AA134</f>
        <v>Abdominal roda</v>
      </c>
      <c r="AE52" s="111" t="str">
        <f>Montagem!AM134</f>
        <v/>
      </c>
      <c r="AF52" s="106">
        <f>IF(AE52="",AC52,AE52)</f>
        <v>0</v>
      </c>
      <c r="AG52" s="106">
        <f>IF(AC53="C",'Dados de Base'!$D$5*0.1,IF(AC53="E",5,IF(AA52="",AF52,AA52)))</f>
        <v>6.3</v>
      </c>
      <c r="AH52" s="108"/>
      <c r="AI52" s="115" t="str">
        <f>IF(AU52="","",HYPERLINK(OFFSET(Biblioteca!$B$2,MATCH(AU52,Biblioteca!$A$3:$A$200,0),0),AU52))</f>
        <v/>
      </c>
      <c r="AL52" s="109" t="str">
        <f>Montagem!AU134</f>
        <v/>
      </c>
      <c r="AM52" s="110" t="str">
        <f>Montagem!AV134</f>
        <v/>
      </c>
      <c r="AN52" s="110" t="str">
        <f>Montagem!AW134</f>
        <v/>
      </c>
      <c r="AO52" s="110" t="str">
        <f>Montagem!AX134</f>
        <v/>
      </c>
      <c r="AP52" s="110" t="str">
        <f>Montagem!AY134</f>
        <v/>
      </c>
      <c r="AQ52" s="110" t="str">
        <f>Montagem!AZ134</f>
        <v/>
      </c>
      <c r="AR52" s="114"/>
      <c r="AS52" s="111">
        <f>Montagem!AO134</f>
        <v>1</v>
      </c>
      <c r="AT52" s="111" t="str">
        <f>Montagem!BA134</f>
        <v/>
      </c>
      <c r="AU52" s="111" t="str">
        <f>Montagem!AP134</f>
        <v/>
      </c>
      <c r="AV52" s="111" t="str">
        <f>Montagem!BB134</f>
        <v/>
      </c>
      <c r="AW52" s="106" t="str">
        <f>IF(AV52="",AT52,AV52)</f>
        <v/>
      </c>
      <c r="AX52" s="106" t="str">
        <f>IF(AT53="C",'Dados de Base'!$D$5*0.1,IF(AT53="E",5,IF(AR52="",AW52,AR52)))</f>
        <v/>
      </c>
      <c r="AY52" s="108"/>
      <c r="AZ52" s="115" t="str">
        <f>IF(BL52="","",HYPERLINK(OFFSET(Biblioteca!$B$2,MATCH(BL52,Biblioteca!$A$3:$A$200,0),0),BL52))</f>
        <v/>
      </c>
      <c r="BC52" s="109" t="str">
        <f>Montagem!BJ134</f>
        <v/>
      </c>
      <c r="BD52" s="110" t="str">
        <f>Montagem!BK134</f>
        <v/>
      </c>
      <c r="BE52" s="110" t="str">
        <f>Montagem!BL134</f>
        <v/>
      </c>
      <c r="BF52" s="110" t="str">
        <f>Montagem!BM134</f>
        <v/>
      </c>
      <c r="BG52" s="110" t="str">
        <f>Montagem!BN134</f>
        <v/>
      </c>
      <c r="BH52" s="110" t="str">
        <f>Montagem!BO134</f>
        <v/>
      </c>
      <c r="BI52" s="113"/>
      <c r="BJ52" s="111">
        <f>Montagem!BD134</f>
        <v>7</v>
      </c>
      <c r="BK52" s="111" t="str">
        <f>Montagem!BP134</f>
        <v/>
      </c>
      <c r="BL52" s="111" t="str">
        <f>Montagem!BE134</f>
        <v/>
      </c>
      <c r="BM52" s="111" t="str">
        <f>Montagem!BQ134</f>
        <v/>
      </c>
      <c r="BN52" s="106" t="str">
        <f>IF(BM52="",BK52,BM52)</f>
        <v/>
      </c>
      <c r="BO52" s="106" t="str">
        <f>IF(BK53="C",'Dados de Base'!$D$5*0.1,IF(BK53="E",5,IF(BI52="",BN52,BI52)))</f>
        <v/>
      </c>
      <c r="BP52" s="108"/>
      <c r="BQ52" s="115" t="str">
        <f>IF(CC52="","",HYPERLINK(OFFSET(Biblioteca!$B$2,MATCH(CC52,Biblioteca!$A$3:$A$200,0),0),CC52))</f>
        <v/>
      </c>
      <c r="BT52" s="109" t="str">
        <f>Montagem!BY134</f>
        <v/>
      </c>
      <c r="BU52" s="110" t="str">
        <f>Montagem!BZ134</f>
        <v/>
      </c>
      <c r="BV52" s="110" t="str">
        <f>Montagem!CA134</f>
        <v/>
      </c>
      <c r="BW52" s="110" t="str">
        <f>Montagem!CB134</f>
        <v/>
      </c>
      <c r="BX52" s="110" t="str">
        <f>Montagem!CC134</f>
        <v/>
      </c>
      <c r="BY52" s="110" t="str">
        <f>Montagem!CD134</f>
        <v/>
      </c>
      <c r="BZ52" s="114"/>
      <c r="CA52" s="111">
        <f>Montagem!BS134</f>
        <v>8</v>
      </c>
      <c r="CB52" s="111" t="str">
        <f>Montagem!CE134</f>
        <v/>
      </c>
      <c r="CC52" s="111" t="str">
        <f>Montagem!BT134</f>
        <v/>
      </c>
      <c r="CD52" s="111" t="str">
        <f>Montagem!CF134</f>
        <v/>
      </c>
      <c r="CE52" s="106" t="str">
        <f>IF(CD52="",CB52,CD52)</f>
        <v/>
      </c>
      <c r="CF52" s="106" t="str">
        <f>IF(CB53="C",'Dados de Base'!$D$5*0.1,IF(CB53="E",5,IF(BZ52="",CE52,BZ52)))</f>
        <v/>
      </c>
      <c r="CG52" s="108"/>
      <c r="CH52" s="115" t="str">
        <f>IF(CT52="","",HYPERLINK(OFFSET(Biblioteca!$B$2,MATCH(CT52,Biblioteca!$A$3:$A$200,0),0),CT52))</f>
        <v/>
      </c>
      <c r="CK52" s="109" t="str">
        <f>Montagem!CN134</f>
        <v/>
      </c>
      <c r="CL52" s="110" t="str">
        <f>Montagem!CO134</f>
        <v/>
      </c>
      <c r="CM52" s="110" t="str">
        <f>Montagem!CP134</f>
        <v/>
      </c>
      <c r="CN52" s="110" t="str">
        <f>Montagem!CQ134</f>
        <v/>
      </c>
      <c r="CO52" s="110" t="str">
        <f>Montagem!CR134</f>
        <v/>
      </c>
      <c r="CP52" s="110" t="str">
        <f>Montagem!CS134</f>
        <v/>
      </c>
      <c r="CQ52" s="114"/>
      <c r="CR52" s="111">
        <f>Montagem!CH134</f>
        <v>1</v>
      </c>
      <c r="CS52" s="111" t="str">
        <f>Montagem!CT134</f>
        <v/>
      </c>
      <c r="CT52" s="111" t="str">
        <f>Montagem!CI134</f>
        <v/>
      </c>
      <c r="CU52" s="145" t="str">
        <f>Montagem!CU134</f>
        <v/>
      </c>
      <c r="CV52" s="106" t="str">
        <f>IF(CU52="",CS52,CU52)</f>
        <v/>
      </c>
      <c r="CW52" s="106" t="str">
        <f>IF(CS53="C",'Dados de Base'!$D$5*0.1,IF(CS53="E",5,IF(CQ52="",CV52,CQ52)))</f>
        <v/>
      </c>
      <c r="CX52" s="108"/>
      <c r="CY52" s="115" t="str">
        <f>IF(DK52="","",HYPERLINK(OFFSET(Biblioteca!$B$2,MATCH(DK52,Biblioteca!$A$3:$A$200,0),0),DK52))</f>
        <v/>
      </c>
      <c r="DB52" s="130" t="str">
        <f>Montagem!DC134</f>
        <v/>
      </c>
      <c r="DC52" s="131" t="str">
        <f>Montagem!DD134</f>
        <v/>
      </c>
      <c r="DD52" s="131" t="str">
        <f>Montagem!DE134</f>
        <v/>
      </c>
      <c r="DE52" s="131" t="str">
        <f>Montagem!DF134</f>
        <v/>
      </c>
      <c r="DF52" s="131" t="str">
        <f>Montagem!DG134</f>
        <v/>
      </c>
      <c r="DG52" s="131" t="str">
        <f>Montagem!DH134</f>
        <v/>
      </c>
      <c r="DH52" s="114"/>
      <c r="DI52" s="111">
        <f>Montagem!CW134</f>
        <v>1</v>
      </c>
      <c r="DJ52" s="111" t="str">
        <f>Montagem!DI134</f>
        <v/>
      </c>
      <c r="DK52" s="111" t="str">
        <f>Montagem!CX134</f>
        <v/>
      </c>
      <c r="DL52" s="145" t="str">
        <f>Montagem!DJ134</f>
        <v/>
      </c>
      <c r="DM52" s="106" t="str">
        <f>IF(DL52="",DJ52,DL52)</f>
        <v/>
      </c>
      <c r="DN52" s="106" t="str">
        <f>IF(DJ53="C",'Dados de Base'!$D$5*0.1,IF(DJ53="E",5,IF(DH52="",DM52,DH52)))</f>
        <v/>
      </c>
      <c r="DO52" s="108"/>
      <c r="DP52" s="106"/>
      <c r="DQ52" s="106"/>
      <c r="DR52" s="106"/>
      <c r="DS52" s="106"/>
      <c r="DT52" s="106"/>
      <c r="DU52" s="106"/>
      <c r="DV52" s="106"/>
      <c r="DW52" s="106"/>
      <c r="DX52" s="106"/>
      <c r="DY52" s="106"/>
    </row>
    <row r="53">
      <c r="A53" s="117" t="str">
        <f>IF(A52="","",IFS(L53="A",Montagem!$C$130,N53="T","Realizar a maior quantidade de repetições por "&amp;F52&amp;" segundos | ",N53="I",IF(M53="U","Manter a posição por "&amp;F52&amp;" segundos de um lado e trocar para o outro na sequência | ","Manter a posição por "&amp;F52&amp;" segundos | "),M53="A","Realizar alternadamente "&amp;F52&amp;" repetições cada lado | ",M53="U","Realizar "&amp;F52&amp;" repetições de um lado e trocar para o outro na sequência | ",L53="P",OFFSET(Biblioteca!$H$2,MATCH(M52,Biblioteca!$A$3:$A$200,0),0),TRUE,"")&amp;IF(N53="R","Ajuste a carga para que tenha "&amp;$K$2&amp;" repetições de reserva",""))</f>
        <v>Ajuste a carga para que tenha 0 a 2 repetições de reserva</v>
      </c>
      <c r="E53" s="118" t="str">
        <f>IF(A52="","",IFS(L53="H","Carga Sugerida: "&amp;ROUNDUP(O52/2,0)&amp;" kg de cada lado (Total: "&amp;ROUNDUP(O52/2,0)*2&amp;" kg)",L53="C","Este exercício usa o Peso Corporal como carga",L53="E","Este exercício usa a resistência da banda elástica como carga",L53="O","Carga Sugerida: "&amp;INT(O52)&amp;" kg",TRUE,""))</f>
        <v>Este exercício usa o Peso Corporal como carga</v>
      </c>
      <c r="J53" s="66"/>
      <c r="K53" s="106">
        <f>K52</f>
        <v>10</v>
      </c>
      <c r="L53" s="120" t="str">
        <f>LEFT(O53)</f>
        <v>C</v>
      </c>
      <c r="M53" s="121" t="str">
        <f>MID(O53,2,1)</f>
        <v>O</v>
      </c>
      <c r="N53" s="122" t="str">
        <f>RIGHT(O53)</f>
        <v>R</v>
      </c>
      <c r="O53" s="123" t="str">
        <f>IF(M52="","",OFFSET(Biblioteca!$I$2,MATCH(M52,Biblioteca!$A$3:$A$200,0),0))</f>
        <v>COR</v>
      </c>
      <c r="P53" s="57"/>
      <c r="Q53" s="125"/>
      <c r="R53" s="117" t="str">
        <f>IF(R52="","",IFS(AC53="A",Montagem!$D$130,AE53="T","Realizar a maior quantidade de repetições por "&amp;W52&amp;" segundos | ",AE53="I",IF(AD53="U","Manter a posição por "&amp;W52&amp;" segundos de um lado e trocar para o outro na sequência | ","Manter a posição por "&amp;W52&amp;" segundos | "),AD53="A","Realizar alternadamente "&amp;W52&amp;" repetições cada lado | ",AD53="U","Realizar "&amp;W52&amp;" repetições de um lado e trocar para o outro na sequência | ",AC53="P",OFFSET(Biblioteca!$H$2,MATCH(AD52,Biblioteca!$A$3:$A$200,0),0),TRUE,"")&amp;IF(AE53="R","Ajuste a carga para que tenha "&amp;$K$2&amp;" repetições de reserva",""))</f>
        <v>Ajuste a carga para que tenha 0 a 2 repetições de reserva</v>
      </c>
      <c r="V53" s="118" t="str">
        <f>IF(R52="","",IFS(AC53="H","Carga Sugerida: "&amp;ROUNDUP(AF52/2,0)&amp;" kg de cada lado (Total: "&amp;ROUNDUP(AF52/2,0)*2&amp;" kg)",AC53="C","Este exercício usa o Peso Corporal como carga",AC53="E","Este exercício usa a resistência da banda elástica como carga",AC53="O","Carga Sugerida: "&amp;INT(AF52)&amp;" kg",TRUE,""))</f>
        <v>Este exercício usa o Peso Corporal como carga</v>
      </c>
      <c r="AA53" s="66"/>
      <c r="AB53" s="126">
        <f>AB52</f>
        <v>10</v>
      </c>
      <c r="AC53" s="120" t="str">
        <f>LEFT(AF53)</f>
        <v>C</v>
      </c>
      <c r="AD53" s="121" t="str">
        <f>MID(AF53,2,1)</f>
        <v>O</v>
      </c>
      <c r="AE53" s="122" t="str">
        <f>RIGHT(AF53)</f>
        <v>R</v>
      </c>
      <c r="AF53" s="123" t="str">
        <f>IF(AD52="","",OFFSET(Biblioteca!$I$2,MATCH(AD52,Biblioteca!$A$3:$A$200,0),0))</f>
        <v>COR</v>
      </c>
      <c r="AG53" s="57"/>
      <c r="AH53" s="125"/>
      <c r="AI53" s="117" t="str">
        <f>IF(AI52="","",IFS(AT53="A",Montagem!$E$130,AV53="T","Realizar a maior quantidade de repetições por "&amp;AN52&amp;" segundos | ",AV53="I",IF(AU53="U","Manter a posição por "&amp;AN52&amp;" segundos de um lado e trocar para o outro na sequência | ","Manter a posição por "&amp;AN52&amp;" segundos | "),AU53="A","Realizar alternadamente "&amp;AN52&amp;" repetições cada lado | ",AU53="U","Realizar "&amp;AN52&amp;" repetições de um lado e trocar para o outro na sequência | ",AT53="P",OFFSET(Biblioteca!$H$2,MATCH(AU52,Biblioteca!$A$3:$A$200,0),0),TRUE,"")&amp;IF(AV53="R","Ajuste a carga para que tenha "&amp;$K$2&amp;" repetições de reserva",""))</f>
        <v/>
      </c>
      <c r="AM53" s="118" t="str">
        <f>IF(AI52="","",IFS(AT53="H","Carga Sugerida: "&amp;ROUNDUP(AW52/2,0)&amp;" kg de cada lado (Total: "&amp;ROUNDUP(AW52/2,0)*2&amp;" kg)",AT53="C","Este exercício usa o Peso Corporal como carga",AT53="E","Este exercício usa a resistência da banda elástica como carga",AT53="O","Carga Sugerida: "&amp;INT(AW52)&amp;" kg",TRUE,""))</f>
        <v/>
      </c>
      <c r="AR53" s="66"/>
      <c r="AS53" s="126">
        <f>AS52</f>
        <v>1</v>
      </c>
      <c r="AT53" s="120" t="str">
        <f>LEFT(AW53)</f>
        <v/>
      </c>
      <c r="AU53" s="121" t="str">
        <f>MID(AW53,2,1)</f>
        <v/>
      </c>
      <c r="AV53" s="122" t="str">
        <f>RIGHT(AW53)</f>
        <v/>
      </c>
      <c r="AW53" s="123" t="str">
        <f>IF(AU52="","",OFFSET(Biblioteca!$I$2,MATCH(AU52,Biblioteca!$A$3:$A$200,0),0))</f>
        <v/>
      </c>
      <c r="AX53" s="57"/>
      <c r="AY53" s="125"/>
      <c r="AZ53" s="117" t="str">
        <f>IF(AZ52="","",IFS(BK53="A",Montagem!$F$130,BM53="T","Realizar a maior quantidade de repetições por "&amp;BE52&amp;" segundos | ",BM53="I",IF(BL53="U","Manter a posição por "&amp;BE52&amp;" segundos de um lado e trocar para o outro na sequência | ","Manter a posição por "&amp;BE52&amp;" segundos | "),BL53="A","Realizar alternadamente "&amp;BE52&amp;" repetições cada lado | ",BL53="U","Realizar "&amp;BE52&amp;" repetições de um lado e trocar para o outro na sequência | ",BK53="P",OFFSET(Biblioteca!$H$2,MATCH(BL52,Biblioteca!$A$3:$A$200,0),0),TRUE,"")&amp;IF(BM53="R","Ajuste a carga para que tenha "&amp;$K$2&amp;" repetições de reserva",""))</f>
        <v/>
      </c>
      <c r="BD53" s="118" t="str">
        <f>IF(AZ52="","",IFS(BK53="H","Carga Sugerida: "&amp;ROUNDUP(BN52/2,0)&amp;" kg de cada lado (Total: "&amp;ROUNDUP(BN52/2,0)*2&amp;" kg)",BK53="C","Este exercício usa o Peso Corporal como carga",BK53="E","Este exercício usa a resistência da banda elástica como carga",BK53="O","Carga Sugerida: "&amp;INT(BN52)&amp;" kg",TRUE,""))</f>
        <v/>
      </c>
      <c r="BI53" s="66"/>
      <c r="BJ53" s="126">
        <f>BJ52</f>
        <v>7</v>
      </c>
      <c r="BK53" s="120" t="str">
        <f>LEFT(BN53)</f>
        <v/>
      </c>
      <c r="BL53" s="121" t="str">
        <f>MID(BN53,2,1)</f>
        <v/>
      </c>
      <c r="BM53" s="122" t="str">
        <f>RIGHT(BN53)</f>
        <v/>
      </c>
      <c r="BN53" s="123" t="str">
        <f>IF(BL52="","",OFFSET(Biblioteca!$I$2,MATCH(BL52,Biblioteca!$A$3:$A$200,0),0))</f>
        <v/>
      </c>
      <c r="BO53" s="57"/>
      <c r="BP53" s="125"/>
      <c r="BQ53" s="117" t="str">
        <f>IF(BQ52="","",IFS(CB53="A",Montagem!$G$130,CD53="T","Realizar a maior quantidade de repetições por "&amp;BV52&amp;" segundos | ",CD53="I",IF(CC53="U","Manter a posição por "&amp;BV52&amp;" segundos de um lado e trocar para o outro na sequência | ","Manter a posição por "&amp;BV52&amp;" segundos | "),CC53="A","Realizar alternadamente "&amp;BV52&amp;" repetições cada lado | ",CC53="U","Realizar "&amp;BV52&amp;" repetições de um lado e trocar para o outro na sequência | ",CB53="P",OFFSET(Biblioteca!$H$2,MATCH(CC52,Biblioteca!$A$3:$A$200,0),0),TRUE,"")&amp;IF(CD53="R","Ajuste a carga para que tenha "&amp;$K$2&amp;" repetições de reserva",""))</f>
        <v/>
      </c>
      <c r="BU53" s="118" t="str">
        <f>IF(BQ52="","",IFS(CB53="H","Carga Sugerida: "&amp;ROUNDUP(CE52/2,0)&amp;" kg de cada lado (Total: "&amp;ROUNDUP(CE52/2,0)*2&amp;" kg)",CB53="C","Este exercício usa o Peso Corporal como carga",CB53="E","Este exercício usa a resistência da banda elástica como carga",CB53="O","Carga Sugerida: "&amp;INT(CE52)&amp;" kg",TRUE,""))</f>
        <v/>
      </c>
      <c r="BZ53" s="66"/>
      <c r="CA53" s="126">
        <f>CA52</f>
        <v>8</v>
      </c>
      <c r="CB53" s="120" t="str">
        <f>LEFT(CE53)</f>
        <v/>
      </c>
      <c r="CC53" s="121" t="str">
        <f>MID(CE53,2,1)</f>
        <v/>
      </c>
      <c r="CD53" s="122" t="str">
        <f>RIGHT(CE53)</f>
        <v/>
      </c>
      <c r="CE53" s="123" t="str">
        <f>IF(CC52="","",OFFSET(Biblioteca!$I$2,MATCH(CC52,Biblioteca!$A$3:$A$200,0),0))</f>
        <v/>
      </c>
      <c r="CF53" s="57"/>
      <c r="CG53" s="125"/>
      <c r="CH53" s="117" t="str">
        <f>IF(CH52="","",IFS(CS53="A",Montagem!$H$130,CU53="T","Realizar a maior quantidade de repetições por "&amp;CM52&amp;" segundos | ",CU53="I",IF(CT53="U","Manter a posição por "&amp;CM52&amp;" segundos de um lado e trocar para o outro na sequência | ","Manter a posição por "&amp;CM52&amp;" segundos | "),CT53="A","Realizar alternadamente "&amp;CM52&amp;" repetições cada lado | ",CT53="U","Realizar "&amp;CM52&amp;" repetições de um lado e trocar para o outro na sequência | ",CS53="P",OFFSET(Biblioteca!$H$2,MATCH(CT52,Biblioteca!$A$3:$A$200,0),0),TRUE,"")&amp;IF(CU53="R","Ajuste a carga para que tenha "&amp;$K$2&amp;" repetições de reserva",""))</f>
        <v/>
      </c>
      <c r="CL53" s="118" t="str">
        <f>IF(CH52="","",IFS(CS53="H","Carga Sugerida: "&amp;ROUNDUP(CV52/2,0)&amp;" kg de cada lado (Total: "&amp;ROUNDUP(CV52/2,0)*2&amp;" kg)",CS53="C","Este exercício usa o Peso Corporal como carga",CS53="E","Este exercício usa a resistência da banda elástica como carga",CS53="O","Carga Sugerida: "&amp;INT(CV52)&amp;" kg",TRUE,""))</f>
        <v/>
      </c>
      <c r="CQ53" s="66"/>
      <c r="CR53" s="126">
        <f>CR52</f>
        <v>1</v>
      </c>
      <c r="CS53" s="120" t="str">
        <f>LEFT(CV53)</f>
        <v/>
      </c>
      <c r="CT53" s="121" t="str">
        <f>MID(CV53,2,1)</f>
        <v/>
      </c>
      <c r="CU53" s="122" t="str">
        <f>RIGHT(CV53)</f>
        <v/>
      </c>
      <c r="CV53" s="123" t="str">
        <f>IF(CT52="","",OFFSET(Biblioteca!$I$2,MATCH(CT52,Biblioteca!$A$3:$A$200,0),0))</f>
        <v/>
      </c>
      <c r="CW53" s="57"/>
      <c r="CX53" s="125"/>
      <c r="CY53" s="117" t="str">
        <f>IF(CY52="","",IFS(DJ53="A",Montagem!$I$130,DL53="T","Realizar a maior quantidade de repetições por "&amp;DD52&amp;" segundos | ",DL53="I",IF(DK53="U","Manter a posição por "&amp;DD52&amp;" segundos de um lado e trocar para o outro na sequência | ","Manter a posição por "&amp;DD52&amp;" segundos | "),DK53="A","Realizar alternadamente "&amp;DD52&amp;" repetições cada lado | ",DK53="U","Realizar "&amp;DD52&amp;" repetições de um lado e trocar para o outro na sequência | ",DJ53="P",OFFSET(Biblioteca!$H$2,MATCH(DK52,Biblioteca!$A$3:$A$200,0),0),TRUE,"")&amp;IF(DL53="R","Ajuste a carga para que tenha "&amp;$K$2&amp;" repetições de reserva",""))</f>
        <v/>
      </c>
      <c r="DC53" s="118" t="str">
        <f>IF(CY52="","",IFS(DJ53="H","Carga Sugerida: "&amp;ROUNDUP(DM52/2,0)&amp;" kg de cada lado (Total: "&amp;ROUNDUP(DM52/2,0)*2&amp;" kg)",DJ53="C","Este exercício usa o Peso Corporal como carga",DJ53="E","Este exercício usa a resistência da banda elástica como carga",DJ53="O","Carga Sugerida: "&amp;INT(DM52)&amp;" kg",TRUE,""))</f>
        <v/>
      </c>
      <c r="DH53" s="66"/>
      <c r="DI53" s="126">
        <f>DI52</f>
        <v>1</v>
      </c>
      <c r="DJ53" s="120" t="str">
        <f>LEFT(DM53)</f>
        <v/>
      </c>
      <c r="DK53" s="121" t="str">
        <f>MID(DM53,2,1)</f>
        <v/>
      </c>
      <c r="DL53" s="122" t="str">
        <f>RIGHT(DM53)</f>
        <v/>
      </c>
      <c r="DM53" s="123" t="str">
        <f>IF(DK52="","",OFFSET(Biblioteca!$I$2,MATCH(DK52,Biblioteca!$A$3:$A$200,0),0))</f>
        <v/>
      </c>
      <c r="DN53" s="57"/>
      <c r="DO53" s="125"/>
      <c r="DP53" s="57"/>
      <c r="DQ53" s="56"/>
      <c r="DR53" s="56"/>
      <c r="DS53" s="56"/>
      <c r="DT53" s="56"/>
      <c r="DU53" s="56"/>
      <c r="DV53" s="56"/>
      <c r="DW53" s="56"/>
      <c r="DX53" s="56"/>
      <c r="DY53" s="56"/>
    </row>
    <row r="54">
      <c r="A54" s="102" t="str">
        <f>IF(M54="","",HYPERLINK(OFFSET(Biblioteca!$B$2,MATCH(M54,Biblioteca!$A$3:$A$200,0),0),M54))</f>
        <v>Abdominal Remador</v>
      </c>
      <c r="D54" s="103" t="str">
        <f>Montagem!Q135</f>
        <v>Bi-SET</v>
      </c>
      <c r="E54" s="104">
        <f>Montagem!R135</f>
        <v>3</v>
      </c>
      <c r="F54" s="104">
        <f>Montagem!S135</f>
        <v>15</v>
      </c>
      <c r="G54" s="104">
        <f>Montagem!T135</f>
        <v>60</v>
      </c>
      <c r="H54" s="104">
        <f>Montagem!U135</f>
        <v>1</v>
      </c>
      <c r="I54" s="132">
        <f>Montagem!V135</f>
        <v>2</v>
      </c>
      <c r="J54" s="105">
        <v>10.0</v>
      </c>
      <c r="K54" s="106">
        <f>Montagem!K135</f>
        <v>10</v>
      </c>
      <c r="L54" s="111">
        <f>Montagem!W135</f>
        <v>0</v>
      </c>
      <c r="M54" s="111" t="str">
        <f>Montagem!L135</f>
        <v>Abdominal Remador</v>
      </c>
      <c r="N54" s="111" t="str">
        <f>Montagem!X135</f>
        <v/>
      </c>
      <c r="O54" s="106">
        <f>IF(N54="",L54,N54)</f>
        <v>0</v>
      </c>
      <c r="P54" s="106">
        <f>IF(L55="C",'Dados de Base'!$D$5*0.1,IF(L55="E",5,IF(J54="",O54,J54)))</f>
        <v>6.3</v>
      </c>
      <c r="Q54" s="108"/>
      <c r="R54" s="102" t="str">
        <f>IF(AD54="","",HYPERLINK(OFFSET(Biblioteca!$B$2,MATCH(AD54,Biblioteca!$A$3:$A$200,0),0),AD54))</f>
        <v>Abdominal Obliquo na polia média</v>
      </c>
      <c r="U54" s="109" t="str">
        <f>Montagem!AF135</f>
        <v>Bi-SET</v>
      </c>
      <c r="V54" s="110">
        <f>Montagem!AG135</f>
        <v>3</v>
      </c>
      <c r="W54" s="110">
        <f>Montagem!AH135</f>
        <v>10</v>
      </c>
      <c r="X54" s="110">
        <f>Montagem!AI135</f>
        <v>60</v>
      </c>
      <c r="Y54" s="110">
        <f>Montagem!AJ135</f>
        <v>1</v>
      </c>
      <c r="Z54" s="110">
        <f>Montagem!AK135</f>
        <v>2</v>
      </c>
      <c r="AA54" s="113">
        <v>4.0</v>
      </c>
      <c r="AB54" s="111">
        <f>Montagem!Z135</f>
        <v>10</v>
      </c>
      <c r="AC54" s="111">
        <f>Montagem!AL135</f>
        <v>4</v>
      </c>
      <c r="AD54" s="129" t="str">
        <f>Montagem!AA135</f>
        <v>Abdominal Obliquo na polia média</v>
      </c>
      <c r="AE54" s="111" t="str">
        <f>Montagem!AM135</f>
        <v/>
      </c>
      <c r="AF54" s="106">
        <f>IF(AE54="",AC54,AE54)</f>
        <v>4</v>
      </c>
      <c r="AG54" s="106">
        <f>IF(AC55="C",'Dados de Base'!$D$5*0.1,IF(AC55="E",5,IF(AA54="",AF54,AA54)))</f>
        <v>4</v>
      </c>
      <c r="AH54" s="108"/>
      <c r="AI54" s="115" t="str">
        <f>IF(AU54="","",HYPERLINK(OFFSET(Biblioteca!$B$2,MATCH(AU54,Biblioteca!$A$3:$A$200,0),0),AU54))</f>
        <v/>
      </c>
      <c r="AL54" s="109" t="str">
        <f>Montagem!AU135</f>
        <v/>
      </c>
      <c r="AM54" s="110" t="str">
        <f>Montagem!AV135</f>
        <v/>
      </c>
      <c r="AN54" s="110" t="str">
        <f>Montagem!AW135</f>
        <v/>
      </c>
      <c r="AO54" s="110" t="str">
        <f>Montagem!AX135</f>
        <v/>
      </c>
      <c r="AP54" s="110" t="str">
        <f>Montagem!AY135</f>
        <v/>
      </c>
      <c r="AQ54" s="110" t="str">
        <f>Montagem!AZ135</f>
        <v/>
      </c>
      <c r="AR54" s="114"/>
      <c r="AS54" s="111">
        <f>Montagem!AO135</f>
        <v>1</v>
      </c>
      <c r="AT54" s="111" t="str">
        <f>Montagem!BA135</f>
        <v/>
      </c>
      <c r="AU54" s="111" t="str">
        <f>Montagem!AP135</f>
        <v/>
      </c>
      <c r="AV54" s="111" t="str">
        <f>Montagem!BB135</f>
        <v/>
      </c>
      <c r="AW54" s="106" t="str">
        <f>IF(AV54="",AT54,AV54)</f>
        <v/>
      </c>
      <c r="AX54" s="106" t="str">
        <f>IF(AT55="C",'Dados de Base'!$D$5*0.1,IF(AT55="E",5,IF(AR54="",AW54,AR54)))</f>
        <v/>
      </c>
      <c r="AY54" s="108"/>
      <c r="AZ54" s="115" t="str">
        <f>IF(BL54="","",HYPERLINK(OFFSET(Biblioteca!$B$2,MATCH(BL54,Biblioteca!$A$3:$A$200,0),0),BL54))</f>
        <v/>
      </c>
      <c r="BC54" s="109" t="str">
        <f>Montagem!BJ135</f>
        <v/>
      </c>
      <c r="BD54" s="110" t="str">
        <f>Montagem!BK135</f>
        <v/>
      </c>
      <c r="BE54" s="110" t="str">
        <f>Montagem!BL135</f>
        <v/>
      </c>
      <c r="BF54" s="110" t="str">
        <f>Montagem!BM135</f>
        <v/>
      </c>
      <c r="BG54" s="110" t="str">
        <f>Montagem!BN135</f>
        <v/>
      </c>
      <c r="BH54" s="110" t="str">
        <f>Montagem!BO135</f>
        <v/>
      </c>
      <c r="BI54" s="114"/>
      <c r="BJ54" s="111">
        <f>Montagem!BD135</f>
        <v>7</v>
      </c>
      <c r="BK54" s="111" t="str">
        <f>Montagem!BP135</f>
        <v/>
      </c>
      <c r="BL54" s="111" t="str">
        <f>Montagem!BE135</f>
        <v/>
      </c>
      <c r="BM54" s="111" t="str">
        <f>Montagem!BQ135</f>
        <v/>
      </c>
      <c r="BN54" s="106" t="str">
        <f>IF(BM54="",BK54,BM54)</f>
        <v/>
      </c>
      <c r="BO54" s="106" t="str">
        <f>IF(BK55="C",'Dados de Base'!$D$5*0.1,IF(BK55="E",5,IF(BI54="",BN54,BI54)))</f>
        <v/>
      </c>
      <c r="BP54" s="108"/>
      <c r="BQ54" s="115" t="str">
        <f>IF(CC54="","",HYPERLINK(OFFSET(Biblioteca!$B$2,MATCH(CC54,Biblioteca!$A$3:$A$200,0),0),CC54))</f>
        <v/>
      </c>
      <c r="BT54" s="109" t="str">
        <f>Montagem!BY135</f>
        <v/>
      </c>
      <c r="BU54" s="110" t="str">
        <f>Montagem!BZ135</f>
        <v/>
      </c>
      <c r="BV54" s="110" t="str">
        <f>Montagem!CA135</f>
        <v/>
      </c>
      <c r="BW54" s="110" t="str">
        <f>Montagem!CB135</f>
        <v/>
      </c>
      <c r="BX54" s="110" t="str">
        <f>Montagem!CC135</f>
        <v/>
      </c>
      <c r="BY54" s="110" t="str">
        <f>Montagem!CD135</f>
        <v/>
      </c>
      <c r="BZ54" s="114"/>
      <c r="CA54" s="111">
        <f>Montagem!BS135</f>
        <v>8</v>
      </c>
      <c r="CB54" s="111" t="str">
        <f>Montagem!CE135</f>
        <v/>
      </c>
      <c r="CC54" s="111" t="str">
        <f>Montagem!BT135</f>
        <v/>
      </c>
      <c r="CD54" s="111" t="str">
        <f>Montagem!CF135</f>
        <v/>
      </c>
      <c r="CE54" s="106" t="str">
        <f>IF(CD54="",CB54,CD54)</f>
        <v/>
      </c>
      <c r="CF54" s="106" t="str">
        <f>IF(CB55="C",'Dados de Base'!$D$5*0.1,IF(CB55="E",5,IF(BZ54="",CE54,BZ54)))</f>
        <v/>
      </c>
      <c r="CG54" s="108"/>
      <c r="CH54" s="115" t="str">
        <f>IF(CT54="","",HYPERLINK(OFFSET(Biblioteca!$B$2,MATCH(CT54,Biblioteca!$A$3:$A$200,0),0),CT54))</f>
        <v/>
      </c>
      <c r="CK54" s="109" t="str">
        <f>Montagem!CN135</f>
        <v/>
      </c>
      <c r="CL54" s="110" t="str">
        <f>Montagem!CO135</f>
        <v/>
      </c>
      <c r="CM54" s="110" t="str">
        <f>Montagem!CP135</f>
        <v/>
      </c>
      <c r="CN54" s="110" t="str">
        <f>Montagem!CQ135</f>
        <v/>
      </c>
      <c r="CO54" s="110" t="str">
        <f>Montagem!CR135</f>
        <v/>
      </c>
      <c r="CP54" s="110" t="str">
        <f>Montagem!CS135</f>
        <v/>
      </c>
      <c r="CQ54" s="114"/>
      <c r="CR54" s="111">
        <f>Montagem!CH135</f>
        <v>1</v>
      </c>
      <c r="CS54" s="111" t="str">
        <f>Montagem!CT135</f>
        <v/>
      </c>
      <c r="CT54" s="111" t="str">
        <f>Montagem!CI135</f>
        <v/>
      </c>
      <c r="CU54" s="145" t="str">
        <f>Montagem!CU135</f>
        <v/>
      </c>
      <c r="CV54" s="106" t="str">
        <f>IF(CU54="",CS54,CU54)</f>
        <v/>
      </c>
      <c r="CW54" s="106" t="str">
        <f>IF(CS55="C",'Dados de Base'!$D$5*0.1,IF(CS55="E",5,IF(CQ54="",CV54,CQ54)))</f>
        <v/>
      </c>
      <c r="CX54" s="108"/>
      <c r="CY54" s="115" t="str">
        <f>IF(DK54="","",HYPERLINK(OFFSET(Biblioteca!$B$2,MATCH(DK54,Biblioteca!$A$3:$A$200,0),0),DK54))</f>
        <v/>
      </c>
      <c r="DB54" s="130" t="str">
        <f>Montagem!DC135</f>
        <v/>
      </c>
      <c r="DC54" s="131" t="str">
        <f>Montagem!DD135</f>
        <v/>
      </c>
      <c r="DD54" s="131" t="str">
        <f>Montagem!DE135</f>
        <v/>
      </c>
      <c r="DE54" s="131" t="str">
        <f>Montagem!DF135</f>
        <v/>
      </c>
      <c r="DF54" s="131" t="str">
        <f>Montagem!DG135</f>
        <v/>
      </c>
      <c r="DG54" s="131" t="str">
        <f>Montagem!DH135</f>
        <v/>
      </c>
      <c r="DH54" s="114"/>
      <c r="DI54" s="111">
        <f>Montagem!CW135</f>
        <v>1</v>
      </c>
      <c r="DJ54" s="111" t="str">
        <f>Montagem!DI135</f>
        <v/>
      </c>
      <c r="DK54" s="111" t="str">
        <f>Montagem!CX135</f>
        <v/>
      </c>
      <c r="DL54" s="145" t="str">
        <f>Montagem!DJ135</f>
        <v/>
      </c>
      <c r="DM54" s="106" t="str">
        <f>IF(DL54="",DJ54,DL54)</f>
        <v/>
      </c>
      <c r="DN54" s="106" t="str">
        <f>IF(DJ55="C",'Dados de Base'!$D$5*0.1,IF(DJ55="E",5,IF(DH54="",DM54,DH54)))</f>
        <v/>
      </c>
      <c r="DO54" s="146"/>
      <c r="DP54" s="116">
        <v>2.0</v>
      </c>
      <c r="DQ54" s="116">
        <v>3.0</v>
      </c>
      <c r="DR54" s="116">
        <v>4.0</v>
      </c>
      <c r="DS54" s="116">
        <v>5.0</v>
      </c>
      <c r="DT54" s="106"/>
      <c r="DU54" s="116">
        <v>6.0</v>
      </c>
      <c r="DV54" s="106"/>
      <c r="DW54" s="106"/>
      <c r="DX54" s="116">
        <v>7.0</v>
      </c>
      <c r="DY54" s="106"/>
    </row>
    <row r="55">
      <c r="A55" s="117" t="str">
        <f>IF(A54="","",IFS(L55="A",Montagem!$C$130,N55="T","Realizar a maior quantidade de repetições por "&amp;F54&amp;" segundos | ",N55="I",IF(M55="U","Manter a posição por "&amp;F54&amp;" segundos de um lado e trocar para o outro na sequência | ","Manter a posição por "&amp;F54&amp;" segundos | "),M55="A","Realizar alternadamente "&amp;F54&amp;" repetições cada lado | ",M55="U","Realizar "&amp;F54&amp;" repetições de um lado e trocar para o outro na sequência | ",L55="P",OFFSET(Biblioteca!$H$2,MATCH(M54,Biblioteca!$A$3:$A$200,0),0),TRUE,"")&amp;IF(N55="R","Ajuste a carga para que tenha "&amp;$K$2&amp;" repetições de reserva",""))</f>
        <v>Ajuste a carga para que tenha 0 a 2 repetições de reserva</v>
      </c>
      <c r="E55" s="118" t="str">
        <f>IF(A54="","",IFS(L55="H","Carga Sugerida: "&amp;ROUNDUP(O54/2,0)&amp;" kg de cada lado (Total: "&amp;ROUNDUP(O54/2,0)*2&amp;" kg)",L55="C","Este exercício usa o Peso Corporal como carga",L55="E","Este exercício usa a resistência da banda elástica como carga",L55="O","Carga Sugerida: "&amp;INT(O54)&amp;" kg",TRUE,""))</f>
        <v>Este exercício usa o Peso Corporal como carga</v>
      </c>
      <c r="J55" s="66"/>
      <c r="K55" s="106">
        <f>K54</f>
        <v>10</v>
      </c>
      <c r="L55" s="120" t="str">
        <f>LEFT(O55)</f>
        <v>C</v>
      </c>
      <c r="M55" s="121" t="str">
        <f>MID(O55,2,1)</f>
        <v>O</v>
      </c>
      <c r="N55" s="122" t="str">
        <f>RIGHT(O55)</f>
        <v>R</v>
      </c>
      <c r="O55" s="123" t="str">
        <f>IF(M54="","",OFFSET(Biblioteca!$I$2,MATCH(M54,Biblioteca!$A$3:$A$200,0),0))</f>
        <v>COR</v>
      </c>
      <c r="P55" s="57"/>
      <c r="Q55" s="125"/>
      <c r="R55" s="117" t="str">
        <f>IF(R54="","",IFS(AC55="A",Montagem!$D$130,AE55="T","Realizar a maior quantidade de repetições por "&amp;W54&amp;" segundos | ",AE55="I",IF(AD55="U","Manter a posição por "&amp;W54&amp;" segundos de um lado e trocar para o outro na sequência | ","Manter a posição por "&amp;W54&amp;" segundos | "),AD55="A","Realizar alternadamente "&amp;W54&amp;" repetições cada lado | ",AD55="U","Realizar "&amp;W54&amp;" repetições de um lado e trocar para o outro na sequência | ",AC55="P",OFFSET(Biblioteca!$H$2,MATCH(AD54,Biblioteca!$A$3:$A$200,0),0),TRUE,"")&amp;IF(AE55="R","Ajuste a carga para que tenha "&amp;$K$2&amp;" repetições de reserva",""))</f>
        <v>Ajuste a carga para que tenha 0 a 2 repetições de reserva</v>
      </c>
      <c r="V55" s="118" t="str">
        <f>IF(R54="","",IFS(AC55="H","Carga Sugerida: "&amp;ROUNDUP(AF54/2,0)&amp;" kg de cada lado (Total: "&amp;ROUNDUP(AF54/2,0)*2&amp;" kg)",AC55="C","Este exercício usa o Peso Corporal como carga",AC55="E","Este exercício usa a resistência da banda elástica como carga",AC55="O","Carga Sugerida: "&amp;INT(AF54)&amp;" kg",TRUE,""))</f>
        <v>Carga Sugerida: 4 kg</v>
      </c>
      <c r="AA55" s="66"/>
      <c r="AB55" s="126">
        <f>AB54</f>
        <v>10</v>
      </c>
      <c r="AC55" s="120" t="str">
        <f>LEFT(AF55)</f>
        <v>O</v>
      </c>
      <c r="AD55" s="121" t="str">
        <f>MID(AF55,2,1)</f>
        <v>O</v>
      </c>
      <c r="AE55" s="122" t="str">
        <f>RIGHT(AF55)</f>
        <v>R</v>
      </c>
      <c r="AF55" s="123" t="str">
        <f>IF(AD54="","",OFFSET(Biblioteca!$I$2,MATCH(AD54,Biblioteca!$A$3:$A$200,0),0))</f>
        <v>OOR</v>
      </c>
      <c r="AG55" s="57"/>
      <c r="AH55" s="125"/>
      <c r="AI55" s="117" t="str">
        <f>IF(AI54="","",IFS(AT55="A",Montagem!$E$130,AV55="T","Realizar a maior quantidade de repetições por "&amp;AN54&amp;" segundos | ",AV55="I",IF(AU55="U","Manter a posição por "&amp;AN54&amp;" segundos de um lado e trocar para o outro na sequência | ","Manter a posição por "&amp;AN54&amp;" segundos | "),AU55="A","Realizar alternadamente "&amp;AN54&amp;" repetições cada lado | ",AU55="U","Realizar "&amp;AN54&amp;" repetições de um lado e trocar para o outro na sequência | ",AT55="P",OFFSET(Biblioteca!$H$2,MATCH(AU54,Biblioteca!$A$3:$A$200,0),0),TRUE,"")&amp;IF(AV55="R","Ajuste a carga para que tenha "&amp;$K$2&amp;" repetições de reserva",""))</f>
        <v/>
      </c>
      <c r="AM55" s="118" t="str">
        <f>IF(AI54="","",IFS(AT55="H","Carga Sugerida: "&amp;ROUNDUP(AW54/2,0)&amp;" kg de cada lado (Total: "&amp;ROUNDUP(AW54/2,0)*2&amp;" kg)",AT55="C","Este exercício usa o Peso Corporal como carga",AT55="E","Este exercício usa a resistência da banda elástica como carga",AT55="O","Carga Sugerida: "&amp;INT(AW54)&amp;" kg",TRUE,""))</f>
        <v/>
      </c>
      <c r="AR55" s="66"/>
      <c r="AS55" s="126">
        <f>AS54</f>
        <v>1</v>
      </c>
      <c r="AT55" s="120" t="str">
        <f>LEFT(AW55)</f>
        <v/>
      </c>
      <c r="AU55" s="121" t="str">
        <f>MID(AW55,2,1)</f>
        <v/>
      </c>
      <c r="AV55" s="122" t="str">
        <f>RIGHT(AW55)</f>
        <v/>
      </c>
      <c r="AW55" s="123" t="str">
        <f>IF(AU54="","",OFFSET(Biblioteca!$I$2,MATCH(AU54,Biblioteca!$A$3:$A$200,0),0))</f>
        <v/>
      </c>
      <c r="AX55" s="57"/>
      <c r="AY55" s="125"/>
      <c r="AZ55" s="117" t="str">
        <f>IF(AZ54="","",IFS(BK55="A",Montagem!$F$130,BM55="T","Realizar a maior quantidade de repetições por "&amp;BE54&amp;" segundos | ",BM55="I",IF(BL55="U","Manter a posição por "&amp;BE54&amp;" segundos de um lado e trocar para o outro na sequência | ","Manter a posição por "&amp;BE54&amp;" segundos | "),BL55="A","Realizar alternadamente "&amp;BE54&amp;" repetições cada lado | ",BL55="U","Realizar "&amp;BE54&amp;" repetições de um lado e trocar para o outro na sequência | ",BK55="P",OFFSET(Biblioteca!$H$2,MATCH(BL54,Biblioteca!$A$3:$A$200,0),0),TRUE,"")&amp;IF(BM55="R","Ajuste a carga para que tenha "&amp;$K$2&amp;" repetições de reserva",""))</f>
        <v/>
      </c>
      <c r="BD55" s="118" t="str">
        <f>IF(AZ54="","",IFS(BK55="H","Carga Sugerida: "&amp;ROUNDUP(BN54/2,0)&amp;" kg de cada lado (Total: "&amp;ROUNDUP(BN54/2,0)*2&amp;" kg)",BK55="C","Este exercício usa o Peso Corporal como carga",BK55="E","Este exercício usa a resistência da banda elástica como carga",BK55="O","Carga Sugerida: "&amp;INT(BN54)&amp;" kg",TRUE,""))</f>
        <v/>
      </c>
      <c r="BI55" s="66"/>
      <c r="BJ55" s="126">
        <f>BJ54</f>
        <v>7</v>
      </c>
      <c r="BK55" s="120" t="str">
        <f>LEFT(BN55)</f>
        <v/>
      </c>
      <c r="BL55" s="121" t="str">
        <f>MID(BN55,2,1)</f>
        <v/>
      </c>
      <c r="BM55" s="122" t="str">
        <f>RIGHT(BN55)</f>
        <v/>
      </c>
      <c r="BN55" s="123" t="str">
        <f>IF(BL54="","",OFFSET(Biblioteca!$I$2,MATCH(BL54,Biblioteca!$A$3:$A$200,0),0))</f>
        <v/>
      </c>
      <c r="BO55" s="57"/>
      <c r="BP55" s="125"/>
      <c r="BQ55" s="117" t="str">
        <f>IF(BQ54="","",IFS(CB55="A",Montagem!$G$130,CD55="T","Realizar a maior quantidade de repetições por "&amp;BV54&amp;" segundos | ",CD55="I",IF(CC55="U","Manter a posição por "&amp;BV54&amp;" segundos de um lado e trocar para o outro na sequência | ","Manter a posição por "&amp;BV54&amp;" segundos | "),CC55="A","Realizar alternadamente "&amp;BV54&amp;" repetições cada lado | ",CC55="U","Realizar "&amp;BV54&amp;" repetições de um lado e trocar para o outro na sequência | ",CB55="P",OFFSET(Biblioteca!$H$2,MATCH(CC54,Biblioteca!$A$3:$A$200,0),0),TRUE,"")&amp;IF(CD55="R","Ajuste a carga para que tenha "&amp;$K$2&amp;" repetições de reserva",""))</f>
        <v/>
      </c>
      <c r="BU55" s="118" t="str">
        <f>IF(BQ54="","",IFS(CB55="H","Carga Sugerida: "&amp;ROUNDUP(CE54/2,0)&amp;" kg de cada lado (Total: "&amp;ROUNDUP(CE54/2,0)*2&amp;" kg)",CB55="C","Este exercício usa o Peso Corporal como carga",CB55="E","Este exercício usa a resistência da banda elástica como carga",CB55="O","Carga Sugerida: "&amp;INT(CE54)&amp;" kg",TRUE,""))</f>
        <v/>
      </c>
      <c r="BZ55" s="66"/>
      <c r="CA55" s="126">
        <f>CA54</f>
        <v>8</v>
      </c>
      <c r="CB55" s="120" t="str">
        <f>LEFT(CE55)</f>
        <v/>
      </c>
      <c r="CC55" s="121" t="str">
        <f>MID(CE55,2,1)</f>
        <v/>
      </c>
      <c r="CD55" s="122" t="str">
        <f>RIGHT(CE55)</f>
        <v/>
      </c>
      <c r="CE55" s="123" t="str">
        <f>IF(CC54="","",OFFSET(Biblioteca!$I$2,MATCH(CC54,Biblioteca!$A$3:$A$200,0),0))</f>
        <v/>
      </c>
      <c r="CF55" s="57"/>
      <c r="CG55" s="125"/>
      <c r="CH55" s="117" t="str">
        <f>IF(CH54="","",IFS(CS55="A",Montagem!$H$130,CU55="T","Realizar a maior quantidade de repetições por "&amp;CM54&amp;" segundos | ",CU55="I",IF(CT55="U","Manter a posição por "&amp;CM54&amp;" segundos de um lado e trocar para o outro na sequência | ","Manter a posição por "&amp;CM54&amp;" segundos | "),CT55="A","Realizar alternadamente "&amp;CM54&amp;" repetições cada lado | ",CT55="U","Realizar "&amp;CM54&amp;" repetições de um lado e trocar para o outro na sequência | ",CS55="P",OFFSET(Biblioteca!$H$2,MATCH(CT54,Biblioteca!$A$3:$A$200,0),0),TRUE,"")&amp;IF(CU55="R","Ajuste a carga para que tenha "&amp;$K$2&amp;" repetições de reserva",""))</f>
        <v/>
      </c>
      <c r="CL55" s="118" t="str">
        <f>IF(CH54="","",IFS(CS55="H","Carga Sugerida: "&amp;ROUNDUP(CV54/2,0)&amp;" kg de cada lado (Total: "&amp;ROUNDUP(CV54/2,0)*2&amp;" kg)",CS55="C","Este exercício usa o Peso Corporal como carga",CS55="E","Este exercício usa a resistência da banda elástica como carga",CS55="O","Carga Sugerida: "&amp;INT(CV54)&amp;" kg",TRUE,""))</f>
        <v/>
      </c>
      <c r="CQ55" s="66"/>
      <c r="CR55" s="126">
        <f>CR54</f>
        <v>1</v>
      </c>
      <c r="CS55" s="120" t="str">
        <f>LEFT(CV55)</f>
        <v/>
      </c>
      <c r="CT55" s="121" t="str">
        <f>MID(CV55,2,1)</f>
        <v/>
      </c>
      <c r="CU55" s="122" t="str">
        <f>RIGHT(CV55)</f>
        <v/>
      </c>
      <c r="CV55" s="123" t="str">
        <f>IF(CT54="","",OFFSET(Biblioteca!$I$2,MATCH(CT54,Biblioteca!$A$3:$A$200,0),0))</f>
        <v/>
      </c>
      <c r="CW55" s="57"/>
      <c r="CX55" s="125"/>
      <c r="CY55" s="117" t="str">
        <f>IF(CY54="","",IFS(DJ55="A",Montagem!$I$130,DL55="T","Realizar a maior quantidade de repetições por "&amp;DD54&amp;" segundos | ",DL55="I",IF(DK55="U","Manter a posição por "&amp;DD54&amp;" segundos de um lado e trocar para o outro na sequência | ","Manter a posição por "&amp;DD54&amp;" segundos | "),DK55="A","Realizar alternadamente "&amp;DD54&amp;" repetições cada lado | ",DK55="U","Realizar "&amp;DD54&amp;" repetições de um lado e trocar para o outro na sequência | ",DJ55="P",OFFSET(Biblioteca!$H$2,MATCH(DK54,Biblioteca!$A$3:$A$200,0),0),TRUE,"")&amp;IF(DL55="R","Ajuste a carga para que tenha "&amp;$K$2&amp;" repetições de reserva",""))</f>
        <v/>
      </c>
      <c r="DC55" s="118" t="str">
        <f>IF(CY54="","",IFS(DJ55="H","Carga Sugerida: "&amp;ROUNDUP(DM54/2,0)&amp;" kg de cada lado (Total: "&amp;ROUNDUP(DM54/2,0)*2&amp;" kg)",DJ55="C","Este exercício usa o Peso Corporal como carga",DJ55="E","Este exercício usa a resistência da banda elástica como carga",DJ55="O","Carga Sugerida: "&amp;INT(DM54)&amp;" kg",TRUE,""))</f>
        <v/>
      </c>
      <c r="DH55" s="66"/>
      <c r="DI55" s="126">
        <f>DI54</f>
        <v>1</v>
      </c>
      <c r="DJ55" s="120" t="str">
        <f>LEFT(DM55)</f>
        <v/>
      </c>
      <c r="DK55" s="121" t="str">
        <f>MID(DM55,2,1)</f>
        <v/>
      </c>
      <c r="DL55" s="122" t="str">
        <f>RIGHT(DM55)</f>
        <v/>
      </c>
      <c r="DM55" s="123" t="str">
        <f>IF(DK54="","",OFFSET(Biblioteca!$I$2,MATCH(DK54,Biblioteca!$A$3:$A$200,0),0))</f>
        <v/>
      </c>
      <c r="DN55" s="57"/>
      <c r="DO55" s="147"/>
      <c r="DP55" s="57">
        <f>AND(J2&gt;1,DQ18&lt;2)+0</f>
        <v>0</v>
      </c>
      <c r="DQ55" s="56">
        <f>AND(J2&gt;2,DQ18&lt;3)+0</f>
        <v>0</v>
      </c>
      <c r="DR55" s="56">
        <f>AND(J2&gt;3,DQ18&lt;4)+0</f>
        <v>0</v>
      </c>
      <c r="DS55" s="56">
        <f>AND(J2&gt;4,DQ18&lt;5)+0</f>
        <v>0</v>
      </c>
      <c r="DT55" s="56"/>
      <c r="DU55" s="56">
        <f>AND(J2&gt;5,DQ18&lt;6)+0</f>
        <v>1</v>
      </c>
      <c r="DV55" s="56"/>
      <c r="DW55" s="56"/>
      <c r="DX55" s="148">
        <f>AND(J2=7,DQ18&lt;7)+0</f>
        <v>0</v>
      </c>
      <c r="DY55" s="56"/>
    </row>
    <row r="56">
      <c r="A56" s="115" t="str">
        <f>IF(M56="","",HYPERLINK(OFFSET(Biblioteca!$B$2,MATCH(M56,Biblioteca!$A$3:$A$200,0),0),M56))</f>
        <v/>
      </c>
      <c r="D56" s="103" t="str">
        <f>Montagem!Q136</f>
        <v/>
      </c>
      <c r="E56" s="104" t="str">
        <f>Montagem!R136</f>
        <v/>
      </c>
      <c r="F56" s="104" t="str">
        <f>Montagem!S136</f>
        <v/>
      </c>
      <c r="G56" s="104" t="str">
        <f>Montagem!T136</f>
        <v/>
      </c>
      <c r="H56" s="104" t="str">
        <f>Montagem!U136</f>
        <v/>
      </c>
      <c r="I56" s="132" t="str">
        <f>Montagem!V136</f>
        <v/>
      </c>
      <c r="J56" s="144"/>
      <c r="K56" s="106">
        <f>Montagem!K136</f>
        <v>11</v>
      </c>
      <c r="L56" s="111" t="str">
        <f>Montagem!W136</f>
        <v/>
      </c>
      <c r="M56" s="111" t="str">
        <f>Montagem!L136</f>
        <v/>
      </c>
      <c r="N56" s="111" t="str">
        <f>Montagem!X136</f>
        <v/>
      </c>
      <c r="O56" s="106" t="str">
        <f>IF(N56="",L56,N56)</f>
        <v/>
      </c>
      <c r="P56" s="106" t="str">
        <f>IF(L57="C",'Dados de Base'!$D$5*0.1,IF(L57="E",5,IF(J56="",O56,J56)))</f>
        <v/>
      </c>
      <c r="Q56" s="108"/>
      <c r="R56" s="115" t="str">
        <f>IF(AD56="","",HYPERLINK(OFFSET(Biblioteca!$B$2,MATCH(AD56,Biblioteca!$A$3:$A$200,0),0),AD56))</f>
        <v/>
      </c>
      <c r="U56" s="109" t="str">
        <f>Montagem!AF136</f>
        <v/>
      </c>
      <c r="V56" s="110" t="str">
        <f>Montagem!AG136</f>
        <v/>
      </c>
      <c r="W56" s="110" t="str">
        <f>Montagem!AH136</f>
        <v/>
      </c>
      <c r="X56" s="110" t="str">
        <f>Montagem!AI136</f>
        <v/>
      </c>
      <c r="Y56" s="110" t="str">
        <f>Montagem!AJ136</f>
        <v/>
      </c>
      <c r="Z56" s="110" t="str">
        <f>Montagem!AK136</f>
        <v/>
      </c>
      <c r="AA56" s="113"/>
      <c r="AB56" s="111">
        <f>Montagem!Z136</f>
        <v>11</v>
      </c>
      <c r="AC56" s="111" t="str">
        <f>Montagem!AL136</f>
        <v/>
      </c>
      <c r="AD56" s="129" t="str">
        <f>Montagem!AA136</f>
        <v/>
      </c>
      <c r="AE56" s="111" t="str">
        <f>Montagem!AM136</f>
        <v/>
      </c>
      <c r="AF56" s="106" t="str">
        <f>IF(AE56="",AC56,AE56)</f>
        <v/>
      </c>
      <c r="AG56" s="106" t="str">
        <f>IF(AC57="C",'Dados de Base'!$D$5*0.1,IF(AC57="E",5,IF(AA56="",AF56,AA56)))</f>
        <v/>
      </c>
      <c r="AH56" s="108"/>
      <c r="AI56" s="115" t="str">
        <f>IF(AU56="","",HYPERLINK(OFFSET(Biblioteca!$B$2,MATCH(AU56,Biblioteca!$A$3:$A$200,0),0),AU56))</f>
        <v/>
      </c>
      <c r="AL56" s="109" t="str">
        <f>Montagem!AU136</f>
        <v/>
      </c>
      <c r="AM56" s="110" t="str">
        <f>Montagem!AV136</f>
        <v/>
      </c>
      <c r="AN56" s="110" t="str">
        <f>Montagem!AW136</f>
        <v/>
      </c>
      <c r="AO56" s="110" t="str">
        <f>Montagem!AX136</f>
        <v/>
      </c>
      <c r="AP56" s="110" t="str">
        <f>Montagem!AY136</f>
        <v/>
      </c>
      <c r="AQ56" s="110" t="str">
        <f>Montagem!AZ136</f>
        <v/>
      </c>
      <c r="AR56" s="114"/>
      <c r="AS56" s="111">
        <f>Montagem!AO136</f>
        <v>1</v>
      </c>
      <c r="AT56" s="111" t="str">
        <f>Montagem!BA136</f>
        <v/>
      </c>
      <c r="AU56" s="111" t="str">
        <f>Montagem!AP136</f>
        <v/>
      </c>
      <c r="AV56" s="111" t="str">
        <f>Montagem!BB136</f>
        <v/>
      </c>
      <c r="AW56" s="106" t="str">
        <f>IF(AV56="",AT56,AV56)</f>
        <v/>
      </c>
      <c r="AX56" s="106" t="str">
        <f>IF(AT57="C",'Dados de Base'!$D$5*0.1,IF(AT57="E",5,IF(AR56="",AW56,AR56)))</f>
        <v/>
      </c>
      <c r="AY56" s="108"/>
      <c r="AZ56" s="115" t="str">
        <f>IF(BL56="","",HYPERLINK(OFFSET(Biblioteca!$B$2,MATCH(BL56,Biblioteca!$A$3:$A$200,0),0),BL56))</f>
        <v/>
      </c>
      <c r="BC56" s="109" t="str">
        <f>Montagem!BJ136</f>
        <v/>
      </c>
      <c r="BD56" s="110" t="str">
        <f>Montagem!BK136</f>
        <v/>
      </c>
      <c r="BE56" s="110" t="str">
        <f>Montagem!BL136</f>
        <v/>
      </c>
      <c r="BF56" s="110" t="str">
        <f>Montagem!BM136</f>
        <v/>
      </c>
      <c r="BG56" s="110" t="str">
        <f>Montagem!BN136</f>
        <v/>
      </c>
      <c r="BH56" s="110" t="str">
        <f>Montagem!BO136</f>
        <v/>
      </c>
      <c r="BI56" s="114"/>
      <c r="BJ56" s="111">
        <f>Montagem!BD136</f>
        <v>7</v>
      </c>
      <c r="BK56" s="111" t="str">
        <f>Montagem!BP136</f>
        <v/>
      </c>
      <c r="BL56" s="111" t="str">
        <f>Montagem!BE136</f>
        <v/>
      </c>
      <c r="BM56" s="111" t="str">
        <f>Montagem!BQ136</f>
        <v/>
      </c>
      <c r="BN56" s="106" t="str">
        <f>IF(BM56="",BK56,BM56)</f>
        <v/>
      </c>
      <c r="BO56" s="106" t="str">
        <f>IF(BK57="C",'Dados de Base'!$D$5*0.1,IF(BK57="E",5,IF(BI56="",BN56,BI56)))</f>
        <v/>
      </c>
      <c r="BP56" s="108"/>
      <c r="BQ56" s="115" t="str">
        <f>IF(CC56="","",HYPERLINK(OFFSET(Biblioteca!$B$2,MATCH(CC56,Biblioteca!$A$3:$A$200,0),0),CC56))</f>
        <v/>
      </c>
      <c r="BT56" s="109" t="str">
        <f>Montagem!BY136</f>
        <v/>
      </c>
      <c r="BU56" s="110" t="str">
        <f>Montagem!BZ136</f>
        <v/>
      </c>
      <c r="BV56" s="110" t="str">
        <f>Montagem!CA136</f>
        <v/>
      </c>
      <c r="BW56" s="110" t="str">
        <f>Montagem!CB136</f>
        <v/>
      </c>
      <c r="BX56" s="110" t="str">
        <f>Montagem!CC136</f>
        <v/>
      </c>
      <c r="BY56" s="110" t="str">
        <f>Montagem!CD136</f>
        <v/>
      </c>
      <c r="BZ56" s="114"/>
      <c r="CA56" s="111">
        <f>Montagem!BS136</f>
        <v>8</v>
      </c>
      <c r="CB56" s="111" t="str">
        <f>Montagem!CE136</f>
        <v/>
      </c>
      <c r="CC56" s="111" t="str">
        <f>Montagem!BT136</f>
        <v/>
      </c>
      <c r="CD56" s="111" t="str">
        <f>Montagem!CF136</f>
        <v/>
      </c>
      <c r="CE56" s="106" t="str">
        <f>IF(CD56="",CB56,CD56)</f>
        <v/>
      </c>
      <c r="CF56" s="106" t="str">
        <f>IF(CB57="C",'Dados de Base'!$D$5*0.1,IF(CB57="E",5,IF(BZ56="",CE56,BZ56)))</f>
        <v/>
      </c>
      <c r="CG56" s="108"/>
      <c r="CH56" s="115" t="str">
        <f>IF(CT56="","",HYPERLINK(OFFSET(Biblioteca!$B$2,MATCH(CT56,Biblioteca!$A$3:$A$200,0),0),CT56))</f>
        <v/>
      </c>
      <c r="CK56" s="109" t="str">
        <f>Montagem!CN136</f>
        <v/>
      </c>
      <c r="CL56" s="110" t="str">
        <f>Montagem!CO136</f>
        <v/>
      </c>
      <c r="CM56" s="110" t="str">
        <f>Montagem!CP136</f>
        <v/>
      </c>
      <c r="CN56" s="110" t="str">
        <f>Montagem!CQ136</f>
        <v/>
      </c>
      <c r="CO56" s="110" t="str">
        <f>Montagem!CR136</f>
        <v/>
      </c>
      <c r="CP56" s="110" t="str">
        <f>Montagem!CS136</f>
        <v/>
      </c>
      <c r="CQ56" s="114"/>
      <c r="CR56" s="111">
        <f>Montagem!CH136</f>
        <v>1</v>
      </c>
      <c r="CS56" s="111" t="str">
        <f>Montagem!CT136</f>
        <v/>
      </c>
      <c r="CT56" s="111" t="str">
        <f>Montagem!CI136</f>
        <v/>
      </c>
      <c r="CU56" s="145" t="str">
        <f>Montagem!CU136</f>
        <v/>
      </c>
      <c r="CV56" s="106" t="str">
        <f>IF(CU56="",CS56,CU56)</f>
        <v/>
      </c>
      <c r="CW56" s="106" t="str">
        <f>IF(CS57="C",'Dados de Base'!$D$5*0.1,IF(CS57="E",5,IF(CQ56="",CV56,CQ56)))</f>
        <v/>
      </c>
      <c r="CX56" s="108"/>
      <c r="CY56" s="115" t="str">
        <f>IF(DK56="","",HYPERLINK(OFFSET(Biblioteca!$B$2,MATCH(DK56,Biblioteca!$A$3:$A$200,0),0),DK56))</f>
        <v/>
      </c>
      <c r="DB56" s="130" t="str">
        <f>Montagem!DC136</f>
        <v/>
      </c>
      <c r="DC56" s="131" t="str">
        <f>Montagem!DD136</f>
        <v/>
      </c>
      <c r="DD56" s="131" t="str">
        <f>Montagem!DE136</f>
        <v/>
      </c>
      <c r="DE56" s="131" t="str">
        <f>Montagem!DF136</f>
        <v/>
      </c>
      <c r="DF56" s="131" t="str">
        <f>Montagem!DG136</f>
        <v/>
      </c>
      <c r="DG56" s="131" t="str">
        <f>Montagem!DH136</f>
        <v/>
      </c>
      <c r="DH56" s="114"/>
      <c r="DI56" s="111">
        <f>Montagem!CW136</f>
        <v>1</v>
      </c>
      <c r="DJ56" s="111" t="str">
        <f>Montagem!DI136</f>
        <v/>
      </c>
      <c r="DK56" s="111" t="str">
        <f>Montagem!CX136</f>
        <v/>
      </c>
      <c r="DL56" s="145" t="str">
        <f>Montagem!DJ136</f>
        <v/>
      </c>
      <c r="DM56" s="106" t="str">
        <f>IF(DL56="",DJ56,DL56)</f>
        <v/>
      </c>
      <c r="DN56" s="106" t="str">
        <f>IF(DJ57="C",'Dados de Base'!$D$5*0.1,IF(DJ57="E",5,IF(DH56="",DM56,DH56)))</f>
        <v/>
      </c>
      <c r="DO56" s="146"/>
      <c r="DP56" s="106">
        <f>AND(J2&gt;1,DQ18&gt;1)+0</f>
        <v>1</v>
      </c>
      <c r="DQ56" s="106">
        <f>AND(J2&gt;2,DQ18&gt;2)+0</f>
        <v>1</v>
      </c>
      <c r="DR56" s="106">
        <f>AND(J2&gt;3,DQ18&gt;3)+0</f>
        <v>1</v>
      </c>
      <c r="DS56" s="106">
        <f>AND(J2&gt;4,DQ18&gt;4)+0</f>
        <v>1</v>
      </c>
      <c r="DT56" s="106"/>
      <c r="DU56" s="106">
        <f>AND(J2&gt;5,DQ18&gt;5)+0</f>
        <v>0</v>
      </c>
      <c r="DV56" s="106"/>
      <c r="DW56" s="106"/>
      <c r="DX56" s="106">
        <f>AND(J2=7,DQ18&gt;6)+0</f>
        <v>0</v>
      </c>
      <c r="DY56" s="106"/>
    </row>
    <row r="57">
      <c r="A57" s="117" t="str">
        <f>IF(A56="","",IFS(L57="A",Montagem!$C$130,N57="T","Realizar a maior quantidade de repetições por "&amp;F56&amp;" segundos | ",N57="I",IF(M57="U","Manter a posição por "&amp;F56&amp;" segundos de um lado e trocar para o outro na sequência | ","Manter a posição por "&amp;F56&amp;" segundos | "),M57="A","Realizar alternadamente "&amp;F56&amp;" repetições cada lado | ",M57="U","Realizar "&amp;F56&amp;" repetições de um lado e trocar para o outro na sequência | ",L57="P",OFFSET(Biblioteca!$H$2,MATCH(M56,Biblioteca!$A$3:$A$200,0),0),TRUE,"")&amp;IF(N57="R","Ajuste a carga para que tenha "&amp;$K$2&amp;" repetições de reserva",""))</f>
        <v/>
      </c>
      <c r="E57" s="118" t="str">
        <f>IF(A56="","",IFS(L57="H","Carga Sugerida: "&amp;ROUNDUP(O56/2,0)&amp;" kg de cada lado (Total: "&amp;ROUNDUP(O56/2,0)*2&amp;" kg)",L57="C","Este exercício usa o Peso Corporal como carga",L57="E","Este exercício usa a resistência da banda elástica como carga",L57="O","Carga Sugerida: "&amp;INT(O56)&amp;" kg",TRUE,""))</f>
        <v/>
      </c>
      <c r="J57" s="66"/>
      <c r="K57" s="106">
        <f>K56</f>
        <v>11</v>
      </c>
      <c r="L57" s="120" t="str">
        <f>LEFT(O57)</f>
        <v/>
      </c>
      <c r="M57" s="121" t="str">
        <f>MID(O57,2,1)</f>
        <v/>
      </c>
      <c r="N57" s="122" t="str">
        <f>RIGHT(O57)</f>
        <v/>
      </c>
      <c r="O57" s="123" t="str">
        <f>IF(M56="","",OFFSET(Biblioteca!$I$2,MATCH(M56,Biblioteca!$A$3:$A$200,0),0))</f>
        <v/>
      </c>
      <c r="P57" s="57"/>
      <c r="Q57" s="125"/>
      <c r="R57" s="117" t="str">
        <f>IF(R56="","",IFS(AC57="A",Montagem!$D$130,AE57="T","Realizar a maior quantidade de repetições por "&amp;W56&amp;" segundos | ",AE57="I",IF(AD57="U","Manter a posição por "&amp;W56&amp;" segundos de um lado e trocar para o outro na sequência | ","Manter a posição por "&amp;W56&amp;" segundos | "),AD57="A","Realizar alternadamente "&amp;W56&amp;" repetições cada lado | ",AD57="U","Realizar "&amp;W56&amp;" repetições de um lado e trocar para o outro na sequência | ",AC57="P",OFFSET(Biblioteca!$H$2,MATCH(AD56,Biblioteca!$A$3:$A$200,0),0),TRUE,"")&amp;IF(AE57="R","Ajuste a carga para que tenha "&amp;$K$2&amp;" repetições de reserva",""))</f>
        <v/>
      </c>
      <c r="V57" s="118" t="str">
        <f>IF(R56="","",IFS(AC57="H","Carga Sugerida: "&amp;ROUNDUP(AF56/2,0)&amp;" kg de cada lado (Total: "&amp;ROUNDUP(AF56/2,0)*2&amp;" kg)",AC57="C","Este exercício usa o Peso Corporal como carga",AC57="E","Este exercício usa a resistência da banda elástica como carga",AC57="O","Carga Sugerida: "&amp;INT(AF56)&amp;" kg",TRUE,""))</f>
        <v/>
      </c>
      <c r="AA57" s="66"/>
      <c r="AB57" s="126">
        <f>AB56</f>
        <v>11</v>
      </c>
      <c r="AC57" s="120" t="str">
        <f>LEFT(AF57)</f>
        <v/>
      </c>
      <c r="AD57" s="121" t="str">
        <f>MID(AF57,2,1)</f>
        <v/>
      </c>
      <c r="AE57" s="122" t="str">
        <f>RIGHT(AF57)</f>
        <v/>
      </c>
      <c r="AF57" s="123" t="str">
        <f>IF(AD56="","",OFFSET(Biblioteca!$I$2,MATCH(AD56,Biblioteca!$A$3:$A$200,0),0))</f>
        <v/>
      </c>
      <c r="AG57" s="57"/>
      <c r="AH57" s="125"/>
      <c r="AI57" s="117" t="str">
        <f>IF(AI56="","",IFS(AT57="A",Montagem!$E$130,AV57="T","Realizar a maior quantidade de repetições por "&amp;AN56&amp;" segundos | ",AV57="I",IF(AU57="U","Manter a posição por "&amp;AN56&amp;" segundos de um lado e trocar para o outro na sequência | ","Manter a posição por "&amp;AN56&amp;" segundos | "),AU57="A","Realizar alternadamente "&amp;AN56&amp;" repetições cada lado | ",AU57="U","Realizar "&amp;AN56&amp;" repetições de um lado e trocar para o outro na sequência | ",AT57="P",OFFSET(Biblioteca!$H$2,MATCH(AU56,Biblioteca!$A$3:$A$200,0),0),TRUE,"")&amp;IF(AV57="R","Ajuste a carga para que tenha "&amp;$K$2&amp;" repetições de reserva",""))</f>
        <v/>
      </c>
      <c r="AM57" s="118" t="str">
        <f>IF(AI56="","",IFS(AT57="H","Carga Sugerida: "&amp;ROUNDUP(AW56/2,0)&amp;" kg de cada lado (Total: "&amp;ROUNDUP(AW56/2,0)*2&amp;" kg)",AT57="C","Este exercício usa o Peso Corporal como carga",AT57="E","Este exercício usa a resistência da banda elástica como carga",AT57="O","Carga Sugerida: "&amp;INT(AW56)&amp;" kg",TRUE,""))</f>
        <v/>
      </c>
      <c r="AR57" s="66"/>
      <c r="AS57" s="126">
        <f>AS56</f>
        <v>1</v>
      </c>
      <c r="AT57" s="120" t="str">
        <f>LEFT(AW57)</f>
        <v/>
      </c>
      <c r="AU57" s="121" t="str">
        <f>MID(AW57,2,1)</f>
        <v/>
      </c>
      <c r="AV57" s="122" t="str">
        <f>RIGHT(AW57)</f>
        <v/>
      </c>
      <c r="AW57" s="123" t="str">
        <f>IF(AU56="","",OFFSET(Biblioteca!$I$2,MATCH(AU56,Biblioteca!$A$3:$A$200,0),0))</f>
        <v/>
      </c>
      <c r="AX57" s="57"/>
      <c r="AY57" s="125"/>
      <c r="AZ57" s="117" t="str">
        <f>IF(AZ56="","",IFS(BK57="A",Montagem!$F$130,BM57="T","Realizar a maior quantidade de repetições por "&amp;BE56&amp;" segundos | ",BM57="I",IF(BL57="U","Manter a posição por "&amp;BE56&amp;" segundos de um lado e trocar para o outro na sequência | ","Manter a posição por "&amp;BE56&amp;" segundos | "),BL57="A","Realizar alternadamente "&amp;BE56&amp;" repetições cada lado | ",BL57="U","Realizar "&amp;BE56&amp;" repetições de um lado e trocar para o outro na sequência | ",BK57="P",OFFSET(Biblioteca!$H$2,MATCH(BL56,Biblioteca!$A$3:$A$200,0),0),TRUE,"")&amp;IF(BM57="R","Ajuste a carga para que tenha "&amp;$K$2&amp;" repetições de reserva",""))</f>
        <v/>
      </c>
      <c r="BD57" s="118" t="str">
        <f>IF(AZ56="","",IFS(BK57="H","Carga Sugerida: "&amp;ROUNDUP(BN56/2,0)&amp;" kg de cada lado (Total: "&amp;ROUNDUP(BN56/2,0)*2&amp;" kg)",BK57="C","Este exercício usa o Peso Corporal como carga",BK57="E","Este exercício usa a resistência da banda elástica como carga",BK57="O","Carga Sugerida: "&amp;INT(BN56)&amp;" kg",TRUE,""))</f>
        <v/>
      </c>
      <c r="BI57" s="66"/>
      <c r="BJ57" s="126">
        <f>BJ56</f>
        <v>7</v>
      </c>
      <c r="BK57" s="120" t="str">
        <f>LEFT(BN57)</f>
        <v/>
      </c>
      <c r="BL57" s="121" t="str">
        <f>MID(BN57,2,1)</f>
        <v/>
      </c>
      <c r="BM57" s="122" t="str">
        <f>RIGHT(BN57)</f>
        <v/>
      </c>
      <c r="BN57" s="123" t="str">
        <f>IF(BL56="","",OFFSET(Biblioteca!$I$2,MATCH(BL56,Biblioteca!$A$3:$A$200,0),0))</f>
        <v/>
      </c>
      <c r="BO57" s="57"/>
      <c r="BP57" s="125"/>
      <c r="BQ57" s="117" t="str">
        <f>IF(BQ56="","",IFS(CB57="A",Montagem!$G$130,CD57="T","Realizar a maior quantidade de repetições por "&amp;BV56&amp;" segundos | ",CD57="I",IF(CC57="U","Manter a posição por "&amp;BV56&amp;" segundos de um lado e trocar para o outro na sequência | ","Manter a posição por "&amp;BV56&amp;" segundos | "),CC57="A","Realizar alternadamente "&amp;BV56&amp;" repetições cada lado | ",CC57="U","Realizar "&amp;BV56&amp;" repetições de um lado e trocar para o outro na sequência | ",CB57="P",OFFSET(Biblioteca!$H$2,MATCH(CC56,Biblioteca!$A$3:$A$200,0),0),TRUE,"")&amp;IF(CD57="R","Ajuste a carga para que tenha "&amp;$K$2&amp;" repetições de reserva",""))</f>
        <v/>
      </c>
      <c r="BU57" s="118" t="str">
        <f>IF(BQ56="","",IFS(CB57="H","Carga Sugerida: "&amp;ROUNDUP(CE56/2,0)&amp;" kg de cada lado (Total: "&amp;ROUNDUP(CE56/2,0)*2&amp;" kg)",CB57="C","Este exercício usa o Peso Corporal como carga",CB57="E","Este exercício usa a resistência da banda elástica como carga",CB57="O","Carga Sugerida: "&amp;INT(CE56)&amp;" kg",TRUE,""))</f>
        <v/>
      </c>
      <c r="BZ57" s="66"/>
      <c r="CA57" s="126">
        <f>CA56</f>
        <v>8</v>
      </c>
      <c r="CB57" s="120" t="str">
        <f>LEFT(CE57)</f>
        <v/>
      </c>
      <c r="CC57" s="121" t="str">
        <f>MID(CE57,2,1)</f>
        <v/>
      </c>
      <c r="CD57" s="122" t="str">
        <f>RIGHT(CE57)</f>
        <v/>
      </c>
      <c r="CE57" s="123" t="str">
        <f>IF(CC56="","",OFFSET(Biblioteca!$I$2,MATCH(CC56,Biblioteca!$A$3:$A$200,0),0))</f>
        <v/>
      </c>
      <c r="CF57" s="57"/>
      <c r="CG57" s="125"/>
      <c r="CH57" s="117" t="str">
        <f>IF(CH56="","",IFS(CS57="A",Montagem!$H$130,CU57="T","Realizar a maior quantidade de repetições por "&amp;CM56&amp;" segundos | ",CU57="I",IF(CT57="U","Manter a posição por "&amp;CM56&amp;" segundos de um lado e trocar para o outro na sequência | ","Manter a posição por "&amp;CM56&amp;" segundos | "),CT57="A","Realizar alternadamente "&amp;CM56&amp;" repetições cada lado | ",CT57="U","Realizar "&amp;CM56&amp;" repetições de um lado e trocar para o outro na sequência | ",CS57="P",OFFSET(Biblioteca!$H$2,MATCH(CT56,Biblioteca!$A$3:$A$200,0),0),TRUE,"")&amp;IF(CU57="R","Ajuste a carga para que tenha "&amp;$K$2&amp;" repetições de reserva",""))</f>
        <v/>
      </c>
      <c r="CL57" s="118" t="str">
        <f>IF(CH56="","",IFS(CS57="H","Carga Sugerida: "&amp;ROUNDUP(CV56/2,0)&amp;" kg de cada lado (Total: "&amp;ROUNDUP(CV56/2,0)*2&amp;" kg)",CS57="C","Este exercício usa o Peso Corporal como carga",CS57="E","Este exercício usa a resistência da banda elástica como carga",CS57="O","Carga Sugerida: "&amp;INT(CV56)&amp;" kg",TRUE,""))</f>
        <v/>
      </c>
      <c r="CQ57" s="66"/>
      <c r="CR57" s="126">
        <f>CR56</f>
        <v>1</v>
      </c>
      <c r="CS57" s="120" t="str">
        <f>LEFT(CV57)</f>
        <v/>
      </c>
      <c r="CT57" s="121" t="str">
        <f>MID(CV57,2,1)</f>
        <v/>
      </c>
      <c r="CU57" s="122" t="str">
        <f>RIGHT(CV57)</f>
        <v/>
      </c>
      <c r="CV57" s="123" t="str">
        <f>IF(CT56="","",OFFSET(Biblioteca!$I$2,MATCH(CT56,Biblioteca!$A$3:$A$200,0),0))</f>
        <v/>
      </c>
      <c r="CW57" s="57"/>
      <c r="CX57" s="125"/>
      <c r="CY57" s="117" t="str">
        <f>IF(CY56="","",IFS(DJ57="A",Montagem!$I$130,DL57="T","Realizar a maior quantidade de repetições por "&amp;DD56&amp;" segundos | ",DL57="I",IF(DK57="U","Manter a posição por "&amp;DD56&amp;" segundos de um lado e trocar para o outro na sequência | ","Manter a posição por "&amp;DD56&amp;" segundos | "),DK57="A","Realizar alternadamente "&amp;DD56&amp;" repetições cada lado | ",DK57="U","Realizar "&amp;DD56&amp;" repetições de um lado e trocar para o outro na sequência | ",DJ57="P",OFFSET(Biblioteca!$H$2,MATCH(DK56,Biblioteca!$A$3:$A$200,0),0),TRUE,"")&amp;IF(DL57="R","Ajuste a carga para que tenha "&amp;$K$2&amp;" repetições de reserva",""))</f>
        <v/>
      </c>
      <c r="DC57" s="118" t="str">
        <f>IF(CY56="","",IFS(DJ57="H","Carga Sugerida: "&amp;ROUNDUP(DM56/2,0)&amp;" kg de cada lado (Total: "&amp;ROUNDUP(DM56/2,0)*2&amp;" kg)",DJ57="C","Este exercício usa o Peso Corporal como carga",DJ57="E","Este exercício usa a resistência da banda elástica como carga",DJ57="O","Carga Sugerida: "&amp;INT(DM56)&amp;" kg",TRUE,""))</f>
        <v/>
      </c>
      <c r="DH57" s="66"/>
      <c r="DI57" s="126">
        <f>DI56</f>
        <v>1</v>
      </c>
      <c r="DJ57" s="120" t="str">
        <f>LEFT(DM57)</f>
        <v/>
      </c>
      <c r="DK57" s="121" t="str">
        <f>MID(DM57,2,1)</f>
        <v/>
      </c>
      <c r="DL57" s="122" t="str">
        <f>RIGHT(DM57)</f>
        <v/>
      </c>
      <c r="DM57" s="123" t="str">
        <f>IF(DK56="","",OFFSET(Biblioteca!$I$2,MATCH(DK56,Biblioteca!$A$3:$A$200,0),0))</f>
        <v/>
      </c>
      <c r="DN57" s="57"/>
      <c r="DO57" s="147"/>
      <c r="DP57" s="149"/>
      <c r="DQ57" s="150"/>
      <c r="DR57" s="56"/>
      <c r="DS57" s="151"/>
      <c r="DU57" s="151"/>
      <c r="DX57" s="152"/>
      <c r="DY57" s="152"/>
    </row>
    <row r="58">
      <c r="A58" s="115" t="str">
        <f>IF(M58="","",HYPERLINK(OFFSET(Biblioteca!$B$2,MATCH(M58,Biblioteca!$A$3:$A$200,0),0),M58))</f>
        <v/>
      </c>
      <c r="D58" s="103" t="str">
        <f>Montagem!Q137</f>
        <v/>
      </c>
      <c r="E58" s="104" t="str">
        <f>Montagem!R137</f>
        <v/>
      </c>
      <c r="F58" s="104" t="str">
        <f>Montagem!S137</f>
        <v/>
      </c>
      <c r="G58" s="104" t="str">
        <f>Montagem!T137</f>
        <v/>
      </c>
      <c r="H58" s="104" t="str">
        <f>Montagem!U137</f>
        <v/>
      </c>
      <c r="I58" s="132" t="str">
        <f>Montagem!V137</f>
        <v/>
      </c>
      <c r="J58" s="144"/>
      <c r="K58" s="106">
        <f>Montagem!K137</f>
        <v>11</v>
      </c>
      <c r="L58" s="111" t="str">
        <f>Montagem!W137</f>
        <v/>
      </c>
      <c r="M58" s="111" t="str">
        <f>Montagem!L137</f>
        <v/>
      </c>
      <c r="N58" s="111" t="str">
        <f>Montagem!X137</f>
        <v/>
      </c>
      <c r="O58" s="106" t="str">
        <f>IF(N58="",L58,N58)</f>
        <v/>
      </c>
      <c r="P58" s="106" t="str">
        <f>IF(L59="C",'Dados de Base'!$D$5*0.1,IF(L59="E",5,IF(J58="",O58,J58)))</f>
        <v/>
      </c>
      <c r="Q58" s="108"/>
      <c r="R58" s="115" t="str">
        <f>IF(AD58="","",HYPERLINK(OFFSET(Biblioteca!$B$2,MATCH(AD58,Biblioteca!$A$3:$A$200,0),0),AD58))</f>
        <v/>
      </c>
      <c r="U58" s="109" t="str">
        <f>Montagem!AF137</f>
        <v/>
      </c>
      <c r="V58" s="110" t="str">
        <f>Montagem!AG137</f>
        <v/>
      </c>
      <c r="W58" s="110" t="str">
        <f>Montagem!AH137</f>
        <v/>
      </c>
      <c r="X58" s="110" t="str">
        <f>Montagem!AI137</f>
        <v/>
      </c>
      <c r="Y58" s="110" t="str">
        <f>Montagem!AJ137</f>
        <v/>
      </c>
      <c r="Z58" s="110" t="str">
        <f>Montagem!AK137</f>
        <v/>
      </c>
      <c r="AA58" s="113"/>
      <c r="AB58" s="111">
        <f>Montagem!Z137</f>
        <v>11</v>
      </c>
      <c r="AC58" s="111" t="str">
        <f>Montagem!AL137</f>
        <v/>
      </c>
      <c r="AD58" s="129" t="str">
        <f>Montagem!AA137</f>
        <v/>
      </c>
      <c r="AE58" s="111" t="str">
        <f>Montagem!AM137</f>
        <v/>
      </c>
      <c r="AF58" s="106" t="str">
        <f>IF(AE58="",AC58,AE58)</f>
        <v/>
      </c>
      <c r="AG58" s="106" t="str">
        <f>IF(AC59="C",'Dados de Base'!$D$5*0.1,IF(AC59="E",5,IF(AA58="",AF58,AA58)))</f>
        <v/>
      </c>
      <c r="AH58" s="108"/>
      <c r="AI58" s="115" t="str">
        <f>IF(AU58="","",HYPERLINK(OFFSET(Biblioteca!$B$2,MATCH(AU58,Biblioteca!$A$3:$A$200,0),0),AU58))</f>
        <v/>
      </c>
      <c r="AL58" s="109" t="str">
        <f>Montagem!AU137</f>
        <v/>
      </c>
      <c r="AM58" s="110" t="str">
        <f>Montagem!AV137</f>
        <v/>
      </c>
      <c r="AN58" s="110" t="str">
        <f>Montagem!AW137</f>
        <v/>
      </c>
      <c r="AO58" s="110" t="str">
        <f>Montagem!AX137</f>
        <v/>
      </c>
      <c r="AP58" s="110" t="str">
        <f>Montagem!AY137</f>
        <v/>
      </c>
      <c r="AQ58" s="110" t="str">
        <f>Montagem!AZ137</f>
        <v/>
      </c>
      <c r="AR58" s="114"/>
      <c r="AS58" s="111">
        <f>Montagem!AO137</f>
        <v>1</v>
      </c>
      <c r="AT58" s="111" t="str">
        <f>Montagem!BA137</f>
        <v/>
      </c>
      <c r="AU58" s="111" t="str">
        <f>Montagem!AP137</f>
        <v/>
      </c>
      <c r="AV58" s="111" t="str">
        <f>Montagem!BB137</f>
        <v/>
      </c>
      <c r="AW58" s="106" t="str">
        <f>IF(AV58="",AT58,AV58)</f>
        <v/>
      </c>
      <c r="AX58" s="106" t="str">
        <f>IF(AT59="C",'Dados de Base'!$D$5*0.1,IF(AT59="E",5,IF(AR58="",AW58,AR58)))</f>
        <v/>
      </c>
      <c r="AY58" s="108"/>
      <c r="AZ58" s="115" t="str">
        <f>IF(BL58="","",HYPERLINK(OFFSET(Biblioteca!$B$2,MATCH(BL58,Biblioteca!$A$3:$A$200,0),0),BL58))</f>
        <v/>
      </c>
      <c r="BC58" s="109" t="str">
        <f>Montagem!BJ137</f>
        <v/>
      </c>
      <c r="BD58" s="110" t="str">
        <f>Montagem!BK137</f>
        <v/>
      </c>
      <c r="BE58" s="110" t="str">
        <f>Montagem!BL137</f>
        <v/>
      </c>
      <c r="BF58" s="110" t="str">
        <f>Montagem!BM137</f>
        <v/>
      </c>
      <c r="BG58" s="110" t="str">
        <f>Montagem!BN137</f>
        <v/>
      </c>
      <c r="BH58" s="110" t="str">
        <f>Montagem!BO137</f>
        <v/>
      </c>
      <c r="BI58" s="114"/>
      <c r="BJ58" s="111">
        <f>Montagem!BD137</f>
        <v>7</v>
      </c>
      <c r="BK58" s="111" t="str">
        <f>Montagem!BP137</f>
        <v/>
      </c>
      <c r="BL58" s="111" t="str">
        <f>Montagem!BE137</f>
        <v/>
      </c>
      <c r="BM58" s="111" t="str">
        <f>Montagem!BQ137</f>
        <v/>
      </c>
      <c r="BN58" s="106" t="str">
        <f>IF(BM58="",BK58,BM58)</f>
        <v/>
      </c>
      <c r="BO58" s="106" t="str">
        <f>IF(BK59="C",'Dados de Base'!$D$5*0.1,IF(BK59="E",5,IF(BI58="",BN58,BI58)))</f>
        <v/>
      </c>
      <c r="BP58" s="108"/>
      <c r="BQ58" s="115" t="str">
        <f>IF(CC58="","",HYPERLINK(OFFSET(Biblioteca!$B$2,MATCH(CC58,Biblioteca!$A$3:$A$200,0),0),CC58))</f>
        <v/>
      </c>
      <c r="BT58" s="109" t="str">
        <f>Montagem!BY137</f>
        <v/>
      </c>
      <c r="BU58" s="110" t="str">
        <f>Montagem!BZ137</f>
        <v/>
      </c>
      <c r="BV58" s="110" t="str">
        <f>Montagem!CA137</f>
        <v/>
      </c>
      <c r="BW58" s="110" t="str">
        <f>Montagem!CB137</f>
        <v/>
      </c>
      <c r="BX58" s="110" t="str">
        <f>Montagem!CC137</f>
        <v/>
      </c>
      <c r="BY58" s="110" t="str">
        <f>Montagem!CD137</f>
        <v/>
      </c>
      <c r="BZ58" s="114"/>
      <c r="CA58" s="111">
        <f>Montagem!BS137</f>
        <v>8</v>
      </c>
      <c r="CB58" s="111" t="str">
        <f>Montagem!CE137</f>
        <v/>
      </c>
      <c r="CC58" s="111" t="str">
        <f>Montagem!BT137</f>
        <v/>
      </c>
      <c r="CD58" s="111" t="str">
        <f>Montagem!CF137</f>
        <v/>
      </c>
      <c r="CE58" s="106" t="str">
        <f>IF(CD58="",CB58,CD58)</f>
        <v/>
      </c>
      <c r="CF58" s="106" t="str">
        <f>IF(CB59="C",'Dados de Base'!$D$5*0.1,IF(CB59="E",5,IF(BZ58="",CE58,BZ58)))</f>
        <v/>
      </c>
      <c r="CG58" s="108"/>
      <c r="CH58" s="115" t="str">
        <f>IF(CT58="","",HYPERLINK(OFFSET(Biblioteca!$B$2,MATCH(CT58,Biblioteca!$A$3:$A$200,0),0),CT58))</f>
        <v/>
      </c>
      <c r="CK58" s="109" t="str">
        <f>Montagem!CN137</f>
        <v/>
      </c>
      <c r="CL58" s="110" t="str">
        <f>Montagem!CO137</f>
        <v/>
      </c>
      <c r="CM58" s="110" t="str">
        <f>Montagem!CP137</f>
        <v/>
      </c>
      <c r="CN58" s="110" t="str">
        <f>Montagem!CQ137</f>
        <v/>
      </c>
      <c r="CO58" s="110" t="str">
        <f>Montagem!CR137</f>
        <v/>
      </c>
      <c r="CP58" s="110" t="str">
        <f>Montagem!CS137</f>
        <v/>
      </c>
      <c r="CQ58" s="114"/>
      <c r="CR58" s="111">
        <f>Montagem!CH137</f>
        <v>1</v>
      </c>
      <c r="CS58" s="111" t="str">
        <f>Montagem!CT137</f>
        <v/>
      </c>
      <c r="CT58" s="111" t="str">
        <f>Montagem!CI137</f>
        <v/>
      </c>
      <c r="CU58" s="145" t="str">
        <f>Montagem!CU137</f>
        <v/>
      </c>
      <c r="CV58" s="106" t="str">
        <f>IF(CU58="",CS58,CU58)</f>
        <v/>
      </c>
      <c r="CW58" s="106" t="str">
        <f>IF(CS59="C",'Dados de Base'!$D$5*0.1,IF(CS59="E",5,IF(CQ58="",CV58,CQ58)))</f>
        <v/>
      </c>
      <c r="CX58" s="108"/>
      <c r="CY58" s="115" t="str">
        <f>IF(DK58="","",HYPERLINK(OFFSET(Biblioteca!$B$2,MATCH(DK58,Biblioteca!$A$3:$A$200,0),0),DK58))</f>
        <v/>
      </c>
      <c r="DB58" s="130" t="str">
        <f>Montagem!DC137</f>
        <v/>
      </c>
      <c r="DC58" s="131" t="str">
        <f>Montagem!DD137</f>
        <v/>
      </c>
      <c r="DD58" s="131" t="str">
        <f>Montagem!DE137</f>
        <v/>
      </c>
      <c r="DE58" s="131" t="str">
        <f>Montagem!DF137</f>
        <v/>
      </c>
      <c r="DF58" s="131" t="str">
        <f>Montagem!DG137</f>
        <v/>
      </c>
      <c r="DG58" s="131" t="str">
        <f>Montagem!DH137</f>
        <v/>
      </c>
      <c r="DH58" s="114"/>
      <c r="DI58" s="111">
        <f>Montagem!CW137</f>
        <v>1</v>
      </c>
      <c r="DJ58" s="111" t="str">
        <f>Montagem!DI137</f>
        <v/>
      </c>
      <c r="DK58" s="111" t="str">
        <f>Montagem!CX137</f>
        <v/>
      </c>
      <c r="DL58" s="145" t="str">
        <f>Montagem!DJ137</f>
        <v/>
      </c>
      <c r="DM58" s="106" t="str">
        <f>IF(DL58="",DJ58,DL58)</f>
        <v/>
      </c>
      <c r="DN58" s="106" t="str">
        <f>IF(DJ59="C",'Dados de Base'!$D$5*0.1,IF(DJ59="E",5,IF(DH58="",DM58,DH58)))</f>
        <v/>
      </c>
      <c r="DO58" s="146"/>
      <c r="DP58" s="106"/>
      <c r="DQ58" s="106"/>
      <c r="DR58" s="106"/>
      <c r="DS58" s="106"/>
      <c r="DT58" s="106"/>
      <c r="DU58" s="106"/>
      <c r="DV58" s="106"/>
      <c r="DW58" s="106"/>
      <c r="DX58" s="106"/>
      <c r="DY58" s="106"/>
    </row>
    <row r="59">
      <c r="A59" s="117" t="str">
        <f>IF(A58="","",IFS(L59="A",Montagem!$C$130,N59="T","Realizar a maior quantidade de repetições por "&amp;F58&amp;" segundos | ",N59="I",IF(M59="U","Manter a posição por "&amp;F58&amp;" segundos de um lado e trocar para o outro na sequência | ","Manter a posição por "&amp;F58&amp;" segundos | "),M59="A","Realizar alternadamente "&amp;F58&amp;" repetições cada lado | ",M59="U","Realizar "&amp;F58&amp;" repetições de um lado e trocar para o outro na sequência | ",L59="P",OFFSET(Biblioteca!$H$2,MATCH(M58,Biblioteca!$A$3:$A$200,0),0),TRUE,"")&amp;IF(N59="R","Ajuste a carga para que tenha "&amp;$K$2&amp;" repetições de reserva",""))</f>
        <v/>
      </c>
      <c r="E59" s="118" t="str">
        <f>IF(A58="","",IFS(L59="H","Carga Sugerida: "&amp;ROUNDUP(O58/2,0)&amp;" kg de cada lado (Total: "&amp;ROUNDUP(O58/2,0)*2&amp;" kg)",L59="C","Este exercício usa o Peso Corporal como carga",L59="E","Este exercício usa a resistência da banda elástica como carga",L59="O","Carga Sugerida: "&amp;INT(O58)&amp;" kg",TRUE,""))</f>
        <v/>
      </c>
      <c r="J59" s="66"/>
      <c r="K59" s="106">
        <f>K58</f>
        <v>11</v>
      </c>
      <c r="L59" s="120" t="str">
        <f>LEFT(O59)</f>
        <v/>
      </c>
      <c r="M59" s="121" t="str">
        <f>MID(O59,2,1)</f>
        <v/>
      </c>
      <c r="N59" s="122" t="str">
        <f>RIGHT(O59)</f>
        <v/>
      </c>
      <c r="O59" s="123" t="str">
        <f>IF(M58="","",OFFSET(Biblioteca!$I$2,MATCH(M58,Biblioteca!$A$3:$A$200,0),0))</f>
        <v/>
      </c>
      <c r="P59" s="57"/>
      <c r="Q59" s="125"/>
      <c r="R59" s="117" t="str">
        <f>IF(R58="","",IFS(AC59="A",Montagem!$D$130,AE59="T","Realizar a maior quantidade de repetições por "&amp;W58&amp;" segundos | ",AE59="I",IF(AD59="U","Manter a posição por "&amp;W58&amp;" segundos de um lado e trocar para o outro na sequência | ","Manter a posição por "&amp;W58&amp;" segundos | "),AD59="A","Realizar alternadamente "&amp;W58&amp;" repetições cada lado | ",AD59="U","Realizar "&amp;W58&amp;" repetições de um lado e trocar para o outro na sequência | ",AC59="P",OFFSET(Biblioteca!$H$2,MATCH(AD58,Biblioteca!$A$3:$A$200,0),0),TRUE,"")&amp;IF(AE59="R","Ajuste a carga para que tenha "&amp;$K$2&amp;" repetições de reserva",""))</f>
        <v/>
      </c>
      <c r="V59" s="118" t="str">
        <f>IF(R58="","",IFS(AC59="H","Carga Sugerida: "&amp;ROUNDUP(AF58/2,0)&amp;" kg de cada lado (Total: "&amp;ROUNDUP(AF58/2,0)*2&amp;" kg)",AC59="C","Este exercício usa o Peso Corporal como carga",AC59="E","Este exercício usa a resistência da banda elástica como carga",AC59="O","Carga Sugerida: "&amp;INT(AF58)&amp;" kg",TRUE,""))</f>
        <v/>
      </c>
      <c r="AA59" s="66"/>
      <c r="AB59" s="126">
        <f>AB58</f>
        <v>11</v>
      </c>
      <c r="AC59" s="120" t="str">
        <f>LEFT(AF59)</f>
        <v/>
      </c>
      <c r="AD59" s="121" t="str">
        <f>MID(AF59,2,1)</f>
        <v/>
      </c>
      <c r="AE59" s="122" t="str">
        <f>RIGHT(AF59)</f>
        <v/>
      </c>
      <c r="AF59" s="123" t="str">
        <f>IF(AD58="","",OFFSET(Biblioteca!$I$2,MATCH(AD58,Biblioteca!$A$3:$A$200,0),0))</f>
        <v/>
      </c>
      <c r="AG59" s="57"/>
      <c r="AH59" s="125"/>
      <c r="AI59" s="117" t="str">
        <f>IF(AI58="","",IFS(AT59="A",Montagem!$E$130,AV59="T","Realizar a maior quantidade de repetições por "&amp;AN58&amp;" segundos | ",AV59="I",IF(AU59="U","Manter a posição por "&amp;AN58&amp;" segundos de um lado e trocar para o outro na sequência | ","Manter a posição por "&amp;AN58&amp;" segundos | "),AU59="A","Realizar alternadamente "&amp;AN58&amp;" repetições cada lado | ",AU59="U","Realizar "&amp;AN58&amp;" repetições de um lado e trocar para o outro na sequência | ",AT59="P",OFFSET(Biblioteca!$H$2,MATCH(AU58,Biblioteca!$A$3:$A$200,0),0),TRUE,"")&amp;IF(AV59="R","Ajuste a carga para que tenha "&amp;$K$2&amp;" repetições de reserva",""))</f>
        <v/>
      </c>
      <c r="AM59" s="118" t="str">
        <f>IF(AI58="","",IFS(AT59="H","Carga Sugerida: "&amp;ROUNDUP(AW58/2,0)&amp;" kg de cada lado (Total: "&amp;ROUNDUP(AW58/2,0)*2&amp;" kg)",AT59="C","Este exercício usa o Peso Corporal como carga",AT59="E","Este exercício usa a resistência da banda elástica como carga",AT59="O","Carga Sugerida: "&amp;INT(AW58)&amp;" kg",TRUE,""))</f>
        <v/>
      </c>
      <c r="AR59" s="66"/>
      <c r="AS59" s="126">
        <f>AS58</f>
        <v>1</v>
      </c>
      <c r="AT59" s="120" t="str">
        <f>LEFT(AW59)</f>
        <v/>
      </c>
      <c r="AU59" s="121" t="str">
        <f>MID(AW59,2,1)</f>
        <v/>
      </c>
      <c r="AV59" s="122" t="str">
        <f>RIGHT(AW59)</f>
        <v/>
      </c>
      <c r="AW59" s="123" t="str">
        <f>IF(AU58="","",OFFSET(Biblioteca!$I$2,MATCH(AU58,Biblioteca!$A$3:$A$200,0),0))</f>
        <v/>
      </c>
      <c r="AX59" s="57"/>
      <c r="AY59" s="125"/>
      <c r="AZ59" s="117" t="str">
        <f>IF(AZ58="","",IFS(BK59="A",Montagem!$F$130,BM59="T","Realizar a maior quantidade de repetições por "&amp;BE58&amp;" segundos | ",BM59="I",IF(BL59="U","Manter a posição por "&amp;BE58&amp;" segundos de um lado e trocar para o outro na sequência | ","Manter a posição por "&amp;BE58&amp;" segundos | "),BL59="A","Realizar alternadamente "&amp;BE58&amp;" repetições cada lado | ",BL59="U","Realizar "&amp;BE58&amp;" repetições de um lado e trocar para o outro na sequência | ",BK59="P",OFFSET(Biblioteca!$H$2,MATCH(BL58,Biblioteca!$A$3:$A$200,0),0),TRUE,"")&amp;IF(BM59="R","Ajuste a carga para que tenha "&amp;$K$2&amp;" repetições de reserva",""))</f>
        <v/>
      </c>
      <c r="BD59" s="118" t="str">
        <f>IF(AZ58="","",IFS(BK59="H","Carga Sugerida: "&amp;ROUNDUP(BN58/2,0)&amp;" kg de cada lado (Total: "&amp;ROUNDUP(BN58/2,0)*2&amp;" kg)",BK59="C","Este exercício usa o Peso Corporal como carga",BK59="E","Este exercício usa a resistência da banda elástica como carga",BK59="O","Carga Sugerida: "&amp;INT(BN58)&amp;" kg",TRUE,""))</f>
        <v/>
      </c>
      <c r="BI59" s="66"/>
      <c r="BJ59" s="126">
        <f>BJ58</f>
        <v>7</v>
      </c>
      <c r="BK59" s="120" t="str">
        <f>LEFT(BN59)</f>
        <v/>
      </c>
      <c r="BL59" s="121" t="str">
        <f>MID(BN59,2,1)</f>
        <v/>
      </c>
      <c r="BM59" s="122" t="str">
        <f>RIGHT(BN59)</f>
        <v/>
      </c>
      <c r="BN59" s="123" t="str">
        <f>IF(BL58="","",OFFSET(Biblioteca!$I$2,MATCH(BL58,Biblioteca!$A$3:$A$200,0),0))</f>
        <v/>
      </c>
      <c r="BO59" s="57"/>
      <c r="BP59" s="125"/>
      <c r="BQ59" s="117" t="str">
        <f>IF(BQ58="","",IFS(CB59="A",Montagem!$G$130,CD59="T","Realizar a maior quantidade de repetições por "&amp;BV58&amp;" segundos | ",CD59="I",IF(CC59="U","Manter a posição por "&amp;BV58&amp;" segundos de um lado e trocar para o outro na sequência | ","Manter a posição por "&amp;BV58&amp;" segundos | "),CC59="A","Realizar alternadamente "&amp;BV58&amp;" repetições cada lado | ",CC59="U","Realizar "&amp;BV58&amp;" repetições de um lado e trocar para o outro na sequência | ",CB59="P",OFFSET(Biblioteca!$H$2,MATCH(CC58,Biblioteca!$A$3:$A$200,0),0),TRUE,"")&amp;IF(CD59="R","Ajuste a carga para que tenha "&amp;$K$2&amp;" repetições de reserva",""))</f>
        <v/>
      </c>
      <c r="BU59" s="118" t="str">
        <f>IF(BQ58="","",IFS(CB59="H","Carga Sugerida: "&amp;ROUNDUP(CE58/2,0)&amp;" kg de cada lado (Total: "&amp;ROUNDUP(CE58/2,0)*2&amp;" kg)",CB59="C","Este exercício usa o Peso Corporal como carga",CB59="E","Este exercício usa a resistência da banda elástica como carga",CB59="O","Carga Sugerida: "&amp;INT(CE58)&amp;" kg",TRUE,""))</f>
        <v/>
      </c>
      <c r="BZ59" s="66"/>
      <c r="CA59" s="126">
        <f>CA58</f>
        <v>8</v>
      </c>
      <c r="CB59" s="120" t="str">
        <f>LEFT(CE59)</f>
        <v/>
      </c>
      <c r="CC59" s="121" t="str">
        <f>MID(CE59,2,1)</f>
        <v/>
      </c>
      <c r="CD59" s="122" t="str">
        <f>RIGHT(CE59)</f>
        <v/>
      </c>
      <c r="CE59" s="123" t="str">
        <f>IF(CC58="","",OFFSET(Biblioteca!$I$2,MATCH(CC58,Biblioteca!$A$3:$A$200,0),0))</f>
        <v/>
      </c>
      <c r="CF59" s="57"/>
      <c r="CG59" s="125"/>
      <c r="CH59" s="117" t="str">
        <f>IF(CH58="","",IFS(CS59="A",Montagem!$H$130,CU59="T","Realizar a maior quantidade de repetições por "&amp;CM58&amp;" segundos | ",CU59="I",IF(CT59="U","Manter a posição por "&amp;CM58&amp;" segundos de um lado e trocar para o outro na sequência | ","Manter a posição por "&amp;CM58&amp;" segundos | "),CT59="A","Realizar alternadamente "&amp;CM58&amp;" repetições cada lado | ",CT59="U","Realizar "&amp;CM58&amp;" repetições de um lado e trocar para o outro na sequência | ",CS59="P",OFFSET(Biblioteca!$H$2,MATCH(CT58,Biblioteca!$A$3:$A$200,0),0),TRUE,"")&amp;IF(CU59="R","Ajuste a carga para que tenha "&amp;$K$2&amp;" repetições de reserva",""))</f>
        <v/>
      </c>
      <c r="CL59" s="118" t="str">
        <f>IF(CH58="","",IFS(CS59="H","Carga Sugerida: "&amp;ROUNDUP(CV58/2,0)&amp;" kg de cada lado (Total: "&amp;ROUNDUP(CV58/2,0)*2&amp;" kg)",CS59="C","Este exercício usa o Peso Corporal como carga",CS59="E","Este exercício usa a resistência da banda elástica como carga",CS59="O","Carga Sugerida: "&amp;INT(CV58)&amp;" kg",TRUE,""))</f>
        <v/>
      </c>
      <c r="CQ59" s="66"/>
      <c r="CR59" s="126">
        <f>CR58</f>
        <v>1</v>
      </c>
      <c r="CS59" s="120" t="str">
        <f>LEFT(CV59)</f>
        <v/>
      </c>
      <c r="CT59" s="121" t="str">
        <f>MID(CV59,2,1)</f>
        <v/>
      </c>
      <c r="CU59" s="122" t="str">
        <f>RIGHT(CV59)</f>
        <v/>
      </c>
      <c r="CV59" s="123" t="str">
        <f>IF(CT58="","",OFFSET(Biblioteca!$I$2,MATCH(CT58,Biblioteca!$A$3:$A$200,0),0))</f>
        <v/>
      </c>
      <c r="CW59" s="57"/>
      <c r="CX59" s="125"/>
      <c r="CY59" s="117" t="str">
        <f>IF(CY58="","",IFS(DJ59="A",Montagem!$I$130,DL59="T","Realizar a maior quantidade de repetições por "&amp;DD58&amp;" segundos | ",DL59="I",IF(DK59="U","Manter a posição por "&amp;DD58&amp;" segundos de um lado e trocar para o outro na sequência | ","Manter a posição por "&amp;DD58&amp;" segundos | "),DK59="A","Realizar alternadamente "&amp;DD58&amp;" repetições cada lado | ",DK59="U","Realizar "&amp;DD58&amp;" repetições de um lado e trocar para o outro na sequência | ",DJ59="P",OFFSET(Biblioteca!$H$2,MATCH(DK58,Biblioteca!$A$3:$A$200,0),0),TRUE,"")&amp;IF(DL59="R","Ajuste a carga para que tenha "&amp;$K$2&amp;" repetições de reserva",""))</f>
        <v/>
      </c>
      <c r="DC59" s="118" t="str">
        <f>IF(CY58="","",IFS(DJ59="H","Carga Sugerida: "&amp;ROUNDUP(DM58/2,0)&amp;" kg de cada lado (Total: "&amp;ROUNDUP(DM58/2,0)*2&amp;" kg)",DJ59="C","Este exercício usa o Peso Corporal como carga",DJ59="E","Este exercício usa a resistência da banda elástica como carga",DJ59="O","Carga Sugerida: "&amp;INT(DM58)&amp;" kg",TRUE,""))</f>
        <v/>
      </c>
      <c r="DH59" s="66"/>
      <c r="DI59" s="126">
        <f>DI58</f>
        <v>1</v>
      </c>
      <c r="DJ59" s="120" t="str">
        <f>LEFT(DM59)</f>
        <v/>
      </c>
      <c r="DK59" s="121" t="str">
        <f>MID(DM59,2,1)</f>
        <v/>
      </c>
      <c r="DL59" s="122" t="str">
        <f>RIGHT(DM59)</f>
        <v/>
      </c>
      <c r="DM59" s="123" t="str">
        <f>IF(DK58="","",OFFSET(Biblioteca!$I$2,MATCH(DK58,Biblioteca!$A$3:$A$200,0),0))</f>
        <v/>
      </c>
      <c r="DN59" s="57"/>
      <c r="DO59" s="147"/>
      <c r="DP59" s="142"/>
      <c r="DQ59" s="56"/>
      <c r="DR59" s="56"/>
      <c r="DS59" s="56"/>
      <c r="DT59" s="56"/>
      <c r="DU59" s="56"/>
      <c r="DV59" s="56"/>
      <c r="DW59" s="56"/>
      <c r="DX59" s="56"/>
      <c r="DY59" s="56"/>
    </row>
    <row r="60">
      <c r="A60" s="115" t="str">
        <f>IF(M60="","",HYPERLINK(OFFSET(Biblioteca!$B$2,MATCH(M60,Biblioteca!$A$3:$A$200,0),0),M60))</f>
        <v/>
      </c>
      <c r="D60" s="103" t="str">
        <f>Montagem!Q138</f>
        <v/>
      </c>
      <c r="E60" s="104" t="str">
        <f>Montagem!R138</f>
        <v/>
      </c>
      <c r="F60" s="104" t="str">
        <f>Montagem!S138</f>
        <v/>
      </c>
      <c r="G60" s="104" t="str">
        <f>Montagem!T138</f>
        <v/>
      </c>
      <c r="H60" s="104" t="str">
        <f>Montagem!U138</f>
        <v/>
      </c>
      <c r="I60" s="132" t="str">
        <f>Montagem!V138</f>
        <v/>
      </c>
      <c r="J60" s="144"/>
      <c r="K60" s="106">
        <f>Montagem!K138</f>
        <v>11</v>
      </c>
      <c r="L60" s="111" t="str">
        <f>Montagem!W138</f>
        <v/>
      </c>
      <c r="M60" s="111" t="str">
        <f>Montagem!L138</f>
        <v/>
      </c>
      <c r="N60" s="111" t="str">
        <f>Montagem!X138</f>
        <v/>
      </c>
      <c r="O60" s="106" t="str">
        <f>IF(N60="",L60,N60)</f>
        <v/>
      </c>
      <c r="P60" s="106" t="str">
        <f>IF(L61="C",'Dados de Base'!$D$5*0.1,IF(L61="E",5,IF(J60="",O60,J60)))</f>
        <v/>
      </c>
      <c r="Q60" s="108"/>
      <c r="R60" s="115" t="str">
        <f>IF(AD60="","",HYPERLINK(OFFSET(Biblioteca!$B$2,MATCH(AD60,Biblioteca!$A$3:$A$200,0),0),AD60))</f>
        <v/>
      </c>
      <c r="U60" s="109" t="str">
        <f>Montagem!AF138</f>
        <v/>
      </c>
      <c r="V60" s="110" t="str">
        <f>Montagem!AG138</f>
        <v/>
      </c>
      <c r="W60" s="110" t="str">
        <f>Montagem!AH138</f>
        <v/>
      </c>
      <c r="X60" s="110" t="str">
        <f>Montagem!AI138</f>
        <v/>
      </c>
      <c r="Y60" s="110" t="str">
        <f>Montagem!AJ138</f>
        <v/>
      </c>
      <c r="Z60" s="110" t="str">
        <f>Montagem!AK138</f>
        <v/>
      </c>
      <c r="AA60" s="113"/>
      <c r="AB60" s="111">
        <f>Montagem!Z138</f>
        <v>11</v>
      </c>
      <c r="AC60" s="111" t="str">
        <f>Montagem!AL138</f>
        <v/>
      </c>
      <c r="AD60" s="129" t="str">
        <f>Montagem!AA138</f>
        <v/>
      </c>
      <c r="AE60" s="111" t="str">
        <f>Montagem!AM138</f>
        <v/>
      </c>
      <c r="AF60" s="106" t="str">
        <f>IF(AE60="",AC60,AE60)</f>
        <v/>
      </c>
      <c r="AG60" s="106" t="str">
        <f>IF(AC61="C",'Dados de Base'!$D$5*0.1,IF(AC61="E",5,IF(AA60="",AF60,AA60)))</f>
        <v/>
      </c>
      <c r="AH60" s="108"/>
      <c r="AI60" s="115" t="str">
        <f>IF(AU60="","",HYPERLINK(OFFSET(Biblioteca!$B$2,MATCH(AU60,Biblioteca!$A$3:$A$200,0),0),AU60))</f>
        <v/>
      </c>
      <c r="AL60" s="109" t="str">
        <f>Montagem!AU138</f>
        <v/>
      </c>
      <c r="AM60" s="110" t="str">
        <f>Montagem!AV138</f>
        <v/>
      </c>
      <c r="AN60" s="110" t="str">
        <f>Montagem!AW138</f>
        <v/>
      </c>
      <c r="AO60" s="110" t="str">
        <f>Montagem!AX138</f>
        <v/>
      </c>
      <c r="AP60" s="110" t="str">
        <f>Montagem!AY138</f>
        <v/>
      </c>
      <c r="AQ60" s="110" t="str">
        <f>Montagem!AZ138</f>
        <v/>
      </c>
      <c r="AR60" s="114"/>
      <c r="AS60" s="111">
        <f>Montagem!AO138</f>
        <v>1</v>
      </c>
      <c r="AT60" s="111" t="str">
        <f>Montagem!BA138</f>
        <v/>
      </c>
      <c r="AU60" s="111" t="str">
        <f>Montagem!AP138</f>
        <v/>
      </c>
      <c r="AV60" s="111" t="str">
        <f>Montagem!BB138</f>
        <v/>
      </c>
      <c r="AW60" s="106" t="str">
        <f>IF(AV60="",AT60,AV60)</f>
        <v/>
      </c>
      <c r="AX60" s="106" t="str">
        <f>IF(AT61="C",'Dados de Base'!$D$5*0.1,IF(AT61="E",5,IF(AR60="",AW60,AR60)))</f>
        <v/>
      </c>
      <c r="AY60" s="108"/>
      <c r="AZ60" s="115" t="str">
        <f>IF(BL60="","",HYPERLINK(OFFSET(Biblioteca!$B$2,MATCH(BL60,Biblioteca!$A$3:$A$200,0),0),BL60))</f>
        <v/>
      </c>
      <c r="BC60" s="109" t="str">
        <f>Montagem!BJ138</f>
        <v/>
      </c>
      <c r="BD60" s="110" t="str">
        <f>Montagem!BK138</f>
        <v/>
      </c>
      <c r="BE60" s="110" t="str">
        <f>Montagem!BL138</f>
        <v/>
      </c>
      <c r="BF60" s="110" t="str">
        <f>Montagem!BM138</f>
        <v/>
      </c>
      <c r="BG60" s="110" t="str">
        <f>Montagem!BN138</f>
        <v/>
      </c>
      <c r="BH60" s="110" t="str">
        <f>Montagem!BO138</f>
        <v/>
      </c>
      <c r="BI60" s="114"/>
      <c r="BJ60" s="111">
        <f>Montagem!BD138</f>
        <v>7</v>
      </c>
      <c r="BK60" s="111" t="str">
        <f>Montagem!BP138</f>
        <v/>
      </c>
      <c r="BL60" s="111" t="str">
        <f>Montagem!BE138</f>
        <v/>
      </c>
      <c r="BM60" s="111" t="str">
        <f>Montagem!BQ138</f>
        <v/>
      </c>
      <c r="BN60" s="106" t="str">
        <f>IF(BM60="",BK60,BM60)</f>
        <v/>
      </c>
      <c r="BO60" s="106" t="str">
        <f>IF(BK61="C",'Dados de Base'!$D$5*0.1,IF(BK61="E",5,IF(BI60="",BN60,BI60)))</f>
        <v/>
      </c>
      <c r="BP60" s="108"/>
      <c r="BQ60" s="115" t="str">
        <f>IF(CC60="","",HYPERLINK(OFFSET(Biblioteca!$B$2,MATCH(CC60,Biblioteca!$A$3:$A$200,0),0),CC60))</f>
        <v/>
      </c>
      <c r="BT60" s="109" t="str">
        <f>Montagem!BY138</f>
        <v/>
      </c>
      <c r="BU60" s="110" t="str">
        <f>Montagem!BZ138</f>
        <v/>
      </c>
      <c r="BV60" s="110" t="str">
        <f>Montagem!CA138</f>
        <v/>
      </c>
      <c r="BW60" s="110" t="str">
        <f>Montagem!CB138</f>
        <v/>
      </c>
      <c r="BX60" s="110" t="str">
        <f>Montagem!CC138</f>
        <v/>
      </c>
      <c r="BY60" s="110" t="str">
        <f>Montagem!CD138</f>
        <v/>
      </c>
      <c r="BZ60" s="114"/>
      <c r="CA60" s="111">
        <f>Montagem!BS138</f>
        <v>8</v>
      </c>
      <c r="CB60" s="111" t="str">
        <f>Montagem!CE138</f>
        <v/>
      </c>
      <c r="CC60" s="111" t="str">
        <f>Montagem!BT138</f>
        <v/>
      </c>
      <c r="CD60" s="111" t="str">
        <f>Montagem!CF138</f>
        <v/>
      </c>
      <c r="CE60" s="106" t="str">
        <f>IF(CD60="",CB60,CD60)</f>
        <v/>
      </c>
      <c r="CF60" s="106" t="str">
        <f>IF(CB61="C",'Dados de Base'!$D$5*0.1,IF(CB61="E",5,IF(BZ60="",CE60,BZ60)))</f>
        <v/>
      </c>
      <c r="CG60" s="108"/>
      <c r="CH60" s="115" t="str">
        <f>IF(CT60="","",HYPERLINK(OFFSET(Biblioteca!$B$2,MATCH(CT60,Biblioteca!$A$3:$A$200,0),0),CT60))</f>
        <v/>
      </c>
      <c r="CK60" s="109" t="str">
        <f>Montagem!CN138</f>
        <v/>
      </c>
      <c r="CL60" s="110" t="str">
        <f>Montagem!CO138</f>
        <v/>
      </c>
      <c r="CM60" s="110" t="str">
        <f>Montagem!CP138</f>
        <v/>
      </c>
      <c r="CN60" s="110" t="str">
        <f>Montagem!CQ138</f>
        <v/>
      </c>
      <c r="CO60" s="110" t="str">
        <f>Montagem!CR138</f>
        <v/>
      </c>
      <c r="CP60" s="110" t="str">
        <f>Montagem!CS138</f>
        <v/>
      </c>
      <c r="CQ60" s="114"/>
      <c r="CR60" s="111">
        <f>Montagem!CH138</f>
        <v>1</v>
      </c>
      <c r="CS60" s="111" t="str">
        <f>Montagem!CT138</f>
        <v/>
      </c>
      <c r="CT60" s="111" t="str">
        <f>Montagem!CI138</f>
        <v/>
      </c>
      <c r="CU60" s="145" t="str">
        <f>Montagem!CU138</f>
        <v/>
      </c>
      <c r="CV60" s="106" t="str">
        <f>IF(CU60="",CS60,CU60)</f>
        <v/>
      </c>
      <c r="CW60" s="106" t="str">
        <f>IF(CS61="C",'Dados de Base'!$D$5*0.1,IF(CS61="E",5,IF(CQ60="",CV60,CQ60)))</f>
        <v/>
      </c>
      <c r="CX60" s="108"/>
      <c r="CY60" s="115" t="str">
        <f>IF(DK60="","",HYPERLINK(OFFSET(Biblioteca!$B$2,MATCH(DK60,Biblioteca!$A$3:$A$200,0),0),DK60))</f>
        <v/>
      </c>
      <c r="DB60" s="130" t="str">
        <f>Montagem!DC138</f>
        <v/>
      </c>
      <c r="DC60" s="131" t="str">
        <f>Montagem!DD138</f>
        <v/>
      </c>
      <c r="DD60" s="131" t="str">
        <f>Montagem!DE138</f>
        <v/>
      </c>
      <c r="DE60" s="131" t="str">
        <f>Montagem!DF138</f>
        <v/>
      </c>
      <c r="DF60" s="131" t="str">
        <f>Montagem!DG138</f>
        <v/>
      </c>
      <c r="DG60" s="131" t="str">
        <f>Montagem!DH138</f>
        <v/>
      </c>
      <c r="DH60" s="114"/>
      <c r="DI60" s="111">
        <f>Montagem!CW138</f>
        <v>1</v>
      </c>
      <c r="DJ60" s="111" t="str">
        <f>Montagem!DI138</f>
        <v/>
      </c>
      <c r="DK60" s="111" t="str">
        <f>Montagem!CX138</f>
        <v/>
      </c>
      <c r="DL60" s="145" t="str">
        <f>Montagem!DJ138</f>
        <v/>
      </c>
      <c r="DM60" s="106" t="str">
        <f>IF(DL60="",DJ60,DL60)</f>
        <v/>
      </c>
      <c r="DN60" s="106" t="str">
        <f>IF(DJ61="C",'Dados de Base'!$D$5*0.1,IF(DJ61="E",5,IF(DH60="",DM60,DH60)))</f>
        <v/>
      </c>
      <c r="DO60" s="146"/>
      <c r="DP60" s="106"/>
      <c r="DQ60" s="106"/>
      <c r="DR60" s="106"/>
      <c r="DS60" s="106"/>
      <c r="DT60" s="106"/>
      <c r="DU60" s="106"/>
      <c r="DV60" s="106"/>
      <c r="DW60" s="106"/>
      <c r="DX60" s="106"/>
      <c r="DY60" s="106"/>
    </row>
    <row r="61">
      <c r="A61" s="117" t="str">
        <f>IF(A60="","",IFS(L61="A",Montagem!$C$130,N61="T","Realizar a maior quantidade de repetições por "&amp;F60&amp;" segundos | ",N61="I",IF(M61="U","Manter a posição por "&amp;F60&amp;" segundos de um lado e trocar para o outro na sequência | ","Manter a posição por "&amp;F60&amp;" segundos | "),M61="A","Realizar alternadamente "&amp;F60&amp;" repetições cada lado | ",M61="U","Realizar "&amp;F60&amp;" repetições de um lado e trocar para o outro na sequência | ",L61="P",OFFSET(Biblioteca!$H$2,MATCH(M60,Biblioteca!$A$3:$A$200,0),0),TRUE,"")&amp;IF(N61="R","Ajuste a carga para que tenha "&amp;$K$2&amp;" repetições de reserva",""))</f>
        <v/>
      </c>
      <c r="E61" s="118" t="str">
        <f>IF(A60="","",IFS(L61="H","Carga Sugerida: "&amp;ROUNDUP(O60/2,0)&amp;" kg de cada lado (Total: "&amp;ROUNDUP(O60/2,0)*2&amp;" kg)",L61="C","Este exercício usa o Peso Corporal como carga",L61="E","Este exercício usa a resistência da banda elástica como carga",L61="O","Carga Sugerida: "&amp;INT(O60)&amp;" kg",TRUE,""))</f>
        <v/>
      </c>
      <c r="J61" s="66"/>
      <c r="K61" s="106">
        <f>K60</f>
        <v>11</v>
      </c>
      <c r="L61" s="120" t="str">
        <f>LEFT(O61)</f>
        <v/>
      </c>
      <c r="M61" s="121" t="str">
        <f>MID(O61,2,1)</f>
        <v/>
      </c>
      <c r="N61" s="122" t="str">
        <f>RIGHT(O61)</f>
        <v/>
      </c>
      <c r="O61" s="123" t="str">
        <f>IF(M60="","",OFFSET(Biblioteca!$I$2,MATCH(M60,Biblioteca!$A$3:$A$200,0),0))</f>
        <v/>
      </c>
      <c r="P61" s="57"/>
      <c r="Q61" s="125"/>
      <c r="R61" s="117" t="str">
        <f>IF(R60="","",IFS(AC61="A",Montagem!$D$130,AE61="T","Realizar a maior quantidade de repetições por "&amp;W60&amp;" segundos | ",AE61="I",IF(AD61="U","Manter a posição por "&amp;W60&amp;" segundos de um lado e trocar para o outro na sequência | ","Manter a posição por "&amp;W60&amp;" segundos | "),AD61="A","Realizar alternadamente "&amp;W60&amp;" repetições cada lado | ",AD61="U","Realizar "&amp;W60&amp;" repetições de um lado e trocar para o outro na sequência | ",AC61="P",OFFSET(Biblioteca!$H$2,MATCH(AD60,Biblioteca!$A$3:$A$200,0),0),TRUE,"")&amp;IF(AE61="R","Ajuste a carga para que tenha "&amp;$K$2&amp;" repetições de reserva",""))</f>
        <v/>
      </c>
      <c r="V61" s="118" t="str">
        <f>IF(R60="","",IFS(AC61="H","Carga Sugerida: "&amp;ROUNDUP(AF60/2,0)&amp;" kg de cada lado (Total: "&amp;ROUNDUP(AF60/2,0)*2&amp;" kg)",AC61="C","Este exercício usa o Peso Corporal como carga",AC61="E","Este exercício usa a resistência da banda elástica como carga",AC61="O","Carga Sugerida: "&amp;INT(AF60)&amp;" kg",TRUE,""))</f>
        <v/>
      </c>
      <c r="AA61" s="66"/>
      <c r="AB61" s="126">
        <f>AB60</f>
        <v>11</v>
      </c>
      <c r="AC61" s="120" t="str">
        <f>LEFT(AF61)</f>
        <v/>
      </c>
      <c r="AD61" s="121" t="str">
        <f>MID(AF61,2,1)</f>
        <v/>
      </c>
      <c r="AE61" s="122" t="str">
        <f>RIGHT(AF61)</f>
        <v/>
      </c>
      <c r="AF61" s="123" t="str">
        <f>IF(AD60="","",OFFSET(Biblioteca!$I$2,MATCH(AD60,Biblioteca!$A$3:$A$200,0),0))</f>
        <v/>
      </c>
      <c r="AG61" s="57"/>
      <c r="AH61" s="125"/>
      <c r="AI61" s="117" t="str">
        <f>IF(AI60="","",IFS(AT61="A",Montagem!$E$130,AV61="T","Realizar a maior quantidade de repetições por "&amp;AN60&amp;" segundos | ",AV61="I",IF(AU61="U","Manter a posição por "&amp;AN60&amp;" segundos de um lado e trocar para o outro na sequência | ","Manter a posição por "&amp;AN60&amp;" segundos | "),AU61="A","Realizar alternadamente "&amp;AN60&amp;" repetições cada lado | ",AU61="U","Realizar "&amp;AN60&amp;" repetições de um lado e trocar para o outro na sequência | ",AT61="P",OFFSET(Biblioteca!$H$2,MATCH(AU60,Biblioteca!$A$3:$A$200,0),0),TRUE,"")&amp;IF(AV61="R","Ajuste a carga para que tenha "&amp;$K$2&amp;" repetições de reserva",""))</f>
        <v/>
      </c>
      <c r="AM61" s="118" t="str">
        <f>IF(AI60="","",IFS(AT61="H","Carga Sugerida: "&amp;ROUNDUP(AW60/2,0)&amp;" kg de cada lado (Total: "&amp;ROUNDUP(AW60/2,0)*2&amp;" kg)",AT61="C","Este exercício usa o Peso Corporal como carga",AT61="E","Este exercício usa a resistência da banda elástica como carga",AT61="O","Carga Sugerida: "&amp;INT(AW60)&amp;" kg",TRUE,""))</f>
        <v/>
      </c>
      <c r="AR61" s="66"/>
      <c r="AS61" s="126">
        <f>AS60</f>
        <v>1</v>
      </c>
      <c r="AT61" s="120" t="str">
        <f>LEFT(AW61)</f>
        <v/>
      </c>
      <c r="AU61" s="121" t="str">
        <f>MID(AW61,2,1)</f>
        <v/>
      </c>
      <c r="AV61" s="122" t="str">
        <f>RIGHT(AW61)</f>
        <v/>
      </c>
      <c r="AW61" s="123" t="str">
        <f>IF(AU60="","",OFFSET(Biblioteca!$I$2,MATCH(AU60,Biblioteca!$A$3:$A$200,0),0))</f>
        <v/>
      </c>
      <c r="AX61" s="57"/>
      <c r="AY61" s="125"/>
      <c r="AZ61" s="117" t="str">
        <f>IF(AZ60="","",IFS(BK61="A",Montagem!$F$130,BM61="T","Realizar a maior quantidade de repetições por "&amp;BE60&amp;" segundos | ",BM61="I",IF(BL61="U","Manter a posição por "&amp;BE60&amp;" segundos de um lado e trocar para o outro na sequência | ","Manter a posição por "&amp;BE60&amp;" segundos | "),BL61="A","Realizar alternadamente "&amp;BE60&amp;" repetições cada lado | ",BL61="U","Realizar "&amp;BE60&amp;" repetições de um lado e trocar para o outro na sequência | ",BK61="P",OFFSET(Biblioteca!$H$2,MATCH(BL60,Biblioteca!$A$3:$A$200,0),0),TRUE,"")&amp;IF(BM61="R","Ajuste a carga para que tenha "&amp;$K$2&amp;" repetições de reserva",""))</f>
        <v/>
      </c>
      <c r="BD61" s="118" t="str">
        <f>IF(AZ60="","",IFS(BK61="H","Carga Sugerida: "&amp;ROUNDUP(BN60/2,0)&amp;" kg de cada lado (Total: "&amp;ROUNDUP(BN60/2,0)*2&amp;" kg)",BK61="C","Este exercício usa o Peso Corporal como carga",BK61="E","Este exercício usa a resistência da banda elástica como carga",BK61="O","Carga Sugerida: "&amp;INT(BN60)&amp;" kg",TRUE,""))</f>
        <v/>
      </c>
      <c r="BI61" s="66"/>
      <c r="BJ61" s="126">
        <f>BJ60</f>
        <v>7</v>
      </c>
      <c r="BK61" s="120" t="str">
        <f>LEFT(BN61)</f>
        <v/>
      </c>
      <c r="BL61" s="121" t="str">
        <f>MID(BN61,2,1)</f>
        <v/>
      </c>
      <c r="BM61" s="122" t="str">
        <f>RIGHT(BN61)</f>
        <v/>
      </c>
      <c r="BN61" s="123" t="str">
        <f>IF(BL60="","",OFFSET(Biblioteca!$I$2,MATCH(BL60,Biblioteca!$A$3:$A$200,0),0))</f>
        <v/>
      </c>
      <c r="BO61" s="57"/>
      <c r="BP61" s="125"/>
      <c r="BQ61" s="117" t="str">
        <f>IF(BQ60="","",IFS(CB61="A",Montagem!$G$130,CD61="T","Realizar a maior quantidade de repetições por "&amp;BV60&amp;" segundos | ",CD61="I",IF(CC61="U","Manter a posição por "&amp;BV60&amp;" segundos de um lado e trocar para o outro na sequência | ","Manter a posição por "&amp;BV60&amp;" segundos | "),CC61="A","Realizar alternadamente "&amp;BV60&amp;" repetições cada lado | ",CC61="U","Realizar "&amp;BV60&amp;" repetições de um lado e trocar para o outro na sequência | ",CB61="P",OFFSET(Biblioteca!$H$2,MATCH(CC60,Biblioteca!$A$3:$A$200,0),0),TRUE,"")&amp;IF(CD61="R","Ajuste a carga para que tenha "&amp;$K$2&amp;" repetições de reserva",""))</f>
        <v/>
      </c>
      <c r="BU61" s="118" t="str">
        <f>IF(BQ60="","",IFS(CB61="H","Carga Sugerida: "&amp;ROUNDUP(CE60/2,0)&amp;" kg de cada lado (Total: "&amp;ROUNDUP(CE60/2,0)*2&amp;" kg)",CB61="C","Este exercício usa o Peso Corporal como carga",CB61="E","Este exercício usa a resistência da banda elástica como carga",CB61="O","Carga Sugerida: "&amp;INT(CE60)&amp;" kg",TRUE,""))</f>
        <v/>
      </c>
      <c r="BZ61" s="66"/>
      <c r="CA61" s="126">
        <f>CA60</f>
        <v>8</v>
      </c>
      <c r="CB61" s="120" t="str">
        <f>LEFT(CE61)</f>
        <v/>
      </c>
      <c r="CC61" s="121" t="str">
        <f>MID(CE61,2,1)</f>
        <v/>
      </c>
      <c r="CD61" s="122" t="str">
        <f>RIGHT(CE61)</f>
        <v/>
      </c>
      <c r="CE61" s="123" t="str">
        <f>IF(CC60="","",OFFSET(Biblioteca!$I$2,MATCH(CC60,Biblioteca!$A$3:$A$200,0),0))</f>
        <v/>
      </c>
      <c r="CF61" s="57"/>
      <c r="CG61" s="125"/>
      <c r="CH61" s="117" t="str">
        <f>IF(CH60="","",IFS(CS61="A",Montagem!$H$130,CU61="T","Realizar a maior quantidade de repetições por "&amp;CM60&amp;" segundos | ",CU61="I",IF(CT61="U","Manter a posição por "&amp;CM60&amp;" segundos de um lado e trocar para o outro na sequência | ","Manter a posição por "&amp;CM60&amp;" segundos | "),CT61="A","Realizar alternadamente "&amp;CM60&amp;" repetições cada lado | ",CT61="U","Realizar "&amp;CM60&amp;" repetições de um lado e trocar para o outro na sequência | ",CS61="P",OFFSET(Biblioteca!$H$2,MATCH(CT60,Biblioteca!$A$3:$A$200,0),0),TRUE,"")&amp;IF(CU61="R","Ajuste a carga para que tenha "&amp;$K$2&amp;" repetições de reserva",""))</f>
        <v/>
      </c>
      <c r="CL61" s="118" t="str">
        <f>IF(CH60="","",IFS(CS61="H","Carga Sugerida: "&amp;ROUNDUP(CV60/2,0)&amp;" kg de cada lado (Total: "&amp;ROUNDUP(CV60/2,0)*2&amp;" kg)",CS61="C","Este exercício usa o Peso Corporal como carga",CS61="E","Este exercício usa a resistência da banda elástica como carga",CS61="O","Carga Sugerida: "&amp;INT(CV60)&amp;" kg",TRUE,""))</f>
        <v/>
      </c>
      <c r="CQ61" s="66"/>
      <c r="CR61" s="126">
        <f>CR60</f>
        <v>1</v>
      </c>
      <c r="CS61" s="120" t="str">
        <f>LEFT(CV61)</f>
        <v/>
      </c>
      <c r="CT61" s="121" t="str">
        <f>MID(CV61,2,1)</f>
        <v/>
      </c>
      <c r="CU61" s="122" t="str">
        <f>RIGHT(CV61)</f>
        <v/>
      </c>
      <c r="CV61" s="123" t="str">
        <f>IF(CT60="","",OFFSET(Biblioteca!$I$2,MATCH(CT60,Biblioteca!$A$3:$A$200,0),0))</f>
        <v/>
      </c>
      <c r="CW61" s="57"/>
      <c r="CX61" s="125"/>
      <c r="CY61" s="117" t="str">
        <f>IF(CY60="","",IFS(DJ61="A",Montagem!$I$130,DL61="T","Realizar a maior quantidade de repetições por "&amp;DD60&amp;" segundos | ",DL61="I",IF(DK61="U","Manter a posição por "&amp;DD60&amp;" segundos de um lado e trocar para o outro na sequência | ","Manter a posição por "&amp;DD60&amp;" segundos | "),DK61="A","Realizar alternadamente "&amp;DD60&amp;" repetições cada lado | ",DK61="U","Realizar "&amp;DD60&amp;" repetições de um lado e trocar para o outro na sequência | ",DJ61="P",OFFSET(Biblioteca!$H$2,MATCH(DK60,Biblioteca!$A$3:$A$200,0),0),TRUE,"")&amp;IF(DL61="R","Ajuste a carga para que tenha "&amp;$K$2&amp;" repetições de reserva",""))</f>
        <v/>
      </c>
      <c r="DC61" s="118" t="str">
        <f>IF(CY60="","",IFS(DJ61="H","Carga Sugerida: "&amp;ROUNDUP(DM60/2,0)&amp;" kg de cada lado (Total: "&amp;ROUNDUP(DM60/2,0)*2&amp;" kg)",DJ61="C","Este exercício usa o Peso Corporal como carga",DJ61="E","Este exercício usa a resistência da banda elástica como carga",DJ61="O","Carga Sugerida: "&amp;INT(DM60)&amp;" kg",TRUE,""))</f>
        <v/>
      </c>
      <c r="DH61" s="66"/>
      <c r="DI61" s="126">
        <f>DI60</f>
        <v>1</v>
      </c>
      <c r="DJ61" s="120" t="str">
        <f>LEFT(DM61)</f>
        <v/>
      </c>
      <c r="DK61" s="121" t="str">
        <f>MID(DM61,2,1)</f>
        <v/>
      </c>
      <c r="DL61" s="122" t="str">
        <f>RIGHT(DM61)</f>
        <v/>
      </c>
      <c r="DM61" s="123" t="str">
        <f>IF(DK60="","",OFFSET(Biblioteca!$I$2,MATCH(DK60,Biblioteca!$A$3:$A$200,0),0))</f>
        <v/>
      </c>
      <c r="DN61" s="57"/>
      <c r="DO61" s="125"/>
      <c r="DP61" s="142"/>
      <c r="DQ61" s="56"/>
      <c r="DR61" s="56"/>
      <c r="DS61" s="56"/>
      <c r="DT61" s="56"/>
      <c r="DU61" s="56"/>
      <c r="DV61" s="56"/>
      <c r="DW61" s="56"/>
      <c r="DX61" s="56"/>
      <c r="DY61" s="56"/>
    </row>
    <row r="62">
      <c r="A62" s="115" t="str">
        <f>IF(M62="","",HYPERLINK(OFFSET(Biblioteca!$B$2,MATCH(M62,Biblioteca!$A$3:$A$200,0),0),M62))</f>
        <v/>
      </c>
      <c r="D62" s="103" t="str">
        <f>Montagem!Q139</f>
        <v/>
      </c>
      <c r="E62" s="104" t="str">
        <f>Montagem!R139</f>
        <v/>
      </c>
      <c r="F62" s="104" t="str">
        <f>Montagem!S139</f>
        <v/>
      </c>
      <c r="G62" s="104" t="str">
        <f>Montagem!T139</f>
        <v/>
      </c>
      <c r="H62" s="104" t="str">
        <f>Montagem!U139</f>
        <v/>
      </c>
      <c r="I62" s="132" t="str">
        <f>Montagem!V139</f>
        <v/>
      </c>
      <c r="J62" s="144"/>
      <c r="K62" s="106">
        <f>Montagem!K139</f>
        <v>11</v>
      </c>
      <c r="L62" s="111" t="str">
        <f>Montagem!W139</f>
        <v/>
      </c>
      <c r="M62" s="111" t="str">
        <f>Montagem!L139</f>
        <v/>
      </c>
      <c r="N62" s="111" t="str">
        <f>Montagem!X139</f>
        <v/>
      </c>
      <c r="O62" s="106" t="str">
        <f>IF(N62="",L62,N62)</f>
        <v/>
      </c>
      <c r="P62" s="106" t="str">
        <f>IF(L63="C",'Dados de Base'!$D$5*0.1,IF(L63="E",5,IF(J62="",O62,J62)))</f>
        <v/>
      </c>
      <c r="Q62" s="108"/>
      <c r="R62" s="115" t="str">
        <f>IF(AD62="","",HYPERLINK(OFFSET(Biblioteca!$B$2,MATCH(AD62,Biblioteca!$A$3:$A$200,0),0),AD62))</f>
        <v/>
      </c>
      <c r="U62" s="109" t="str">
        <f>Montagem!AF139</f>
        <v/>
      </c>
      <c r="V62" s="110" t="str">
        <f>Montagem!AG139</f>
        <v/>
      </c>
      <c r="W62" s="110" t="str">
        <f>Montagem!AH139</f>
        <v/>
      </c>
      <c r="X62" s="110" t="str">
        <f>Montagem!AI139</f>
        <v/>
      </c>
      <c r="Y62" s="110" t="str">
        <f>Montagem!AJ139</f>
        <v/>
      </c>
      <c r="Z62" s="110" t="str">
        <f>Montagem!AK139</f>
        <v/>
      </c>
      <c r="AA62" s="114"/>
      <c r="AB62" s="111">
        <f>Montagem!Z139</f>
        <v>11</v>
      </c>
      <c r="AC62" s="111" t="str">
        <f>Montagem!AL139</f>
        <v/>
      </c>
      <c r="AD62" s="129" t="str">
        <f>Montagem!AA139</f>
        <v/>
      </c>
      <c r="AE62" s="111" t="str">
        <f>Montagem!AM139</f>
        <v/>
      </c>
      <c r="AF62" s="106" t="str">
        <f>IF(AE62="",AC62,AE62)</f>
        <v/>
      </c>
      <c r="AG62" s="106" t="str">
        <f>IF(AC63="C",'Dados de Base'!$D$5*0.1,IF(AC63="E",5,IF(AA62="",AF62,AA62)))</f>
        <v/>
      </c>
      <c r="AH62" s="108"/>
      <c r="AI62" s="115" t="str">
        <f>IF(AU62="","",HYPERLINK(OFFSET(Biblioteca!$B$2,MATCH(AU62,Biblioteca!$A$3:$A$200,0),0),AU62))</f>
        <v/>
      </c>
      <c r="AL62" s="109" t="str">
        <f>Montagem!AU139</f>
        <v/>
      </c>
      <c r="AM62" s="110" t="str">
        <f>Montagem!AV139</f>
        <v/>
      </c>
      <c r="AN62" s="110" t="str">
        <f>Montagem!AW139</f>
        <v/>
      </c>
      <c r="AO62" s="110" t="str">
        <f>Montagem!AX139</f>
        <v/>
      </c>
      <c r="AP62" s="110" t="str">
        <f>Montagem!AY139</f>
        <v/>
      </c>
      <c r="AQ62" s="110" t="str">
        <f>Montagem!AZ139</f>
        <v/>
      </c>
      <c r="AR62" s="114"/>
      <c r="AS62" s="111">
        <f>Montagem!AO139</f>
        <v>1</v>
      </c>
      <c r="AT62" s="111" t="str">
        <f>Montagem!BA139</f>
        <v/>
      </c>
      <c r="AU62" s="111" t="str">
        <f>Montagem!AP139</f>
        <v/>
      </c>
      <c r="AV62" s="111" t="str">
        <f>Montagem!BB139</f>
        <v/>
      </c>
      <c r="AW62" s="106" t="str">
        <f>IF(AV62="",AT62,AV62)</f>
        <v/>
      </c>
      <c r="AX62" s="106" t="str">
        <f>IF(AT63="C",'Dados de Base'!$D$5*0.1,IF(AT63="E",5,IF(AR62="",AW62,AR62)))</f>
        <v/>
      </c>
      <c r="AY62" s="108"/>
      <c r="AZ62" s="115" t="str">
        <f>IF(BL62="","",HYPERLINK(OFFSET(Biblioteca!$B$2,MATCH(BL62,Biblioteca!$A$3:$A$200,0),0),BL62))</f>
        <v/>
      </c>
      <c r="BC62" s="109" t="str">
        <f>Montagem!BJ139</f>
        <v/>
      </c>
      <c r="BD62" s="110" t="str">
        <f>Montagem!BK139</f>
        <v/>
      </c>
      <c r="BE62" s="110" t="str">
        <f>Montagem!BL139</f>
        <v/>
      </c>
      <c r="BF62" s="110" t="str">
        <f>Montagem!BM139</f>
        <v/>
      </c>
      <c r="BG62" s="110" t="str">
        <f>Montagem!BN139</f>
        <v/>
      </c>
      <c r="BH62" s="110" t="str">
        <f>Montagem!BO139</f>
        <v/>
      </c>
      <c r="BI62" s="114"/>
      <c r="BJ62" s="111">
        <f>Montagem!BD139</f>
        <v>7</v>
      </c>
      <c r="BK62" s="111" t="str">
        <f>Montagem!BP139</f>
        <v/>
      </c>
      <c r="BL62" s="111" t="str">
        <f>Montagem!BE139</f>
        <v/>
      </c>
      <c r="BM62" s="111" t="str">
        <f>Montagem!BQ139</f>
        <v/>
      </c>
      <c r="BN62" s="106" t="str">
        <f>IF(BM62="",BK62,BM62)</f>
        <v/>
      </c>
      <c r="BO62" s="106" t="str">
        <f>IF(BK63="C",'Dados de Base'!$D$5*0.1,IF(BK63="E",5,IF(BI62="",BN62,BI62)))</f>
        <v/>
      </c>
      <c r="BP62" s="108"/>
      <c r="BQ62" s="115" t="str">
        <f>IF(CC62="","",HYPERLINK(OFFSET(Biblioteca!$B$2,MATCH(CC62,Biblioteca!$A$3:$A$200,0),0),CC62))</f>
        <v/>
      </c>
      <c r="BT62" s="109" t="str">
        <f>Montagem!BY139</f>
        <v/>
      </c>
      <c r="BU62" s="110" t="str">
        <f>Montagem!BZ139</f>
        <v/>
      </c>
      <c r="BV62" s="110" t="str">
        <f>Montagem!CA139</f>
        <v/>
      </c>
      <c r="BW62" s="110" t="str">
        <f>Montagem!CB139</f>
        <v/>
      </c>
      <c r="BX62" s="110" t="str">
        <f>Montagem!CC139</f>
        <v/>
      </c>
      <c r="BY62" s="110" t="str">
        <f>Montagem!CD139</f>
        <v/>
      </c>
      <c r="BZ62" s="114"/>
      <c r="CA62" s="111">
        <f>Montagem!BS139</f>
        <v>8</v>
      </c>
      <c r="CB62" s="111" t="str">
        <f>Montagem!CE139</f>
        <v/>
      </c>
      <c r="CC62" s="111" t="str">
        <f>Montagem!BT139</f>
        <v/>
      </c>
      <c r="CD62" s="111" t="str">
        <f>Montagem!CF139</f>
        <v/>
      </c>
      <c r="CE62" s="106" t="str">
        <f>IF(CD62="",CB62,CD62)</f>
        <v/>
      </c>
      <c r="CF62" s="106" t="str">
        <f>IF(CB63="C",'Dados de Base'!$D$5*0.1,IF(CB63="E",5,IF(BZ62="",CE62,BZ62)))</f>
        <v/>
      </c>
      <c r="CG62" s="108"/>
      <c r="CH62" s="115" t="str">
        <f>IF(CT62="","",HYPERLINK(OFFSET(Biblioteca!$B$2,MATCH(CT62,Biblioteca!$A$3:$A$200,0),0),CT62))</f>
        <v/>
      </c>
      <c r="CK62" s="109" t="str">
        <f>Montagem!CN139</f>
        <v/>
      </c>
      <c r="CL62" s="110" t="str">
        <f>Montagem!CO139</f>
        <v/>
      </c>
      <c r="CM62" s="110" t="str">
        <f>Montagem!CP139</f>
        <v/>
      </c>
      <c r="CN62" s="110" t="str">
        <f>Montagem!CQ139</f>
        <v/>
      </c>
      <c r="CO62" s="110" t="str">
        <f>Montagem!CR139</f>
        <v/>
      </c>
      <c r="CP62" s="110" t="str">
        <f>Montagem!CS139</f>
        <v/>
      </c>
      <c r="CQ62" s="114"/>
      <c r="CR62" s="111">
        <f>Montagem!CH139</f>
        <v>1</v>
      </c>
      <c r="CS62" s="111" t="str">
        <f>Montagem!CT139</f>
        <v/>
      </c>
      <c r="CT62" s="111" t="str">
        <f>Montagem!CI139</f>
        <v/>
      </c>
      <c r="CU62" s="145" t="str">
        <f>Montagem!CU139</f>
        <v/>
      </c>
      <c r="CV62" s="106" t="str">
        <f>IF(CU62="",CS62,CU62)</f>
        <v/>
      </c>
      <c r="CW62" s="106" t="str">
        <f>IF(CS63="C",'Dados de Base'!$D$5*0.1,IF(CS63="E",5,IF(CQ62="",CV62,CQ62)))</f>
        <v/>
      </c>
      <c r="CX62" s="108"/>
      <c r="CY62" s="115" t="str">
        <f>IF(DK62="","",HYPERLINK(OFFSET(Biblioteca!$B$2,MATCH(DK62,Biblioteca!$A$3:$A$200,0),0),DK62))</f>
        <v/>
      </c>
      <c r="DB62" s="130" t="str">
        <f>Montagem!DC139</f>
        <v/>
      </c>
      <c r="DC62" s="131" t="str">
        <f>Montagem!DD139</f>
        <v/>
      </c>
      <c r="DD62" s="131" t="str">
        <f>Montagem!DE139</f>
        <v/>
      </c>
      <c r="DE62" s="131" t="str">
        <f>Montagem!DF139</f>
        <v/>
      </c>
      <c r="DF62" s="131" t="str">
        <f>Montagem!DG139</f>
        <v/>
      </c>
      <c r="DG62" s="131" t="str">
        <f>Montagem!DH139</f>
        <v/>
      </c>
      <c r="DH62" s="114"/>
      <c r="DI62" s="111">
        <f>Montagem!CW139</f>
        <v>1</v>
      </c>
      <c r="DJ62" s="111" t="str">
        <f>Montagem!DI139</f>
        <v/>
      </c>
      <c r="DK62" s="111" t="str">
        <f>Montagem!CX139</f>
        <v/>
      </c>
      <c r="DL62" s="145" t="str">
        <f>Montagem!DJ139</f>
        <v/>
      </c>
      <c r="DM62" s="106" t="str">
        <f>IF(DL62="",DJ62,DL62)</f>
        <v/>
      </c>
      <c r="DN62" s="106" t="str">
        <f>IF(DJ63="C",'Dados de Base'!$D$5*0.1,IF(DJ63="E",5,IF(DH62="",DM62,DH62)))</f>
        <v/>
      </c>
      <c r="DO62" s="108"/>
      <c r="DP62" s="106"/>
      <c r="DQ62" s="106"/>
      <c r="DR62" s="106"/>
      <c r="DS62" s="106"/>
      <c r="DT62" s="106"/>
      <c r="DU62" s="106"/>
      <c r="DV62" s="106"/>
      <c r="DW62" s="106"/>
      <c r="DX62" s="106"/>
      <c r="DY62" s="106"/>
    </row>
    <row r="63">
      <c r="A63" s="117" t="str">
        <f>IF(A62="","",IFS(L63="A",Montagem!$C$130,N63="T","Realizar a maior quantidade de repetições por "&amp;F62&amp;" segundos | ",N63="I",IF(M63="U","Manter a posição por "&amp;F62&amp;" segundos de um lado e trocar para o outro na sequência | ","Manter a posição por "&amp;F62&amp;" segundos | "),M63="A","Realizar alternadamente "&amp;F62&amp;" repetições cada lado | ",M63="U","Realizar "&amp;F62&amp;" repetições de um lado e trocar para o outro na sequência | ",L63="P",OFFSET(Biblioteca!$H$2,MATCH(M62,Biblioteca!$A$3:$A$200,0),0),TRUE,"")&amp;IF(N63="R","Ajuste a carga para que tenha "&amp;$K$2&amp;" repetições de reserva",""))</f>
        <v/>
      </c>
      <c r="E63" s="118" t="str">
        <f>IF(A62="","",IFS(L63="H","Carga Sugerida: "&amp;ROUNDUP(O62/2,0)&amp;" kg de cada lado (Total: "&amp;ROUNDUP(O62/2,0)*2&amp;" kg)",L63="C","Este exercício usa o Peso Corporal como carga",L63="E","Este exercício usa a resistência da banda elástica como carga",L63="O","Carga Sugerida: "&amp;INT(O62)&amp;" kg",TRUE,""))</f>
        <v/>
      </c>
      <c r="J63" s="66"/>
      <c r="K63" s="106">
        <f>K62</f>
        <v>11</v>
      </c>
      <c r="L63" s="120" t="str">
        <f>LEFT(O63)</f>
        <v/>
      </c>
      <c r="M63" s="121" t="str">
        <f>MID(O63,2,1)</f>
        <v/>
      </c>
      <c r="N63" s="122" t="str">
        <f>RIGHT(O63)</f>
        <v/>
      </c>
      <c r="O63" s="123" t="str">
        <f>IF(M62="","",OFFSET(Biblioteca!$I$2,MATCH(M62,Biblioteca!$A$3:$A$200,0),0))</f>
        <v/>
      </c>
      <c r="P63" s="124"/>
      <c r="Q63" s="125"/>
      <c r="R63" s="117" t="str">
        <f>IF(R62="","",IFS(AC63="A",Montagem!$D$130,AE63="T","Realizar a maior quantidade de repetições por "&amp;W62&amp;" segundos | ",AE63="I",IF(AD63="U","Manter a posição por "&amp;W62&amp;" segundos de um lado e trocar para o outro na sequência | ","Manter a posição por "&amp;W62&amp;" segundos | "),AD63="A","Realizar alternadamente "&amp;W62&amp;" repetições cada lado | ",AD63="U","Realizar "&amp;W62&amp;" repetições de um lado e trocar para o outro na sequência | ",AC63="P",OFFSET(Biblioteca!$H$2,MATCH(AD62,Biblioteca!$A$3:$A$200,0),0),TRUE,"")&amp;IF(AE63="R","Ajuste a carga para que tenha "&amp;$K$2&amp;" repetições de reserva",""))</f>
        <v/>
      </c>
      <c r="V63" s="118" t="str">
        <f>IF(R62="","",IFS(AC63="H","Carga Sugerida: "&amp;ROUNDUP(AF62/2,0)&amp;" kg de cada lado (Total: "&amp;ROUNDUP(AF62/2,0)*2&amp;" kg)",AC63="C","Este exercício usa o Peso Corporal como carga",AC63="E","Este exercício usa a resistência da banda elástica como carga",AC63="O","Carga Sugerida: "&amp;INT(AF62)&amp;" kg",TRUE,""))</f>
        <v/>
      </c>
      <c r="AA63" s="66"/>
      <c r="AB63" s="126">
        <f>AB62</f>
        <v>11</v>
      </c>
      <c r="AC63" s="120" t="str">
        <f>LEFT(AF63)</f>
        <v/>
      </c>
      <c r="AD63" s="121" t="str">
        <f>MID(AF63,2,1)</f>
        <v/>
      </c>
      <c r="AE63" s="122" t="str">
        <f>RIGHT(AF63)</f>
        <v/>
      </c>
      <c r="AF63" s="123" t="str">
        <f>IF(AD62="","",OFFSET(Biblioteca!$I$2,MATCH(AD62,Biblioteca!$A$3:$A$200,0),0))</f>
        <v/>
      </c>
      <c r="AG63" s="124"/>
      <c r="AH63" s="125"/>
      <c r="AI63" s="117" t="str">
        <f>IF(AI62="","",IFS(AT63="A",Montagem!$E$130,AV63="T","Realizar a maior quantidade de repetições por "&amp;AN62&amp;" segundos | ",AV63="I",IF(AU63="U","Manter a posição por "&amp;AN62&amp;" segundos de um lado e trocar para o outro na sequência | ","Manter a posição por "&amp;AN62&amp;" segundos | "),AU63="A","Realizar alternadamente "&amp;AN62&amp;" repetições cada lado | ",AU63="U","Realizar "&amp;AN62&amp;" repetições de um lado e trocar para o outro na sequência | ",AT63="P",OFFSET(Biblioteca!$H$2,MATCH(AU62,Biblioteca!$A$3:$A$200,0),0),TRUE,"")&amp;IF(AV63="R","Ajuste a carga para que tenha "&amp;$K$2&amp;" repetições de reserva",""))</f>
        <v/>
      </c>
      <c r="AM63" s="118" t="str">
        <f>IF(AI62="","",IFS(AT63="H","Carga Sugerida: "&amp;ROUNDUP(AW62/2,0)&amp;" kg de cada lado (Total: "&amp;ROUNDUP(AW62/2,0)*2&amp;" kg)",AT63="C","Este exercício usa o Peso Corporal como carga",AT63="E","Este exercício usa a resistência da banda elástica como carga",AT63="O","Carga Sugerida: "&amp;INT(AW62)&amp;" kg",TRUE,""))</f>
        <v/>
      </c>
      <c r="AR63" s="66"/>
      <c r="AS63" s="126">
        <f>AS62</f>
        <v>1</v>
      </c>
      <c r="AT63" s="120" t="str">
        <f>LEFT(AW63)</f>
        <v/>
      </c>
      <c r="AU63" s="121" t="str">
        <f>MID(AW63,2,1)</f>
        <v/>
      </c>
      <c r="AV63" s="122" t="str">
        <f>RIGHT(AW63)</f>
        <v/>
      </c>
      <c r="AW63" s="123" t="str">
        <f>IF(AU62="","",OFFSET(Biblioteca!$I$2,MATCH(AU62,Biblioteca!$A$3:$A$200,0),0))</f>
        <v/>
      </c>
      <c r="AX63" s="124"/>
      <c r="AY63" s="125"/>
      <c r="AZ63" s="117" t="str">
        <f>IF(AZ62="","",IFS(BK63="A",Montagem!$F$130,BM63="T","Realizar a maior quantidade de repetições por "&amp;BE62&amp;" segundos | ",BM63="I",IF(BL63="U","Manter a posição por "&amp;BE62&amp;" segundos de um lado e trocar para o outro na sequência | ","Manter a posição por "&amp;BE62&amp;" segundos | "),BL63="A","Realizar alternadamente "&amp;BE62&amp;" repetições cada lado | ",BL63="U","Realizar "&amp;BE62&amp;" repetições de um lado e trocar para o outro na sequência | ",BK63="P",OFFSET(Biblioteca!$H$2,MATCH(BL62,Biblioteca!$A$3:$A$200,0),0),TRUE,"")&amp;IF(BM63="R","Ajuste a carga para que tenha "&amp;$K$2&amp;" repetições de reserva",""))</f>
        <v/>
      </c>
      <c r="BD63" s="118" t="str">
        <f>IF(AZ62="","",IFS(BK63="H","Carga Sugerida: "&amp;ROUNDUP(BN62/2,0)&amp;" kg de cada lado (Total: "&amp;ROUNDUP(BN62/2,0)*2&amp;" kg)",BK63="C","Este exercício usa o Peso Corporal como carga",BK63="E","Este exercício usa a resistência da banda elástica como carga",BK63="O","Carga Sugerida: "&amp;INT(BN62)&amp;" kg",TRUE,""))</f>
        <v/>
      </c>
      <c r="BI63" s="66"/>
      <c r="BJ63" s="126">
        <f>BJ62</f>
        <v>7</v>
      </c>
      <c r="BK63" s="120" t="str">
        <f>LEFT(BN63)</f>
        <v/>
      </c>
      <c r="BL63" s="121" t="str">
        <f>MID(BN63,2,1)</f>
        <v/>
      </c>
      <c r="BM63" s="122" t="str">
        <f>RIGHT(BN63)</f>
        <v/>
      </c>
      <c r="BN63" s="123" t="str">
        <f>IF(BL62="","",OFFSET(Biblioteca!$I$2,MATCH(BL62,Biblioteca!$A$3:$A$200,0),0))</f>
        <v/>
      </c>
      <c r="BO63" s="124"/>
      <c r="BP63" s="125"/>
      <c r="BQ63" s="117" t="str">
        <f>IF(BQ62="","",IFS(CB63="A",Montagem!$G$130,CD63="T","Realizar a maior quantidade de repetições por "&amp;BV62&amp;" segundos | ",CD63="I",IF(CC63="U","Manter a posição por "&amp;BV62&amp;" segundos de um lado e trocar para o outro na sequência | ","Manter a posição por "&amp;BV62&amp;" segundos | "),CC63="A","Realizar alternadamente "&amp;BV62&amp;" repetições cada lado | ",CC63="U","Realizar "&amp;BV62&amp;" repetições de um lado e trocar para o outro na sequência | ",CB63="P",OFFSET(Biblioteca!$H$2,MATCH(CC62,Biblioteca!$A$3:$A$200,0),0),TRUE,"")&amp;IF(CD63="R","Ajuste a carga para que tenha "&amp;$K$2&amp;" repetições de reserva",""))</f>
        <v/>
      </c>
      <c r="BU63" s="118" t="str">
        <f>IF(BQ62="","",IFS(CB63="H","Carga Sugerida: "&amp;ROUNDUP(CE62/2,0)&amp;" kg de cada lado (Total: "&amp;ROUNDUP(CE62/2,0)*2&amp;" kg)",CB63="C","Este exercício usa o Peso Corporal como carga",CB63="E","Este exercício usa a resistência da banda elástica como carga",CB63="O","Carga Sugerida: "&amp;INT(CE62)&amp;" kg",TRUE,""))</f>
        <v/>
      </c>
      <c r="BZ63" s="66"/>
      <c r="CA63" s="126">
        <f>CA62</f>
        <v>8</v>
      </c>
      <c r="CB63" s="120" t="str">
        <f>LEFT(CE63)</f>
        <v/>
      </c>
      <c r="CC63" s="121" t="str">
        <f>MID(CE63,2,1)</f>
        <v/>
      </c>
      <c r="CD63" s="122" t="str">
        <f>RIGHT(CE63)</f>
        <v/>
      </c>
      <c r="CE63" s="123" t="str">
        <f>IF(CC62="","",OFFSET(Biblioteca!$I$2,MATCH(CC62,Biblioteca!$A$3:$A$200,0),0))</f>
        <v/>
      </c>
      <c r="CF63" s="124"/>
      <c r="CG63" s="125"/>
      <c r="CH63" s="117" t="str">
        <f>IF(CH62="","",IFS(CS63="A",Montagem!$H$130,CU63="T","Realizar a maior quantidade de repetições por "&amp;CM62&amp;" segundos | ",CU63="I",IF(CT63="U","Manter a posição por "&amp;CM62&amp;" segundos de um lado e trocar para o outro na sequência | ","Manter a posição por "&amp;CM62&amp;" segundos | "),CT63="A","Realizar alternadamente "&amp;CM62&amp;" repetições cada lado | ",CT63="U","Realizar "&amp;CM62&amp;" repetições de um lado e trocar para o outro na sequência | ",CS63="P",OFFSET(Biblioteca!$H$2,MATCH(CT62,Biblioteca!$A$3:$A$200,0),0),TRUE,"")&amp;IF(CU63="R","Ajuste a carga para que tenha "&amp;$K$2&amp;" repetições de reserva",""))</f>
        <v/>
      </c>
      <c r="CL63" s="118" t="str">
        <f>IF(CH62="","",IFS(CS63="H","Carga Sugerida: "&amp;ROUNDUP(CV62/2,0)&amp;" kg de cada lado (Total: "&amp;ROUNDUP(CV62/2,0)*2&amp;" kg)",CS63="C","Este exercício usa o Peso Corporal como carga",CS63="E","Este exercício usa a resistência da banda elástica como carga",CS63="O","Carga Sugerida: "&amp;INT(CV62)&amp;" kg",TRUE,""))</f>
        <v/>
      </c>
      <c r="CQ63" s="66"/>
      <c r="CR63" s="126">
        <f>CR62</f>
        <v>1</v>
      </c>
      <c r="CS63" s="120" t="str">
        <f>LEFT(CV63)</f>
        <v/>
      </c>
      <c r="CT63" s="121" t="str">
        <f>MID(CV63,2,1)</f>
        <v/>
      </c>
      <c r="CU63" s="122" t="str">
        <f>RIGHT(CV63)</f>
        <v/>
      </c>
      <c r="CV63" s="123" t="str">
        <f>IF(CT62="","",OFFSET(Biblioteca!$I$2,MATCH(CT62,Biblioteca!$A$3:$A$200,0),0))</f>
        <v/>
      </c>
      <c r="CW63" s="124"/>
      <c r="CX63" s="125"/>
      <c r="CY63" s="117" t="str">
        <f>IF(CY62="","",IFS(DJ63="A",Montagem!$I$130,DL63="T","Realizar a maior quantidade de repetições por "&amp;DD62&amp;" segundos | ",DL63="I",IF(DK63="U","Manter a posição por "&amp;DD62&amp;" segundos de um lado e trocar para o outro na sequência | ","Manter a posição por "&amp;DD62&amp;" segundos | "),DK63="A","Realizar alternadamente "&amp;DD62&amp;" repetições cada lado | ",DK63="U","Realizar "&amp;DD62&amp;" repetições de um lado e trocar para o outro na sequência | ",DJ63="P",OFFSET(Biblioteca!$H$2,MATCH(DK62,Biblioteca!$A$3:$A$200,0),0),TRUE,"")&amp;IF(DL63="R","Ajuste a carga para que tenha "&amp;$K$2&amp;" repetições de reserva",""))</f>
        <v/>
      </c>
      <c r="DC63" s="118" t="str">
        <f>IF(CY62="","",IFS(DJ63="H","Carga Sugerida: "&amp;ROUNDUP(DM62/2,0)&amp;" kg de cada lado (Total: "&amp;ROUNDUP(DM62/2,0)*2&amp;" kg)",DJ63="C","Este exercício usa o Peso Corporal como carga",DJ63="E","Este exercício usa a resistência da banda elástica como carga",DJ63="O","Carga Sugerida: "&amp;INT(DM62)&amp;" kg",TRUE,""))</f>
        <v/>
      </c>
      <c r="DH63" s="66"/>
      <c r="DI63" s="126">
        <f>DI62</f>
        <v>1</v>
      </c>
      <c r="DJ63" s="120" t="str">
        <f>LEFT(DM63)</f>
        <v/>
      </c>
      <c r="DK63" s="121" t="str">
        <f>MID(DM63,2,1)</f>
        <v/>
      </c>
      <c r="DL63" s="122" t="str">
        <f>RIGHT(DM63)</f>
        <v/>
      </c>
      <c r="DM63" s="123" t="str">
        <f>IF(DK62="","",OFFSET(Biblioteca!$I$2,MATCH(DK62,Biblioteca!$A$3:$A$200,0),0))</f>
        <v/>
      </c>
      <c r="DN63" s="124"/>
      <c r="DO63" s="125"/>
      <c r="DP63" s="142"/>
      <c r="DQ63" s="56"/>
      <c r="DR63" s="56"/>
      <c r="DS63" s="56"/>
      <c r="DT63" s="56"/>
      <c r="DU63" s="56"/>
      <c r="DV63" s="56"/>
      <c r="DW63" s="56"/>
      <c r="DX63" s="56"/>
      <c r="DY63" s="56"/>
    </row>
    <row r="64">
      <c r="A64" s="115" t="str">
        <f>IF(M64="","",HYPERLINK(OFFSET(Biblioteca!$B$2,MATCH(M64,Biblioteca!$A$3:$A$200,0),0),M64))</f>
        <v/>
      </c>
      <c r="D64" s="103" t="str">
        <f>Montagem!Q140</f>
        <v/>
      </c>
      <c r="E64" s="104" t="str">
        <f>Montagem!R140</f>
        <v/>
      </c>
      <c r="F64" s="104" t="str">
        <f>Montagem!S140</f>
        <v/>
      </c>
      <c r="G64" s="104" t="str">
        <f>Montagem!T140</f>
        <v/>
      </c>
      <c r="H64" s="104" t="str">
        <f>Montagem!U140</f>
        <v/>
      </c>
      <c r="I64" s="132" t="str">
        <f>Montagem!V140</f>
        <v/>
      </c>
      <c r="J64" s="144"/>
      <c r="K64" s="106">
        <f>Montagem!K140</f>
        <v>11</v>
      </c>
      <c r="L64" s="111" t="str">
        <f>Montagem!W140</f>
        <v/>
      </c>
      <c r="M64" s="111" t="str">
        <f>Montagem!L140</f>
        <v/>
      </c>
      <c r="N64" s="111" t="str">
        <f>Montagem!X140</f>
        <v/>
      </c>
      <c r="O64" s="106" t="str">
        <f>IF(N64="",L64,N64)</f>
        <v/>
      </c>
      <c r="P64" s="106" t="str">
        <f>IF(L65="C",'Dados de Base'!$D$5*0.1,IF(L65="E",5,IF(J64="",O64,J64)))</f>
        <v/>
      </c>
      <c r="Q64" s="108"/>
      <c r="R64" s="115" t="str">
        <f>IF(AD64="","",HYPERLINK(OFFSET(Biblioteca!$B$2,MATCH(AD64,Biblioteca!$A$3:$A$200,0),0),AD64))</f>
        <v/>
      </c>
      <c r="U64" s="109" t="str">
        <f>Montagem!AF140</f>
        <v/>
      </c>
      <c r="V64" s="110" t="str">
        <f>Montagem!AG140</f>
        <v/>
      </c>
      <c r="W64" s="110" t="str">
        <f>Montagem!AH140</f>
        <v/>
      </c>
      <c r="X64" s="110" t="str">
        <f>Montagem!AI140</f>
        <v/>
      </c>
      <c r="Y64" s="110" t="str">
        <f>Montagem!AJ140</f>
        <v/>
      </c>
      <c r="Z64" s="110" t="str">
        <f>Montagem!AK140</f>
        <v/>
      </c>
      <c r="AA64" s="114"/>
      <c r="AB64" s="111">
        <f>Montagem!Z140</f>
        <v>11</v>
      </c>
      <c r="AC64" s="111" t="str">
        <f>Montagem!AL140</f>
        <v/>
      </c>
      <c r="AD64" s="129" t="str">
        <f>Montagem!AA140</f>
        <v/>
      </c>
      <c r="AE64" s="111" t="str">
        <f>Montagem!AM140</f>
        <v/>
      </c>
      <c r="AF64" s="106" t="str">
        <f>IF(AE64="",AC64,AE64)</f>
        <v/>
      </c>
      <c r="AG64" s="106" t="str">
        <f>IF(AC65="C",'Dados de Base'!$D$5*0.1,IF(AC65="E",5,IF(AA64="",AF64,AA64)))</f>
        <v/>
      </c>
      <c r="AH64" s="108"/>
      <c r="AI64" s="115" t="str">
        <f>IF(AU64="","",HYPERLINK(OFFSET(Biblioteca!$B$2,MATCH(AU64,Biblioteca!$A$3:$A$200,0),0),AU64))</f>
        <v/>
      </c>
      <c r="AL64" s="109" t="str">
        <f>Montagem!AU140</f>
        <v/>
      </c>
      <c r="AM64" s="110" t="str">
        <f>Montagem!AV140</f>
        <v/>
      </c>
      <c r="AN64" s="110" t="str">
        <f>Montagem!AW140</f>
        <v/>
      </c>
      <c r="AO64" s="110" t="str">
        <f>Montagem!AX140</f>
        <v/>
      </c>
      <c r="AP64" s="110" t="str">
        <f>Montagem!AY140</f>
        <v/>
      </c>
      <c r="AQ64" s="110" t="str">
        <f>Montagem!AZ140</f>
        <v/>
      </c>
      <c r="AR64" s="114"/>
      <c r="AS64" s="111">
        <f>Montagem!AO140</f>
        <v>1</v>
      </c>
      <c r="AT64" s="111" t="str">
        <f>Montagem!BA140</f>
        <v/>
      </c>
      <c r="AU64" s="111" t="str">
        <f>Montagem!AP140</f>
        <v/>
      </c>
      <c r="AV64" s="111" t="str">
        <f>Montagem!BB140</f>
        <v/>
      </c>
      <c r="AW64" s="106" t="str">
        <f>IF(AV64="",AT64,AV64)</f>
        <v/>
      </c>
      <c r="AX64" s="106" t="str">
        <f>IF(AT65="C",'Dados de Base'!$D$5*0.1,IF(AT65="E",5,IF(AR64="",AW64,AR64)))</f>
        <v/>
      </c>
      <c r="AY64" s="108"/>
      <c r="AZ64" s="115" t="str">
        <f>IF(BL64="","",HYPERLINK(OFFSET(Biblioteca!$B$2,MATCH(BL64,Biblioteca!$A$3:$A$200,0),0),BL64))</f>
        <v/>
      </c>
      <c r="BC64" s="109" t="str">
        <f>Montagem!BJ140</f>
        <v/>
      </c>
      <c r="BD64" s="110" t="str">
        <f>Montagem!BK140</f>
        <v/>
      </c>
      <c r="BE64" s="110" t="str">
        <f>Montagem!BL140</f>
        <v/>
      </c>
      <c r="BF64" s="110" t="str">
        <f>Montagem!BM140</f>
        <v/>
      </c>
      <c r="BG64" s="110" t="str">
        <f>Montagem!BN140</f>
        <v/>
      </c>
      <c r="BH64" s="110" t="str">
        <f>Montagem!BO140</f>
        <v/>
      </c>
      <c r="BI64" s="114"/>
      <c r="BJ64" s="111">
        <f>Montagem!BD140</f>
        <v>7</v>
      </c>
      <c r="BK64" s="111" t="str">
        <f>Montagem!BP140</f>
        <v/>
      </c>
      <c r="BL64" s="111" t="str">
        <f>Montagem!BE140</f>
        <v/>
      </c>
      <c r="BM64" s="111" t="str">
        <f>Montagem!BQ140</f>
        <v/>
      </c>
      <c r="BN64" s="106" t="str">
        <f>IF(BM64="",BK64,BM64)</f>
        <v/>
      </c>
      <c r="BO64" s="106" t="str">
        <f>IF(BK65="C",'Dados de Base'!$D$5*0.1,IF(BK65="E",5,IF(BI64="",BN64,BI64)))</f>
        <v/>
      </c>
      <c r="BP64" s="108"/>
      <c r="BQ64" s="115" t="str">
        <f>IF(CC64="","",HYPERLINK(OFFSET(Biblioteca!$B$2,MATCH(CC64,Biblioteca!$A$3:$A$200,0),0),CC64))</f>
        <v/>
      </c>
      <c r="BT64" s="109" t="str">
        <f>Montagem!BY140</f>
        <v/>
      </c>
      <c r="BU64" s="110" t="str">
        <f>Montagem!BZ140</f>
        <v/>
      </c>
      <c r="BV64" s="110" t="str">
        <f>Montagem!CA140</f>
        <v/>
      </c>
      <c r="BW64" s="110" t="str">
        <f>Montagem!CB140</f>
        <v/>
      </c>
      <c r="BX64" s="110" t="str">
        <f>Montagem!CC140</f>
        <v/>
      </c>
      <c r="BY64" s="110" t="str">
        <f>Montagem!CD140</f>
        <v/>
      </c>
      <c r="BZ64" s="114"/>
      <c r="CA64" s="111">
        <f>Montagem!BS140</f>
        <v>8</v>
      </c>
      <c r="CB64" s="111" t="str">
        <f>Montagem!CE140</f>
        <v/>
      </c>
      <c r="CC64" s="111" t="str">
        <f>Montagem!BT140</f>
        <v/>
      </c>
      <c r="CD64" s="111" t="str">
        <f>Montagem!CF140</f>
        <v/>
      </c>
      <c r="CE64" s="106" t="str">
        <f>IF(CD64="",CB64,CD64)</f>
        <v/>
      </c>
      <c r="CF64" s="106" t="str">
        <f>IF(CB65="C",'Dados de Base'!$D$5*0.1,IF(CB65="E",5,IF(BZ64="",CE64,BZ64)))</f>
        <v/>
      </c>
      <c r="CG64" s="108"/>
      <c r="CH64" s="115" t="str">
        <f>IF(CT64="","",HYPERLINK(OFFSET(Biblioteca!$B$2,MATCH(CT64,Biblioteca!$A$3:$A$200,0),0),CT64))</f>
        <v/>
      </c>
      <c r="CK64" s="109" t="str">
        <f>Montagem!CN140</f>
        <v/>
      </c>
      <c r="CL64" s="110" t="str">
        <f>Montagem!CO140</f>
        <v/>
      </c>
      <c r="CM64" s="110" t="str">
        <f>Montagem!CP140</f>
        <v/>
      </c>
      <c r="CN64" s="110" t="str">
        <f>Montagem!CQ140</f>
        <v/>
      </c>
      <c r="CO64" s="110" t="str">
        <f>Montagem!CR140</f>
        <v/>
      </c>
      <c r="CP64" s="110" t="str">
        <f>Montagem!CS140</f>
        <v/>
      </c>
      <c r="CQ64" s="114"/>
      <c r="CR64" s="111">
        <f>Montagem!CH140</f>
        <v>1</v>
      </c>
      <c r="CS64" s="111" t="str">
        <f>Montagem!CT140</f>
        <v/>
      </c>
      <c r="CT64" s="111" t="str">
        <f>Montagem!CI140</f>
        <v/>
      </c>
      <c r="CU64" s="145" t="str">
        <f>Montagem!CU140</f>
        <v/>
      </c>
      <c r="CV64" s="106" t="str">
        <f>IF(CU64="",CS64,CU64)</f>
        <v/>
      </c>
      <c r="CW64" s="106" t="str">
        <f>IF(CS65="C",'Dados de Base'!$D$5*0.1,IF(CS65="E",5,IF(CQ64="",CV64,CQ64)))</f>
        <v/>
      </c>
      <c r="CX64" s="108"/>
      <c r="CY64" s="115" t="str">
        <f>IF(DK64="","",HYPERLINK(OFFSET(Biblioteca!$B$2,MATCH(DK64,Biblioteca!$A$3:$A$200,0),0),DK64))</f>
        <v/>
      </c>
      <c r="DB64" s="130" t="str">
        <f>Montagem!DC140</f>
        <v/>
      </c>
      <c r="DC64" s="131" t="str">
        <f>Montagem!DD140</f>
        <v/>
      </c>
      <c r="DD64" s="131" t="str">
        <f>Montagem!DE140</f>
        <v/>
      </c>
      <c r="DE64" s="131" t="str">
        <f>Montagem!DF140</f>
        <v/>
      </c>
      <c r="DF64" s="131" t="str">
        <f>Montagem!DG140</f>
        <v/>
      </c>
      <c r="DG64" s="131" t="str">
        <f>Montagem!DH140</f>
        <v/>
      </c>
      <c r="DH64" s="114"/>
      <c r="DI64" s="111">
        <f>Montagem!CW140</f>
        <v>1</v>
      </c>
      <c r="DJ64" s="111" t="str">
        <f>Montagem!DI140</f>
        <v/>
      </c>
      <c r="DK64" s="111" t="str">
        <f>Montagem!CX140</f>
        <v/>
      </c>
      <c r="DL64" s="111" t="str">
        <f>Montagem!DJ140</f>
        <v/>
      </c>
      <c r="DM64" s="106" t="str">
        <f>IF(DL64="",DJ64,DL64)</f>
        <v/>
      </c>
      <c r="DN64" s="106" t="str">
        <f>IF(DJ65="C",'Dados de Base'!$D$5*0.1,IF(DJ65="E",5,IF(DH64="",DM64,DH64)))</f>
        <v/>
      </c>
      <c r="DO64" s="108"/>
      <c r="DP64" s="106"/>
      <c r="DQ64" s="106"/>
      <c r="DR64" s="106"/>
      <c r="DS64" s="106"/>
      <c r="DT64" s="106"/>
      <c r="DU64" s="106"/>
      <c r="DV64" s="106"/>
      <c r="DW64" s="106"/>
      <c r="DX64" s="106"/>
      <c r="DY64" s="106"/>
    </row>
    <row r="65">
      <c r="A65" s="117" t="str">
        <f>IF(A64="","",IFS(L65="A",Montagem!$C$130,N65="T","Realizar a maior quantidade de repetições por "&amp;F64&amp;" segundos | ",N65="I",IF(M65="U","Manter a posição por "&amp;F64&amp;" segundos de um lado e trocar para o outro na sequência | ","Manter a posição por "&amp;F64&amp;" segundos | "),M65="A","Realizar alternadamente "&amp;F64&amp;" repetições cada lado | ",M65="U","Realizar "&amp;F64&amp;" repetições de um lado e trocar para o outro na sequência | ",L65="P",OFFSET(Biblioteca!$H$2,MATCH(M64,Biblioteca!$A$3:$A$200,0),0),TRUE,"")&amp;IF(N65="R","Ajuste a carga para que tenha "&amp;$K$2&amp;" repetições de reserva",""))</f>
        <v/>
      </c>
      <c r="E65" s="118" t="str">
        <f>IF(A64="","",IFS(L65="H","Carga Sugerida: "&amp;ROUNDUP(O64/2,0)&amp;" kg de cada lado (Total: "&amp;ROUNDUP(O64/2,0)*2&amp;" kg)",L65="C","Este exercício usa o Peso Corporal como carga",L65="E","Este exercício usa a resistência da banda elástica como carga",L65="O","Carga Sugerida: "&amp;INT(O64)&amp;" kg",TRUE,""))</f>
        <v/>
      </c>
      <c r="J65" s="66"/>
      <c r="K65" s="106">
        <f>K64</f>
        <v>11</v>
      </c>
      <c r="L65" s="120" t="str">
        <f>LEFT(O65)</f>
        <v/>
      </c>
      <c r="M65" s="121" t="str">
        <f>MID(O65,2,1)</f>
        <v/>
      </c>
      <c r="N65" s="122" t="str">
        <f>RIGHT(O65)</f>
        <v/>
      </c>
      <c r="O65" s="123" t="str">
        <f>IF(M64="","",OFFSET(Biblioteca!$I$2,MATCH(M64,Biblioteca!$A$3:$A$200,0),0))</f>
        <v/>
      </c>
      <c r="P65" s="124"/>
      <c r="Q65" s="125"/>
      <c r="R65" s="117" t="str">
        <f>IF(R64="","",IFS(AC65="A",Montagem!$D$130,AE65="T","Realizar a maior quantidade de repetições por "&amp;W64&amp;" segundos | ",AE65="I",IF(AD65="U","Manter a posição por "&amp;W64&amp;" segundos de um lado e trocar para o outro na sequência | ","Manter a posição por "&amp;W64&amp;" segundos | "),AD65="A","Realizar alternadamente "&amp;W64&amp;" repetições cada lado | ",AD65="U","Realizar "&amp;W64&amp;" repetições de um lado e trocar para o outro na sequência | ",AC65="P",OFFSET(Biblioteca!$H$2,MATCH(AD64,Biblioteca!$A$3:$A$200,0),0),TRUE,"")&amp;IF(AE65="R","Ajuste a carga para que tenha "&amp;$K$2&amp;" repetições de reserva",""))</f>
        <v/>
      </c>
      <c r="V65" s="118" t="str">
        <f>IF(R64="","",IFS(AC65="H","Carga Sugerida: "&amp;ROUNDUP(AF64/2,0)&amp;" kg de cada lado (Total: "&amp;ROUNDUP(AF64/2,0)*2&amp;" kg)",AC65="C","Este exercício usa o Peso Corporal como carga",AC65="E","Este exercício usa a resistência da banda elástica como carga",AC65="O","Carga Sugerida: "&amp;INT(AF64)&amp;" kg",TRUE,""))</f>
        <v/>
      </c>
      <c r="AA65" s="66"/>
      <c r="AB65" s="126">
        <f>AB64</f>
        <v>11</v>
      </c>
      <c r="AC65" s="120" t="str">
        <f>LEFT(AF65)</f>
        <v/>
      </c>
      <c r="AD65" s="121" t="str">
        <f>MID(AF65,2,1)</f>
        <v/>
      </c>
      <c r="AE65" s="122" t="str">
        <f>RIGHT(AF65)</f>
        <v/>
      </c>
      <c r="AF65" s="123" t="str">
        <f>IF(AD64="","",OFFSET(Biblioteca!$I$2,MATCH(AD64,Biblioteca!$A$3:$A$200,0),0))</f>
        <v/>
      </c>
      <c r="AG65" s="124"/>
      <c r="AH65" s="125"/>
      <c r="AI65" s="117" t="str">
        <f>IF(AI64="","",IFS(AT65="A",Montagem!$E$130,AV65="T","Realizar a maior quantidade de repetições por "&amp;AN64&amp;" segundos | ",AV65="I",IF(AU65="U","Manter a posição por "&amp;AN64&amp;" segundos de um lado e trocar para o outro na sequência | ","Manter a posição por "&amp;AN64&amp;" segundos | "),AU65="A","Realizar alternadamente "&amp;AN64&amp;" repetições cada lado | ",AU65="U","Realizar "&amp;AN64&amp;" repetições de um lado e trocar para o outro na sequência | ",AT65="P",OFFSET(Biblioteca!$H$2,MATCH(AU64,Biblioteca!$A$3:$A$200,0),0),TRUE,"")&amp;IF(AV65="R","Ajuste a carga para que tenha "&amp;$K$2&amp;" repetições de reserva",""))</f>
        <v/>
      </c>
      <c r="AM65" s="118" t="str">
        <f>IF(AI64="","",IFS(AT65="H","Carga Sugerida: "&amp;ROUNDUP(AW64/2,0)&amp;" kg de cada lado (Total: "&amp;ROUNDUP(AW64/2,0)*2&amp;" kg)",AT65="C","Este exercício usa o Peso Corporal como carga",AT65="E","Este exercício usa a resistência da banda elástica como carga",AT65="O","Carga Sugerida: "&amp;INT(AW64)&amp;" kg",TRUE,""))</f>
        <v/>
      </c>
      <c r="AR65" s="66"/>
      <c r="AS65" s="126">
        <f>AS64</f>
        <v>1</v>
      </c>
      <c r="AT65" s="120" t="str">
        <f>LEFT(AW65)</f>
        <v/>
      </c>
      <c r="AU65" s="121" t="str">
        <f>MID(AW65,2,1)</f>
        <v/>
      </c>
      <c r="AV65" s="122" t="str">
        <f>RIGHT(AW65)</f>
        <v/>
      </c>
      <c r="AW65" s="123" t="str">
        <f>IF(AU64="","",OFFSET(Biblioteca!$I$2,MATCH(AU64,Biblioteca!$A$3:$A$200,0),0))</f>
        <v/>
      </c>
      <c r="AX65" s="124"/>
      <c r="AY65" s="125"/>
      <c r="AZ65" s="117" t="str">
        <f>IF(AZ64="","",IFS(BK65="A",Montagem!$F$130,BM65="T","Realizar a maior quantidade de repetições por "&amp;BE64&amp;" segundos | ",BM65="I",IF(BL65="U","Manter a posição por "&amp;BE64&amp;" segundos de um lado e trocar para o outro na sequência | ","Manter a posição por "&amp;BE64&amp;" segundos | "),BL65="A","Realizar alternadamente "&amp;BE64&amp;" repetições cada lado | ",BL65="U","Realizar "&amp;BE64&amp;" repetições de um lado e trocar para o outro na sequência | ",BK65="P",OFFSET(Biblioteca!$H$2,MATCH(BL64,Biblioteca!$A$3:$A$200,0),0),TRUE,"")&amp;IF(BM65="R","Ajuste a carga para que tenha "&amp;$K$2&amp;" repetições de reserva",""))</f>
        <v/>
      </c>
      <c r="BD65" s="118" t="str">
        <f>IF(AZ64="","",IFS(BK65="H","Carga Sugerida: "&amp;ROUNDUP(BN64/2,0)&amp;" kg de cada lado (Total: "&amp;ROUNDUP(BN64/2,0)*2&amp;" kg)",BK65="C","Este exercício usa o Peso Corporal como carga",BK65="E","Este exercício usa a resistência da banda elástica como carga",BK65="O","Carga Sugerida: "&amp;INT(BN64)&amp;" kg",TRUE,""))</f>
        <v/>
      </c>
      <c r="BI65" s="66"/>
      <c r="BJ65" s="126">
        <f>BJ64</f>
        <v>7</v>
      </c>
      <c r="BK65" s="120" t="str">
        <f>LEFT(BN65)</f>
        <v/>
      </c>
      <c r="BL65" s="121" t="str">
        <f>MID(BN65,2,1)</f>
        <v/>
      </c>
      <c r="BM65" s="122" t="str">
        <f>RIGHT(BN65)</f>
        <v/>
      </c>
      <c r="BN65" s="123" t="str">
        <f>IF(BL64="","",OFFSET(Biblioteca!$I$2,MATCH(BL64,Biblioteca!$A$3:$A$200,0),0))</f>
        <v/>
      </c>
      <c r="BO65" s="124"/>
      <c r="BP65" s="125"/>
      <c r="BQ65" s="117" t="str">
        <f>IF(BQ64="","",IFS(CB65="A",Montagem!$G$130,CD65="T","Realizar a maior quantidade de repetições por "&amp;BV64&amp;" segundos | ",CD65="I",IF(CC65="U","Manter a posição por "&amp;BV64&amp;" segundos de um lado e trocar para o outro na sequência | ","Manter a posição por "&amp;BV64&amp;" segundos | "),CC65="A","Realizar alternadamente "&amp;BV64&amp;" repetições cada lado | ",CC65="U","Realizar "&amp;BV64&amp;" repetições de um lado e trocar para o outro na sequência | ",CB65="P",OFFSET(Biblioteca!$H$2,MATCH(CC64,Biblioteca!$A$3:$A$200,0),0),TRUE,"")&amp;IF(CD65="R","Ajuste a carga para que tenha "&amp;$K$2&amp;" repetições de reserva",""))</f>
        <v/>
      </c>
      <c r="BU65" s="118" t="str">
        <f>IF(BQ64="","",IFS(CB65="H","Carga Sugerida: "&amp;ROUNDUP(CE64/2,0)&amp;" kg de cada lado (Total: "&amp;ROUNDUP(CE64/2,0)*2&amp;" kg)",CB65="C","Este exercício usa o Peso Corporal como carga",CB65="E","Este exercício usa a resistência da banda elástica como carga",CB65="O","Carga Sugerida: "&amp;INT(CE64)&amp;" kg",TRUE,""))</f>
        <v/>
      </c>
      <c r="BZ65" s="66"/>
      <c r="CA65" s="126">
        <f>CA64</f>
        <v>8</v>
      </c>
      <c r="CB65" s="120" t="str">
        <f>LEFT(CE65)</f>
        <v/>
      </c>
      <c r="CC65" s="121" t="str">
        <f>MID(CE65,2,1)</f>
        <v/>
      </c>
      <c r="CD65" s="122" t="str">
        <f>RIGHT(CE65)</f>
        <v/>
      </c>
      <c r="CE65" s="123" t="str">
        <f>IF(CC64="","",OFFSET(Biblioteca!$I$2,MATCH(CC64,Biblioteca!$A$3:$A$200,0),0))</f>
        <v/>
      </c>
      <c r="CF65" s="124"/>
      <c r="CG65" s="125"/>
      <c r="CH65" s="117" t="str">
        <f>IF(CH64="","",IFS(CS65="A",Montagem!$H$130,CU65="T","Realizar a maior quantidade de repetições por "&amp;CM64&amp;" segundos | ",CU65="I",IF(CT65="U","Manter a posição por "&amp;CM64&amp;" segundos de um lado e trocar para o outro na sequência | ","Manter a posição por "&amp;CM64&amp;" segundos | "),CT65="A","Realizar alternadamente "&amp;CM64&amp;" repetições cada lado | ",CT65="U","Realizar "&amp;CM64&amp;" repetições de um lado e trocar para o outro na sequência | ",CS65="P",OFFSET(Biblioteca!$H$2,MATCH(CT64,Biblioteca!$A$3:$A$200,0),0),TRUE,"")&amp;IF(CU65="R","Ajuste a carga para que tenha "&amp;$K$2&amp;" repetições de reserva",""))</f>
        <v/>
      </c>
      <c r="CL65" s="118" t="str">
        <f>IF(CH64="","",IFS(CS65="H","Carga Sugerida: "&amp;ROUNDUP(CV64/2,0)&amp;" kg de cada lado (Total: "&amp;ROUNDUP(CV64/2,0)*2&amp;" kg)",CS65="C","Este exercício usa o Peso Corporal como carga",CS65="E","Este exercício usa a resistência da banda elástica como carga",CS65="O","Carga Sugerida: "&amp;INT(CV64)&amp;" kg",TRUE,""))</f>
        <v/>
      </c>
      <c r="CQ65" s="66"/>
      <c r="CR65" s="126">
        <f>CR64</f>
        <v>1</v>
      </c>
      <c r="CS65" s="120" t="str">
        <f>LEFT(CV65)</f>
        <v/>
      </c>
      <c r="CT65" s="121" t="str">
        <f>MID(CV65,2,1)</f>
        <v/>
      </c>
      <c r="CU65" s="122" t="str">
        <f>RIGHT(CV65)</f>
        <v/>
      </c>
      <c r="CV65" s="123" t="str">
        <f>IF(CT64="","",OFFSET(Biblioteca!$I$2,MATCH(CT64,Biblioteca!$A$3:$A$200,0),0))</f>
        <v/>
      </c>
      <c r="CW65" s="124"/>
      <c r="CX65" s="125"/>
      <c r="CY65" s="117" t="str">
        <f>IF(CY64="","",IFS(DJ65="A",Montagem!$I$130,DL65="T","Realizar a maior quantidade de repetições por "&amp;DD64&amp;" segundos | ",DL65="I",IF(DK65="U","Manter a posição por "&amp;DD64&amp;" segundos de um lado e trocar para o outro na sequência | ","Manter a posição por "&amp;DD64&amp;" segundos | "),DK65="A","Realizar alternadamente "&amp;DD64&amp;" repetições cada lado | ",DK65="U","Realizar "&amp;DD64&amp;" repetições de um lado e trocar para o outro na sequência | ",DJ65="P",OFFSET(Biblioteca!$H$2,MATCH(DK64,Biblioteca!$A$3:$A$200,0),0),TRUE,"")&amp;IF(DL65="R","Ajuste a carga para que tenha "&amp;$K$2&amp;" repetições de reserva",""))</f>
        <v/>
      </c>
      <c r="DC65" s="118" t="str">
        <f>IF(CY64="","",IFS(DJ65="H","Carga Sugerida: "&amp;ROUNDUP(DM64/2,0)&amp;" kg de cada lado (Total: "&amp;ROUNDUP(DM64/2,0)*2&amp;" kg)",DJ65="C","Este exercício usa o Peso Corporal como carga",DJ65="E","Este exercício usa a resistência da banda elástica como carga",DJ65="O","Carga Sugerida: "&amp;INT(DM64)&amp;" kg",TRUE,""))</f>
        <v/>
      </c>
      <c r="DH65" s="66"/>
      <c r="DI65" s="126">
        <f>DI64</f>
        <v>1</v>
      </c>
      <c r="DJ65" s="120" t="str">
        <f>LEFT(DM65)</f>
        <v/>
      </c>
      <c r="DK65" s="121" t="str">
        <f>MID(DM65,2,1)</f>
        <v/>
      </c>
      <c r="DL65" s="122" t="str">
        <f>RIGHT(DM65)</f>
        <v/>
      </c>
      <c r="DM65" s="123" t="str">
        <f>IF(DK64="","",OFFSET(Biblioteca!$I$2,MATCH(DK64,Biblioteca!$A$3:$A$200,0),0))</f>
        <v/>
      </c>
      <c r="DN65" s="124"/>
      <c r="DO65" s="125"/>
      <c r="DP65" s="142"/>
      <c r="DQ65" s="56"/>
      <c r="DR65" s="56"/>
      <c r="DS65" s="56"/>
      <c r="DT65" s="56"/>
      <c r="DU65" s="56"/>
      <c r="DV65" s="56"/>
      <c r="DW65" s="56"/>
      <c r="DX65" s="56"/>
      <c r="DY65" s="56"/>
    </row>
    <row r="66">
      <c r="A66" s="90" t="s">
        <v>48</v>
      </c>
      <c r="J66" s="66"/>
      <c r="K66" s="142"/>
      <c r="L66" s="138"/>
      <c r="M66" s="138"/>
      <c r="N66" s="138"/>
      <c r="O66" s="57" t="str">
        <f>IF(N66="",L66,N66)</f>
        <v/>
      </c>
      <c r="P66" s="57"/>
      <c r="Q66" s="153"/>
      <c r="R66" s="90" t="s">
        <v>48</v>
      </c>
      <c r="AA66" s="66"/>
      <c r="AB66" s="138"/>
      <c r="AC66" s="138"/>
      <c r="AD66" s="138"/>
      <c r="AE66" s="138"/>
      <c r="AF66" s="57" t="str">
        <f>IF(AE66="",AC66,AE66)</f>
        <v/>
      </c>
      <c r="AG66" s="57"/>
      <c r="AH66" s="153"/>
      <c r="AI66" s="90" t="s">
        <v>48</v>
      </c>
      <c r="AR66" s="66"/>
      <c r="AS66" s="138"/>
      <c r="AT66" s="138"/>
      <c r="AU66" s="138"/>
      <c r="AV66" s="138"/>
      <c r="AW66" s="57" t="str">
        <f>IF(AV66="",AT66,AV66)</f>
        <v/>
      </c>
      <c r="AX66" s="57"/>
      <c r="AY66" s="153"/>
      <c r="AZ66" s="90" t="s">
        <v>48</v>
      </c>
      <c r="BI66" s="66"/>
      <c r="BJ66" s="138"/>
      <c r="BK66" s="138"/>
      <c r="BL66" s="138"/>
      <c r="BM66" s="138"/>
      <c r="BN66" s="57" t="str">
        <f>IF(BM66="",BK66,BM66)</f>
        <v/>
      </c>
      <c r="BO66" s="57"/>
      <c r="BP66" s="153"/>
      <c r="BQ66" s="90" t="s">
        <v>48</v>
      </c>
      <c r="BZ66" s="66"/>
      <c r="CA66" s="138"/>
      <c r="CB66" s="138"/>
      <c r="CC66" s="138"/>
      <c r="CD66" s="138"/>
      <c r="CE66" s="57" t="str">
        <f>IF(CD66="",CB66,CD66)</f>
        <v/>
      </c>
      <c r="CF66" s="57"/>
      <c r="CG66" s="153"/>
      <c r="CH66" s="90" t="s">
        <v>48</v>
      </c>
      <c r="CQ66" s="66"/>
      <c r="CR66" s="138"/>
      <c r="CS66" s="138"/>
      <c r="CT66" s="138"/>
      <c r="CU66" s="138"/>
      <c r="CV66" s="57" t="str">
        <f>IF(CU66="",CS66,CU66)</f>
        <v/>
      </c>
      <c r="CW66" s="57"/>
      <c r="CX66" s="153"/>
      <c r="CY66" s="90" t="s">
        <v>48</v>
      </c>
      <c r="DH66" s="66"/>
      <c r="DI66" s="138"/>
      <c r="DJ66" s="138"/>
      <c r="DK66" s="138"/>
      <c r="DL66" s="138"/>
      <c r="DM66" s="57" t="str">
        <f>IF(DL66="",DJ66,DL66)</f>
        <v/>
      </c>
      <c r="DN66" s="57"/>
      <c r="DO66" s="153"/>
      <c r="DP66" s="142"/>
      <c r="DQ66" s="56"/>
      <c r="DR66" s="56"/>
      <c r="DS66" s="56"/>
      <c r="DT66" s="56"/>
      <c r="DU66" s="56"/>
      <c r="DV66" s="56"/>
      <c r="DW66" s="56"/>
      <c r="DX66" s="56"/>
      <c r="DY66" s="56"/>
    </row>
    <row r="67">
      <c r="A67" s="96" t="s">
        <v>31</v>
      </c>
      <c r="D67" s="97" t="s">
        <v>32</v>
      </c>
      <c r="E67" s="98" t="s">
        <v>33</v>
      </c>
      <c r="F67" s="98" t="s">
        <v>34</v>
      </c>
      <c r="G67" s="98" t="s">
        <v>35</v>
      </c>
      <c r="H67" s="98" t="s">
        <v>36</v>
      </c>
      <c r="I67" s="98" t="s">
        <v>37</v>
      </c>
      <c r="J67" s="99" t="s">
        <v>38</v>
      </c>
      <c r="K67" s="142" t="str">
        <f>K66</f>
        <v/>
      </c>
      <c r="L67" s="138"/>
      <c r="M67" s="138"/>
      <c r="N67" s="138"/>
      <c r="O67" s="138"/>
      <c r="P67" s="138"/>
      <c r="Q67" s="153"/>
      <c r="R67" s="96" t="s">
        <v>31</v>
      </c>
      <c r="U67" s="139" t="s">
        <v>32</v>
      </c>
      <c r="V67" s="140" t="s">
        <v>33</v>
      </c>
      <c r="W67" s="140" t="s">
        <v>34</v>
      </c>
      <c r="X67" s="140" t="s">
        <v>35</v>
      </c>
      <c r="Y67" s="140" t="s">
        <v>36</v>
      </c>
      <c r="Z67" s="140" t="s">
        <v>37</v>
      </c>
      <c r="AA67" s="141" t="s">
        <v>38</v>
      </c>
      <c r="AB67" s="138" t="str">
        <f>AB66</f>
        <v/>
      </c>
      <c r="AC67" s="138"/>
      <c r="AD67" s="138"/>
      <c r="AE67" s="138"/>
      <c r="AF67" s="138"/>
      <c r="AG67" s="138"/>
      <c r="AH67" s="153"/>
      <c r="AI67" s="96" t="s">
        <v>31</v>
      </c>
      <c r="AL67" s="139" t="s">
        <v>32</v>
      </c>
      <c r="AM67" s="140" t="s">
        <v>33</v>
      </c>
      <c r="AN67" s="140" t="s">
        <v>34</v>
      </c>
      <c r="AO67" s="140" t="s">
        <v>35</v>
      </c>
      <c r="AP67" s="140" t="s">
        <v>36</v>
      </c>
      <c r="AQ67" s="140" t="s">
        <v>37</v>
      </c>
      <c r="AR67" s="141" t="s">
        <v>38</v>
      </c>
      <c r="AS67" s="138"/>
      <c r="AT67" s="138"/>
      <c r="AU67" s="138"/>
      <c r="AV67" s="138"/>
      <c r="AW67" s="138"/>
      <c r="AX67" s="138"/>
      <c r="AY67" s="153"/>
      <c r="AZ67" s="96" t="s">
        <v>31</v>
      </c>
      <c r="BC67" s="139" t="s">
        <v>32</v>
      </c>
      <c r="BD67" s="140" t="s">
        <v>33</v>
      </c>
      <c r="BE67" s="140" t="s">
        <v>34</v>
      </c>
      <c r="BF67" s="140" t="s">
        <v>35</v>
      </c>
      <c r="BG67" s="140" t="s">
        <v>36</v>
      </c>
      <c r="BH67" s="140" t="s">
        <v>37</v>
      </c>
      <c r="BI67" s="141" t="s">
        <v>38</v>
      </c>
      <c r="BJ67" s="138"/>
      <c r="BK67" s="138"/>
      <c r="BL67" s="138"/>
      <c r="BM67" s="138"/>
      <c r="BN67" s="138"/>
      <c r="BO67" s="138"/>
      <c r="BP67" s="153"/>
      <c r="BQ67" s="96" t="s">
        <v>31</v>
      </c>
      <c r="BT67" s="139" t="s">
        <v>32</v>
      </c>
      <c r="BU67" s="140" t="s">
        <v>33</v>
      </c>
      <c r="BV67" s="140" t="s">
        <v>34</v>
      </c>
      <c r="BW67" s="140" t="s">
        <v>35</v>
      </c>
      <c r="BX67" s="140" t="s">
        <v>36</v>
      </c>
      <c r="BY67" s="140" t="s">
        <v>37</v>
      </c>
      <c r="BZ67" s="141" t="s">
        <v>38</v>
      </c>
      <c r="CA67" s="138"/>
      <c r="CB67" s="138"/>
      <c r="CC67" s="138"/>
      <c r="CD67" s="138"/>
      <c r="CE67" s="138"/>
      <c r="CF67" s="138"/>
      <c r="CG67" s="153"/>
      <c r="CH67" s="96" t="s">
        <v>31</v>
      </c>
      <c r="CK67" s="139" t="s">
        <v>32</v>
      </c>
      <c r="CL67" s="140" t="s">
        <v>33</v>
      </c>
      <c r="CM67" s="140" t="s">
        <v>34</v>
      </c>
      <c r="CN67" s="140" t="s">
        <v>35</v>
      </c>
      <c r="CO67" s="140" t="s">
        <v>36</v>
      </c>
      <c r="CP67" s="140" t="s">
        <v>37</v>
      </c>
      <c r="CQ67" s="141" t="s">
        <v>38</v>
      </c>
      <c r="CR67" s="138"/>
      <c r="CS67" s="138"/>
      <c r="CT67" s="138"/>
      <c r="CU67" s="138"/>
      <c r="CV67" s="138"/>
      <c r="CW67" s="138"/>
      <c r="CX67" s="153"/>
      <c r="CY67" s="96" t="s">
        <v>31</v>
      </c>
      <c r="DB67" s="139" t="s">
        <v>32</v>
      </c>
      <c r="DC67" s="140" t="s">
        <v>33</v>
      </c>
      <c r="DD67" s="140" t="s">
        <v>34</v>
      </c>
      <c r="DE67" s="140" t="s">
        <v>35</v>
      </c>
      <c r="DF67" s="140" t="s">
        <v>36</v>
      </c>
      <c r="DG67" s="140" t="s">
        <v>37</v>
      </c>
      <c r="DH67" s="141" t="s">
        <v>38</v>
      </c>
      <c r="DI67" s="138"/>
      <c r="DJ67" s="138"/>
      <c r="DK67" s="138"/>
      <c r="DL67" s="138"/>
      <c r="DM67" s="138"/>
      <c r="DN67" s="138"/>
      <c r="DO67" s="153"/>
      <c r="DP67" s="57"/>
      <c r="DQ67" s="56"/>
      <c r="DR67" s="56"/>
      <c r="DS67" s="56"/>
      <c r="DT67" s="56"/>
      <c r="DU67" s="56"/>
      <c r="DV67" s="56"/>
      <c r="DW67" s="56"/>
      <c r="DX67" s="56"/>
      <c r="DY67" s="56"/>
    </row>
    <row r="68">
      <c r="A68" s="115" t="str">
        <f>IF(M68="","",HYPERLINK(OFFSET(Biblioteca!$B$2,MATCH(M68,Biblioteca!$A$3:$A$200,0),0),M68))</f>
        <v/>
      </c>
      <c r="D68" s="103" t="str">
        <f>Montagem!Q142</f>
        <v/>
      </c>
      <c r="E68" s="104" t="str">
        <f>Montagem!R142</f>
        <v/>
      </c>
      <c r="F68" s="104" t="str">
        <f>Montagem!S142</f>
        <v/>
      </c>
      <c r="G68" s="104" t="str">
        <f>Montagem!T142</f>
        <v/>
      </c>
      <c r="H68" s="104" t="str">
        <f>Montagem!U142</f>
        <v/>
      </c>
      <c r="I68" s="104" t="str">
        <f>Montagem!V142</f>
        <v/>
      </c>
      <c r="J68" s="144"/>
      <c r="K68" s="106">
        <f>Montagem!K142</f>
        <v>1</v>
      </c>
      <c r="L68" s="111" t="str">
        <f>Montagem!W142</f>
        <v/>
      </c>
      <c r="M68" s="111" t="str">
        <f>Montagem!L142</f>
        <v/>
      </c>
      <c r="N68" s="111" t="str">
        <f>Montagem!X142</f>
        <v/>
      </c>
      <c r="O68" s="106" t="str">
        <f>IF(N68="",L68,N68)</f>
        <v/>
      </c>
      <c r="P68" s="106" t="str">
        <f>IF(L69="C",'Dados de Base'!$D$5*0.1,IF(L69="E",5,IF(J68="",O68,J68)))</f>
        <v/>
      </c>
      <c r="Q68" s="108"/>
      <c r="R68" s="115" t="str">
        <f>IF(AD68="","",HYPERLINK(OFFSET(Biblioteca!$B$2,MATCH(AD68,Biblioteca!$A$3:$A$200,0),0),AD68))</f>
        <v/>
      </c>
      <c r="U68" s="109" t="str">
        <f>Montagem!AF142</f>
        <v/>
      </c>
      <c r="V68" s="110" t="str">
        <f>Montagem!AG142</f>
        <v/>
      </c>
      <c r="W68" s="110" t="str">
        <f>Montagem!AH142</f>
        <v/>
      </c>
      <c r="X68" s="110" t="str">
        <f>Montagem!AI142</f>
        <v/>
      </c>
      <c r="Y68" s="110" t="str">
        <f>Montagem!AJ142</f>
        <v/>
      </c>
      <c r="Z68" s="110" t="str">
        <f>Montagem!AK142</f>
        <v/>
      </c>
      <c r="AA68" s="114"/>
      <c r="AB68" s="111">
        <f>Montagem!Z142</f>
        <v>1</v>
      </c>
      <c r="AC68" s="111" t="str">
        <f>Montagem!AL142</f>
        <v/>
      </c>
      <c r="AD68" s="129" t="str">
        <f>Montagem!AA142</f>
        <v/>
      </c>
      <c r="AE68" s="111" t="str">
        <f>Montagem!AM142</f>
        <v/>
      </c>
      <c r="AF68" s="106" t="str">
        <f>IF(AE68="",AC68,AE68)</f>
        <v/>
      </c>
      <c r="AG68" s="106" t="str">
        <f>IF(AC69="C",'Dados de Base'!$D$5*0.1,IF(AC69="E",5,IF(AA68="",AF68,AA68)))</f>
        <v/>
      </c>
      <c r="AH68" s="108"/>
      <c r="AI68" s="115" t="str">
        <f>IF(AU68="","",HYPERLINK(OFFSET(Biblioteca!$B$2,MATCH(AU68,Biblioteca!$A$3:$A$200,0),0),AU68))</f>
        <v/>
      </c>
      <c r="AL68" s="109" t="str">
        <f>Montagem!AU142</f>
        <v/>
      </c>
      <c r="AM68" s="110" t="str">
        <f>Montagem!AV142</f>
        <v/>
      </c>
      <c r="AN68" s="110" t="str">
        <f>Montagem!AW142</f>
        <v/>
      </c>
      <c r="AO68" s="110" t="str">
        <f>Montagem!AX142</f>
        <v/>
      </c>
      <c r="AP68" s="110" t="str">
        <f>Montagem!AY142</f>
        <v/>
      </c>
      <c r="AQ68" s="110" t="str">
        <f>Montagem!AZ142</f>
        <v/>
      </c>
      <c r="AR68" s="114"/>
      <c r="AS68" s="111">
        <f>Montagem!AO142</f>
        <v>1</v>
      </c>
      <c r="AT68" s="111" t="str">
        <f>Montagem!BA142</f>
        <v/>
      </c>
      <c r="AU68" s="111" t="str">
        <f>Montagem!AP142</f>
        <v/>
      </c>
      <c r="AV68" s="111" t="str">
        <f>Montagem!BB142</f>
        <v/>
      </c>
      <c r="AW68" s="106" t="str">
        <f>IF(AV68="",AT68,AV68)</f>
        <v/>
      </c>
      <c r="AX68" s="106" t="str">
        <f>IF(AT69="C",'Dados de Base'!$D$5*0.1,IF(AT69="E",5,IF(AR68="",AW68,AR68)))</f>
        <v/>
      </c>
      <c r="AY68" s="108"/>
      <c r="AZ68" s="115" t="str">
        <f>IF(BL68="","",HYPERLINK(OFFSET(Biblioteca!$B$2,MATCH(BL68,Biblioteca!$A$3:$A$200,0),0),BL68))</f>
        <v/>
      </c>
      <c r="BC68" s="109" t="str">
        <f>Montagem!BJ142</f>
        <v/>
      </c>
      <c r="BD68" s="110" t="str">
        <f>Montagem!BK142</f>
        <v/>
      </c>
      <c r="BE68" s="110" t="str">
        <f>Montagem!BL142</f>
        <v/>
      </c>
      <c r="BF68" s="110" t="str">
        <f>Montagem!BM142</f>
        <v/>
      </c>
      <c r="BG68" s="110" t="str">
        <f>Montagem!BN142</f>
        <v/>
      </c>
      <c r="BH68" s="110" t="str">
        <f>Montagem!BO142</f>
        <v/>
      </c>
      <c r="BI68" s="114"/>
      <c r="BJ68" s="111">
        <f>Montagem!BD142</f>
        <v>1</v>
      </c>
      <c r="BK68" s="111" t="str">
        <f>Montagem!BP142</f>
        <v/>
      </c>
      <c r="BL68" s="111" t="str">
        <f>Montagem!BE142</f>
        <v/>
      </c>
      <c r="BM68" s="111" t="str">
        <f>Montagem!BQ142</f>
        <v/>
      </c>
      <c r="BN68" s="106" t="str">
        <f>IF(BM68="",BK68,BM68)</f>
        <v/>
      </c>
      <c r="BO68" s="106" t="str">
        <f>IF(BK69="C",'Dados de Base'!$D$5*0.1,IF(BK69="E",5,IF(BI68="",BN68,BI68)))</f>
        <v/>
      </c>
      <c r="BP68" s="108"/>
      <c r="BQ68" s="115" t="str">
        <f>IF(CC68="","",HYPERLINK(OFFSET(Biblioteca!$B$2,MATCH(CC68,Biblioteca!$A$3:$A$200,0),0),CC68))</f>
        <v/>
      </c>
      <c r="BT68" s="109" t="str">
        <f>Montagem!BY142</f>
        <v/>
      </c>
      <c r="BU68" s="110" t="str">
        <f>Montagem!BZ142</f>
        <v/>
      </c>
      <c r="BV68" s="110" t="str">
        <f>Montagem!CA142</f>
        <v/>
      </c>
      <c r="BW68" s="110" t="str">
        <f>Montagem!CB142</f>
        <v/>
      </c>
      <c r="BX68" s="110" t="str">
        <f>Montagem!CC142</f>
        <v/>
      </c>
      <c r="BY68" s="110" t="str">
        <f>Montagem!CD142</f>
        <v/>
      </c>
      <c r="BZ68" s="114"/>
      <c r="CA68" s="111">
        <f>Montagem!BS142</f>
        <v>1</v>
      </c>
      <c r="CB68" s="111" t="str">
        <f>Montagem!CE142</f>
        <v/>
      </c>
      <c r="CC68" s="111" t="str">
        <f>Montagem!BT142</f>
        <v/>
      </c>
      <c r="CD68" s="111" t="str">
        <f>Montagem!CF142</f>
        <v/>
      </c>
      <c r="CE68" s="106" t="str">
        <f>IF(CD68="",CB68,CD68)</f>
        <v/>
      </c>
      <c r="CF68" s="106" t="str">
        <f>IF(CB69="C",'Dados de Base'!$D$5*0.1,IF(CB69="E",5,IF(BZ68="",CE68,BZ68)))</f>
        <v/>
      </c>
      <c r="CG68" s="108"/>
      <c r="CH68" s="115" t="str">
        <f>IF(CT68="","",HYPERLINK(OFFSET(Biblioteca!$B$2,MATCH(CT68,Biblioteca!$A$3:$A$200,0),0),CT68))</f>
        <v/>
      </c>
      <c r="CK68" s="109" t="str">
        <f>Montagem!CN142</f>
        <v/>
      </c>
      <c r="CL68" s="110" t="str">
        <f>Montagem!CO142</f>
        <v/>
      </c>
      <c r="CM68" s="110" t="str">
        <f>Montagem!CP142</f>
        <v/>
      </c>
      <c r="CN68" s="110" t="str">
        <f>Montagem!CQ142</f>
        <v/>
      </c>
      <c r="CO68" s="110" t="str">
        <f>Montagem!CR142</f>
        <v/>
      </c>
      <c r="CP68" s="110" t="str">
        <f>Montagem!CS142</f>
        <v/>
      </c>
      <c r="CQ68" s="114"/>
      <c r="CR68" s="111">
        <f>Montagem!CH142</f>
        <v>1</v>
      </c>
      <c r="CS68" s="111" t="str">
        <f>Montagem!CT142</f>
        <v/>
      </c>
      <c r="CT68" s="111" t="str">
        <f>Montagem!CI142</f>
        <v/>
      </c>
      <c r="CU68" s="145" t="str">
        <f>Montagem!CU142</f>
        <v/>
      </c>
      <c r="CV68" s="106" t="str">
        <f>IF(CU68="",CS68,CU68)</f>
        <v/>
      </c>
      <c r="CW68" s="106" t="str">
        <f>IF(CS69="C",'Dados de Base'!$D$5*0.1,IF(CS69="E",5,IF(CQ68="",CV68,CQ68)))</f>
        <v/>
      </c>
      <c r="CX68" s="108"/>
      <c r="CY68" s="115" t="str">
        <f>IF(DK68="","",HYPERLINK(OFFSET(Biblioteca!$B$2,MATCH(DK68,Biblioteca!$A$3:$A$200,0),0),DK68))</f>
        <v/>
      </c>
      <c r="DB68" s="130" t="str">
        <f>Montagem!DC142</f>
        <v/>
      </c>
      <c r="DC68" s="131" t="str">
        <f>Montagem!DD142</f>
        <v/>
      </c>
      <c r="DD68" s="131" t="str">
        <f>Montagem!DE142</f>
        <v/>
      </c>
      <c r="DE68" s="131" t="str">
        <f>Montagem!DF142</f>
        <v/>
      </c>
      <c r="DF68" s="131" t="str">
        <f>Montagem!DG142</f>
        <v/>
      </c>
      <c r="DG68" s="131" t="str">
        <f>Montagem!DH142</f>
        <v/>
      </c>
      <c r="DH68" s="114"/>
      <c r="DI68" s="111">
        <f>Montagem!CW142</f>
        <v>1</v>
      </c>
      <c r="DJ68" s="111" t="str">
        <f>Montagem!DI142</f>
        <v/>
      </c>
      <c r="DK68" s="111" t="str">
        <f>Montagem!CX142</f>
        <v/>
      </c>
      <c r="DL68" s="145" t="str">
        <f>Montagem!DJ142</f>
        <v/>
      </c>
      <c r="DM68" s="106" t="str">
        <f>IF(DL68="",DJ68,DL68)</f>
        <v/>
      </c>
      <c r="DN68" s="106" t="str">
        <f>IF(DJ69="C",'Dados de Base'!$D$5*0.1,IF(DJ69="E",5,IF(DH68="",DM68,DH68)))</f>
        <v/>
      </c>
      <c r="DO68" s="108"/>
      <c r="DP68" s="106"/>
      <c r="DQ68" s="106"/>
      <c r="DR68" s="106"/>
      <c r="DS68" s="106"/>
      <c r="DT68" s="106"/>
      <c r="DU68" s="106"/>
      <c r="DV68" s="106"/>
      <c r="DW68" s="106"/>
      <c r="DX68" s="106"/>
      <c r="DY68" s="106"/>
    </row>
    <row r="69">
      <c r="A69" s="117" t="str">
        <f>IF(A68="","",IFS(L69="A",Montagem!$C$130,N69="T","Realizar a maior quantidade de repetições por "&amp;F68&amp;" segundos | ",N69="I",IF(M69="U","Manter a posição por "&amp;F68&amp;" segundos de um lado e trocar para o outro na sequência | ","Manter a posição por "&amp;F68&amp;" segundos | "),M69="A","Realizar alternadamente "&amp;F68&amp;" repetições cada lado | ",M69="U","Realizar "&amp;F68&amp;" repetições de um lado e trocar para o outro na sequência | ",L69="P",OFFSET(Biblioteca!$H$2,MATCH(M68,Biblioteca!$A$3:$A$200,0),0),TRUE,""))</f>
        <v/>
      </c>
      <c r="E69" s="118" t="str">
        <f>IF(A68="","",IFS(L69="H","Carga Sugerida: "&amp;ROUNDUP(O68/2,0)&amp;" kg de cada lado (Total: "&amp;ROUNDUP(O68/2,0)*2&amp;" kg)",L69="C","Este exercício usa o Peso Corporal como carga",L69="E","Este exercício usa a resistência da banda elástica como carga",L69="O","Carga Sugerida: "&amp;INT(O68)&amp;" kg",TRUE,""))</f>
        <v/>
      </c>
      <c r="J69" s="66"/>
      <c r="K69" s="106">
        <f>K68</f>
        <v>1</v>
      </c>
      <c r="L69" s="120" t="str">
        <f>LEFT(O69)</f>
        <v/>
      </c>
      <c r="M69" s="121" t="str">
        <f>MID(O69,2,1)</f>
        <v/>
      </c>
      <c r="N69" s="122" t="str">
        <f>RIGHT(O69)</f>
        <v/>
      </c>
      <c r="O69" s="123" t="str">
        <f>IF(M68="","",OFFSET(Biblioteca!$I$2,MATCH(M68,Biblioteca!$A$3:$A$200,0),0))</f>
        <v/>
      </c>
      <c r="P69" s="124"/>
      <c r="Q69" s="125"/>
      <c r="R69" s="117" t="str">
        <f>IF(R68="","",IFS(AC69="A",Montagem!$D$130,AE69="T","Realizar a maior quantidade de repetições por "&amp;W68&amp;" segundos | ",AE69="I",IF(AD69="U","Manter a posição por "&amp;W68&amp;" segundos de um lado e trocar para o outro na sequência | ","Manter a posição por "&amp;W68&amp;" segundos | "),AD69="A","Realizar alternadamente "&amp;W68&amp;" repetições cada lado | ",AD69="U","Realizar "&amp;W68&amp;" repetições de um lado e trocar para o outro na sequência | ",AC69="P",OFFSET(Biblioteca!$H$2,MATCH(AD68,Biblioteca!$A$3:$A$200,0),0),TRUE,""))</f>
        <v/>
      </c>
      <c r="V69" s="118" t="str">
        <f>IF(R68="","",IFS(AC69="H","Carga Sugerida: "&amp;ROUNDUP(AF68/2,0)&amp;" kg de cada lado (Total: "&amp;ROUNDUP(AF68/2,0)*2&amp;" kg)",AC69="C","Este exercício usa o Peso Corporal como carga",AC69="E","Este exercício usa a resistência da banda elástica como carga",AC69="O","Carga Sugerida: "&amp;INT(AF68)&amp;" kg",TRUE,""))</f>
        <v/>
      </c>
      <c r="AA69" s="66"/>
      <c r="AB69" s="111">
        <f>AB68</f>
        <v>1</v>
      </c>
      <c r="AC69" s="120" t="str">
        <f>LEFT(AF69)</f>
        <v/>
      </c>
      <c r="AD69" s="121" t="str">
        <f>MID(AF69,2,1)</f>
        <v/>
      </c>
      <c r="AE69" s="122" t="str">
        <f>RIGHT(AF69)</f>
        <v/>
      </c>
      <c r="AF69" s="123" t="str">
        <f>IF(AD68="","",OFFSET(Biblioteca!$I$2,MATCH(AD68,Biblioteca!$A$3:$A$200,0),0))</f>
        <v/>
      </c>
      <c r="AG69" s="124"/>
      <c r="AH69" s="125"/>
      <c r="AI69" s="117" t="str">
        <f>IF(AI68="","",IFS(AT69="A",Montagem!$E$130,AV69="T","Realizar a maior quantidade de repetições por "&amp;AN68&amp;" segundos | ",AV69="I",IF(AU69="U","Manter a posição por "&amp;AN68&amp;" segundos de um lado e trocar para o outro na sequência | ","Manter a posição por "&amp;AN68&amp;" segundos | "),AU69="A","Realizar alternadamente "&amp;AN68&amp;" repetições cada lado | ",AU69="U","Realizar "&amp;AN68&amp;" repetições de um lado e trocar para o outro na sequência | ",AT69="P",OFFSET(Biblioteca!$H$2,MATCH(AU68,Biblioteca!$A$3:$A$200,0),0),TRUE,""))</f>
        <v/>
      </c>
      <c r="AM69" s="118" t="str">
        <f>IF(AI68="","",IFS(AT69="H","Carga Sugerida: "&amp;ROUNDUP(AW68/2,0)&amp;" kg de cada lado (Total: "&amp;ROUNDUP(AW68/2,0)*2&amp;" kg)",AT69="C","Este exercício usa o Peso Corporal como carga",AT69="E","Este exercício usa a resistência da banda elástica como carga",AT69="O","Carga Sugerida: "&amp;INT(AW68)&amp;" kg",TRUE,""))</f>
        <v/>
      </c>
      <c r="AR69" s="66"/>
      <c r="AS69" s="111">
        <f>AS68</f>
        <v>1</v>
      </c>
      <c r="AT69" s="120" t="str">
        <f>LEFT(AW69)</f>
        <v/>
      </c>
      <c r="AU69" s="121" t="str">
        <f>MID(AW69,2,1)</f>
        <v/>
      </c>
      <c r="AV69" s="122" t="str">
        <f>RIGHT(AW69)</f>
        <v/>
      </c>
      <c r="AW69" s="123" t="str">
        <f>IF(AU68="","",OFFSET(Biblioteca!$I$2,MATCH(AU68,Biblioteca!$A$3:$A$200,0),0))</f>
        <v/>
      </c>
      <c r="AX69" s="124"/>
      <c r="AY69" s="125"/>
      <c r="AZ69" s="117" t="str">
        <f>IF(AZ68="","",IFS(BK69="A",Montagem!$F$130,BM69="T","Realizar a maior quantidade de repetições por "&amp;BE68&amp;" segundos | ",BM69="I",IF(BL69="U","Manter a posição por "&amp;BE68&amp;" segundos de um lado e trocar para o outro na sequência | ","Manter a posição por "&amp;BE68&amp;" segundos | "),BL69="A","Realizar alternadamente "&amp;BE68&amp;" repetições cada lado | ",BL69="U","Realizar "&amp;BE68&amp;" repetições de um lado e trocar para o outro na sequência | ",BK69="P",OFFSET(Biblioteca!$H$2,MATCH(BL68,Biblioteca!$A$3:$A$200,0),0),TRUE,""))</f>
        <v/>
      </c>
      <c r="BD69" s="118" t="str">
        <f>IF(AZ68="","",IFS(BK69="H","Carga Sugerida: "&amp;ROUNDUP(BN68/2,0)&amp;" kg de cada lado (Total: "&amp;ROUNDUP(BN68/2,0)*2&amp;" kg)",BK69="C","Este exercício usa o Peso Corporal como carga",BK69="E","Este exercício usa a resistência da banda elástica como carga",BK69="O","Carga Sugerida: "&amp;INT(BN68)&amp;" kg",TRUE,""))</f>
        <v/>
      </c>
      <c r="BI69" s="66"/>
      <c r="BJ69" s="111">
        <f>BJ68</f>
        <v>1</v>
      </c>
      <c r="BK69" s="120" t="str">
        <f>LEFT(BN69)</f>
        <v/>
      </c>
      <c r="BL69" s="121" t="str">
        <f>MID(BN69,2,1)</f>
        <v/>
      </c>
      <c r="BM69" s="122" t="str">
        <f>RIGHT(BN69)</f>
        <v/>
      </c>
      <c r="BN69" s="123" t="str">
        <f>IF(BL68="","",OFFSET(Biblioteca!$I$2,MATCH(BL68,Biblioteca!$A$3:$A$200,0),0))</f>
        <v/>
      </c>
      <c r="BO69" s="124"/>
      <c r="BP69" s="125"/>
      <c r="BQ69" s="117" t="str">
        <f>IF(BQ68="","",IFS(CB69="A",Montagem!$G$130,CD69="T","Realizar a maior quantidade de repetições por "&amp;BV68&amp;" segundos | ",CD69="I",IF(CC69="U","Manter a posição por "&amp;BV68&amp;" segundos de um lado e trocar para o outro na sequência | ","Manter a posição por "&amp;BV68&amp;" segundos | "),CC69="A","Realizar alternadamente "&amp;BV68&amp;" repetições cada lado | ",CC69="U","Realizar "&amp;BV68&amp;" repetições de um lado e trocar para o outro na sequência | ",CB69="P",OFFSET(Biblioteca!$H$2,MATCH(CC68,Biblioteca!$A$3:$A$200,0),0),TRUE,""))</f>
        <v/>
      </c>
      <c r="BU69" s="118" t="str">
        <f>IF(BQ68="","",IFS(CB69="H","Carga Sugerida: "&amp;ROUNDUP(CE68/2,0)&amp;" kg de cada lado (Total: "&amp;ROUNDUP(CE68/2,0)*2&amp;" kg)",CB69="C","Este exercício usa o Peso Corporal como carga",CB69="E","Este exercício usa a resistência da banda elástica como carga",CB69="O","Carga Sugerida: "&amp;INT(CE68)&amp;" kg",TRUE,""))</f>
        <v/>
      </c>
      <c r="BZ69" s="66"/>
      <c r="CA69" s="111">
        <f>CA68</f>
        <v>1</v>
      </c>
      <c r="CB69" s="120" t="str">
        <f>LEFT(CE69)</f>
        <v/>
      </c>
      <c r="CC69" s="121" t="str">
        <f>MID(CE69,2,1)</f>
        <v/>
      </c>
      <c r="CD69" s="122" t="str">
        <f>RIGHT(CE69)</f>
        <v/>
      </c>
      <c r="CE69" s="123" t="str">
        <f>IF(CC68="","",OFFSET(Biblioteca!$I$2,MATCH(CC68,Biblioteca!$A$3:$A$200,0),0))</f>
        <v/>
      </c>
      <c r="CF69" s="124"/>
      <c r="CG69" s="125"/>
      <c r="CH69" s="117" t="str">
        <f>IF(CH68="","",IFS(CS69="A",Montagem!$H$130,CU69="T","Realizar a maior quantidade de repetições por "&amp;CM68&amp;" segundos | ",CU69="I",IF(CT69="U","Manter a posição por "&amp;CM68&amp;" segundos de um lado e trocar para o outro na sequência | ","Manter a posição por "&amp;CM68&amp;" segundos | "),CT69="A","Realizar alternadamente "&amp;CM68&amp;" repetições cada lado | ",CT69="U","Realizar "&amp;CM68&amp;" repetições de um lado e trocar para o outro na sequência | ",CS69="P",OFFSET(Biblioteca!$H$2,MATCH(CT68,Biblioteca!$A$3:$A$200,0),0),TRUE,""))</f>
        <v/>
      </c>
      <c r="CL69" s="118" t="str">
        <f>IF(CH68="","",IFS(CS69="H","Carga Sugerida: "&amp;ROUNDUP(CV68/2,0)&amp;" kg de cada lado (Total: "&amp;ROUNDUP(CV68/2,0)*2&amp;" kg)",CS69="C","Este exercício usa o Peso Corporal como carga",CS69="E","Este exercício usa a resistência da banda elástica como carga",CS69="O","Carga Sugerida: "&amp;INT(CV68)&amp;" kg",TRUE,""))</f>
        <v/>
      </c>
      <c r="CQ69" s="66"/>
      <c r="CR69" s="111">
        <f>CR68</f>
        <v>1</v>
      </c>
      <c r="CS69" s="120" t="str">
        <f>LEFT(CV69)</f>
        <v/>
      </c>
      <c r="CT69" s="121" t="str">
        <f>MID(CV69,2,1)</f>
        <v/>
      </c>
      <c r="CU69" s="122" t="str">
        <f>RIGHT(CV69)</f>
        <v/>
      </c>
      <c r="CV69" s="123" t="str">
        <f>IF(CT68="","",OFFSET(Biblioteca!$I$2,MATCH(CT68,Biblioteca!$A$3:$A$200,0),0))</f>
        <v/>
      </c>
      <c r="CW69" s="124"/>
      <c r="CX69" s="125"/>
      <c r="CY69" s="117" t="str">
        <f>IF(CY68="","",IFS(DJ69="A",Montagem!$I$130,DL69="T","Realizar a maior quantidade de repetições por "&amp;DD68&amp;" segundos | ",DL69="I",IF(DK69="U","Manter a posição por "&amp;DD68&amp;" segundos de um lado e trocar para o outro na sequência | ","Manter a posição por "&amp;DD68&amp;" segundos | "),DK69="A","Realizar alternadamente "&amp;DD68&amp;" repetições cada lado | ",DK69="U","Realizar "&amp;DD68&amp;" repetições de um lado e trocar para o outro na sequência | ",DJ69="P",OFFSET(Biblioteca!$H$2,MATCH(DK68,Biblioteca!$A$3:$A$200,0),0),TRUE,""))</f>
        <v/>
      </c>
      <c r="DC69" s="118" t="str">
        <f>IF(CY68="","",IFS(DJ69="H","Carga Sugerida: "&amp;ROUNDUP(DM68/2,0)&amp;" kg de cada lado (Total: "&amp;ROUNDUP(DM68/2,0)*2&amp;" kg)",DJ69="C","Este exercício usa o Peso Corporal como carga",DJ69="E","Este exercício usa a resistência da banda elástica como carga",DJ69="O","Carga Sugerida: "&amp;INT(DM68)&amp;" kg",TRUE,""))</f>
        <v/>
      </c>
      <c r="DH69" s="66"/>
      <c r="DI69" s="111">
        <f>DI68</f>
        <v>1</v>
      </c>
      <c r="DJ69" s="120" t="str">
        <f>LEFT(DM69)</f>
        <v/>
      </c>
      <c r="DK69" s="121" t="str">
        <f>MID(DM69,2,1)</f>
        <v/>
      </c>
      <c r="DL69" s="122" t="str">
        <f>RIGHT(DM69)</f>
        <v/>
      </c>
      <c r="DM69" s="123" t="str">
        <f>IF(DK68="","",OFFSET(Biblioteca!$I$2,MATCH(DK68,Biblioteca!$A$3:$A$200,0),0))</f>
        <v/>
      </c>
      <c r="DN69" s="124"/>
      <c r="DO69" s="125"/>
      <c r="DP69" s="57"/>
      <c r="DQ69" s="56"/>
      <c r="DR69" s="56"/>
      <c r="DS69" s="56"/>
      <c r="DT69" s="56"/>
      <c r="DU69" s="56"/>
      <c r="DV69" s="56"/>
      <c r="DW69" s="56"/>
      <c r="DX69" s="56"/>
      <c r="DY69" s="56"/>
    </row>
    <row r="70">
      <c r="A70" s="115" t="str">
        <f>IF(M70="","",HYPERLINK(OFFSET(Biblioteca!$B$2,MATCH(M70,Biblioteca!$A$3:$A$200,0),0),M70))</f>
        <v/>
      </c>
      <c r="D70" s="103" t="str">
        <f>Montagem!Q143</f>
        <v/>
      </c>
      <c r="E70" s="104" t="str">
        <f>Montagem!R143</f>
        <v/>
      </c>
      <c r="F70" s="104" t="str">
        <f>Montagem!S143</f>
        <v/>
      </c>
      <c r="G70" s="104" t="str">
        <f>Montagem!T143</f>
        <v/>
      </c>
      <c r="H70" s="104" t="str">
        <f>Montagem!U143</f>
        <v/>
      </c>
      <c r="I70" s="104" t="str">
        <f>Montagem!V143</f>
        <v/>
      </c>
      <c r="J70" s="144"/>
      <c r="K70" s="106">
        <f>Montagem!K143</f>
        <v>1</v>
      </c>
      <c r="L70" s="111" t="str">
        <f>Montagem!W143</f>
        <v/>
      </c>
      <c r="M70" s="111" t="str">
        <f>Montagem!L143</f>
        <v/>
      </c>
      <c r="N70" s="111" t="str">
        <f>Montagem!X143</f>
        <v/>
      </c>
      <c r="O70" s="106" t="str">
        <f>IF(N70="",L70,N70)</f>
        <v/>
      </c>
      <c r="P70" s="106" t="str">
        <f>IF(L71="C",'Dados de Base'!$D$5*0.1,IF(L71="E",5,IF(J70="",O70,J70)))</f>
        <v/>
      </c>
      <c r="Q70" s="108"/>
      <c r="R70" s="115" t="str">
        <f>IF(AD70="","",HYPERLINK(OFFSET(Biblioteca!$B$2,MATCH(AD70,Biblioteca!$A$3:$A$200,0),0),AD70))</f>
        <v/>
      </c>
      <c r="U70" s="109" t="str">
        <f>Montagem!AF143</f>
        <v/>
      </c>
      <c r="V70" s="110" t="str">
        <f>Montagem!AG143</f>
        <v/>
      </c>
      <c r="W70" s="110" t="str">
        <f>Montagem!AH143</f>
        <v/>
      </c>
      <c r="X70" s="110" t="str">
        <f>Montagem!AI143</f>
        <v/>
      </c>
      <c r="Y70" s="110" t="str">
        <f>Montagem!AJ143</f>
        <v/>
      </c>
      <c r="Z70" s="110" t="str">
        <f>Montagem!AK143</f>
        <v/>
      </c>
      <c r="AA70" s="114"/>
      <c r="AB70" s="111">
        <f>Montagem!Z143</f>
        <v>1</v>
      </c>
      <c r="AC70" s="111" t="str">
        <f>Montagem!AL143</f>
        <v/>
      </c>
      <c r="AD70" s="129" t="str">
        <f>Montagem!AA143</f>
        <v/>
      </c>
      <c r="AE70" s="111" t="str">
        <f>Montagem!AM143</f>
        <v/>
      </c>
      <c r="AF70" s="106" t="str">
        <f>IF(AE70="",AC70,AE70)</f>
        <v/>
      </c>
      <c r="AG70" s="106" t="str">
        <f>IF(AC71="C",'Dados de Base'!$D$5*0.1,IF(AC71="E",5,IF(AA70="",AF70,AA70)))</f>
        <v/>
      </c>
      <c r="AH70" s="108"/>
      <c r="AI70" s="115" t="str">
        <f>IF(AU70="","",HYPERLINK(OFFSET(Biblioteca!$B$2,MATCH(AU70,Biblioteca!$A$3:$A$200,0),0),AU70))</f>
        <v/>
      </c>
      <c r="AL70" s="109" t="str">
        <f>Montagem!AU143</f>
        <v/>
      </c>
      <c r="AM70" s="110" t="str">
        <f>Montagem!AV143</f>
        <v/>
      </c>
      <c r="AN70" s="110" t="str">
        <f>Montagem!AW143</f>
        <v/>
      </c>
      <c r="AO70" s="110" t="str">
        <f>Montagem!AX143</f>
        <v/>
      </c>
      <c r="AP70" s="110" t="str">
        <f>Montagem!AY143</f>
        <v/>
      </c>
      <c r="AQ70" s="110" t="str">
        <f>Montagem!AZ143</f>
        <v/>
      </c>
      <c r="AR70" s="114"/>
      <c r="AS70" s="111">
        <f>Montagem!AO143</f>
        <v>1</v>
      </c>
      <c r="AT70" s="111" t="str">
        <f>Montagem!BA143</f>
        <v/>
      </c>
      <c r="AU70" s="111" t="str">
        <f>Montagem!AP143</f>
        <v/>
      </c>
      <c r="AV70" s="111" t="str">
        <f>Montagem!BB143</f>
        <v/>
      </c>
      <c r="AW70" s="106" t="str">
        <f>IF(AV70="",AT70,AV70)</f>
        <v/>
      </c>
      <c r="AX70" s="106" t="str">
        <f>IF(AT71="C",'Dados de Base'!$D$5*0.1,IF(AT71="E",5,IF(AR70="",AW70,AR70)))</f>
        <v/>
      </c>
      <c r="AY70" s="108"/>
      <c r="AZ70" s="115" t="str">
        <f>IF(BL70="","",HYPERLINK(OFFSET(Biblioteca!$B$2,MATCH(BL70,Biblioteca!$A$3:$A$200,0),0),BL70))</f>
        <v/>
      </c>
      <c r="BC70" s="109" t="str">
        <f>Montagem!BJ143</f>
        <v/>
      </c>
      <c r="BD70" s="110" t="str">
        <f>Montagem!BK143</f>
        <v/>
      </c>
      <c r="BE70" s="110" t="str">
        <f>Montagem!BL143</f>
        <v/>
      </c>
      <c r="BF70" s="110" t="str">
        <f>Montagem!BM143</f>
        <v/>
      </c>
      <c r="BG70" s="110" t="str">
        <f>Montagem!BN143</f>
        <v/>
      </c>
      <c r="BH70" s="110" t="str">
        <f>Montagem!BO143</f>
        <v/>
      </c>
      <c r="BI70" s="114"/>
      <c r="BJ70" s="111">
        <f>Montagem!BD143</f>
        <v>1</v>
      </c>
      <c r="BK70" s="111" t="str">
        <f>Montagem!BP143</f>
        <v/>
      </c>
      <c r="BL70" s="111" t="str">
        <f>Montagem!BE143</f>
        <v/>
      </c>
      <c r="BM70" s="111" t="str">
        <f>Montagem!BQ143</f>
        <v/>
      </c>
      <c r="BN70" s="106" t="str">
        <f>IF(BM70="",BK70,BM70)</f>
        <v/>
      </c>
      <c r="BO70" s="106" t="str">
        <f>IF(BK71="C",'Dados de Base'!$D$5*0.1,IF(BK71="E",5,IF(BI70="",BN70,BI70)))</f>
        <v/>
      </c>
      <c r="BP70" s="108"/>
      <c r="BQ70" s="115" t="str">
        <f>IF(CC70="","",HYPERLINK(OFFSET(Biblioteca!$B$2,MATCH(CC70,Biblioteca!$A$3:$A$200,0),0),CC70))</f>
        <v/>
      </c>
      <c r="BT70" s="109" t="str">
        <f>Montagem!BY143</f>
        <v/>
      </c>
      <c r="BU70" s="110" t="str">
        <f>Montagem!BZ143</f>
        <v/>
      </c>
      <c r="BV70" s="110" t="str">
        <f>Montagem!CA143</f>
        <v/>
      </c>
      <c r="BW70" s="110" t="str">
        <f>Montagem!CB143</f>
        <v/>
      </c>
      <c r="BX70" s="110" t="str">
        <f>Montagem!CC143</f>
        <v/>
      </c>
      <c r="BY70" s="110" t="str">
        <f>Montagem!CD143</f>
        <v/>
      </c>
      <c r="BZ70" s="114"/>
      <c r="CA70" s="111">
        <f>Montagem!BS143</f>
        <v>1</v>
      </c>
      <c r="CB70" s="111" t="str">
        <f>Montagem!CE143</f>
        <v/>
      </c>
      <c r="CC70" s="111" t="str">
        <f>Montagem!BT143</f>
        <v/>
      </c>
      <c r="CD70" s="111" t="str">
        <f>Montagem!CF143</f>
        <v/>
      </c>
      <c r="CE70" s="106" t="str">
        <f>IF(CD70="",CB70,CD70)</f>
        <v/>
      </c>
      <c r="CF70" s="106" t="str">
        <f>IF(CB71="C",'Dados de Base'!$D$5*0.1,IF(CB71="E",5,IF(BZ70="",CE70,BZ70)))</f>
        <v/>
      </c>
      <c r="CG70" s="108"/>
      <c r="CH70" s="115" t="str">
        <f>IF(CT70="","",HYPERLINK(OFFSET(Biblioteca!$B$2,MATCH(CT70,Biblioteca!$A$3:$A$200,0),0),CT70))</f>
        <v/>
      </c>
      <c r="CK70" s="109" t="str">
        <f>Montagem!CN143</f>
        <v/>
      </c>
      <c r="CL70" s="110" t="str">
        <f>Montagem!CO143</f>
        <v/>
      </c>
      <c r="CM70" s="110" t="str">
        <f>Montagem!CP143</f>
        <v/>
      </c>
      <c r="CN70" s="110" t="str">
        <f>Montagem!CQ143</f>
        <v/>
      </c>
      <c r="CO70" s="110" t="str">
        <f>Montagem!CR143</f>
        <v/>
      </c>
      <c r="CP70" s="110" t="str">
        <f>Montagem!CS143</f>
        <v/>
      </c>
      <c r="CQ70" s="114"/>
      <c r="CR70" s="111">
        <f>Montagem!CH143</f>
        <v>1</v>
      </c>
      <c r="CS70" s="111" t="str">
        <f>Montagem!CT143</f>
        <v/>
      </c>
      <c r="CT70" s="111" t="str">
        <f>Montagem!CI143</f>
        <v/>
      </c>
      <c r="CU70" s="145" t="str">
        <f>Montagem!CU143</f>
        <v/>
      </c>
      <c r="CV70" s="106" t="str">
        <f>IF(CU70="",CS70,CU70)</f>
        <v/>
      </c>
      <c r="CW70" s="106" t="str">
        <f>IF(CS71="C",'Dados de Base'!$D$5*0.1,IF(CS71="E",5,IF(CQ70="",CV70,CQ70)))</f>
        <v/>
      </c>
      <c r="CX70" s="108"/>
      <c r="CY70" s="115" t="str">
        <f>IF(DK70="","",HYPERLINK(OFFSET(Biblioteca!$B$2,MATCH(DK70,Biblioteca!$A$3:$A$200,0),0),DK70))</f>
        <v/>
      </c>
      <c r="DB70" s="130" t="str">
        <f>Montagem!DC143</f>
        <v/>
      </c>
      <c r="DC70" s="131" t="str">
        <f>Montagem!DD143</f>
        <v/>
      </c>
      <c r="DD70" s="131" t="str">
        <f>Montagem!DE143</f>
        <v/>
      </c>
      <c r="DE70" s="131" t="str">
        <f>Montagem!DF143</f>
        <v/>
      </c>
      <c r="DF70" s="131" t="str">
        <f>Montagem!DG143</f>
        <v/>
      </c>
      <c r="DG70" s="131" t="str">
        <f>Montagem!DH143</f>
        <v/>
      </c>
      <c r="DH70" s="114"/>
      <c r="DI70" s="111">
        <f>Montagem!CW143</f>
        <v>1</v>
      </c>
      <c r="DJ70" s="111" t="str">
        <f>Montagem!DI143</f>
        <v/>
      </c>
      <c r="DK70" s="111" t="str">
        <f>Montagem!CX143</f>
        <v/>
      </c>
      <c r="DL70" s="145" t="str">
        <f>Montagem!DJ143</f>
        <v/>
      </c>
      <c r="DM70" s="106" t="str">
        <f>IF(DL70="",DJ70,DL70)</f>
        <v/>
      </c>
      <c r="DN70" s="106" t="str">
        <f>IF(DJ71="C",'Dados de Base'!$D$5*0.1,IF(DJ71="E",5,IF(DH70="",DM70,DH70)))</f>
        <v/>
      </c>
      <c r="DO70" s="108"/>
      <c r="DP70" s="106"/>
      <c r="DQ70" s="106"/>
      <c r="DR70" s="106"/>
      <c r="DS70" s="106"/>
      <c r="DT70" s="106"/>
      <c r="DU70" s="106"/>
      <c r="DV70" s="106"/>
      <c r="DW70" s="106"/>
      <c r="DX70" s="106"/>
      <c r="DY70" s="106"/>
    </row>
    <row r="71">
      <c r="A71" s="117" t="str">
        <f>IF(A70="","",IFS(L71="A",Montagem!$C$130,N71="T","Realizar a maior quantidade de repetições por "&amp;F70&amp;" segundos | ",N71="I",IF(M71="U","Manter a posição por "&amp;F70&amp;" segundos de um lado e trocar para o outro na sequência | ","Manter a posição por "&amp;F70&amp;" segundos | "),M71="A","Realizar alternadamente "&amp;F70&amp;" repetições cada lado | ",M71="U","Realizar "&amp;F70&amp;" repetições de um lado e trocar para o outro na sequência | ",L71="P",OFFSET(Biblioteca!$H$2,MATCH(M70,Biblioteca!$A$3:$A$200,0),0),TRUE,""))</f>
        <v/>
      </c>
      <c r="E71" s="118" t="str">
        <f>IF(A70="","",IFS(L71="H","Carga Sugerida: "&amp;ROUNDUP(O70/2,0)&amp;" kg de cada lado (Total: "&amp;ROUNDUP(O70/2,0)*2&amp;" kg)",L71="C","Este exercício usa o Peso Corporal como carga",L71="E","Este exercício usa a resistência da banda elástica como carga",L71="O","Carga Sugerida: "&amp;INT(O70)&amp;" kg",TRUE,""))</f>
        <v/>
      </c>
      <c r="J71" s="66"/>
      <c r="K71" s="106">
        <f>K70</f>
        <v>1</v>
      </c>
      <c r="L71" s="120" t="str">
        <f>LEFT(O71)</f>
        <v/>
      </c>
      <c r="M71" s="121" t="str">
        <f>MID(O71,2,1)</f>
        <v/>
      </c>
      <c r="N71" s="122" t="str">
        <f>RIGHT(O71)</f>
        <v/>
      </c>
      <c r="O71" s="123" t="str">
        <f>IF(M70="","",OFFSET(Biblioteca!$I$2,MATCH(M70,Biblioteca!$A$3:$A$200,0),0))</f>
        <v/>
      </c>
      <c r="P71" s="124"/>
      <c r="Q71" s="125"/>
      <c r="R71" s="117" t="str">
        <f>IF(R70="","",IFS(AC71="A",Montagem!$D$130,AE71="T","Realizar a maior quantidade de repetições por "&amp;W70&amp;" segundos | ",AE71="I",IF(AD71="U","Manter a posição por "&amp;W70&amp;" segundos de um lado e trocar para o outro na sequência | ","Manter a posição por "&amp;W70&amp;" segundos | "),AD71="A","Realizar alternadamente "&amp;W70&amp;" repetições cada lado | ",AD71="U","Realizar "&amp;W70&amp;" repetições de um lado e trocar para o outro na sequência | ",AC71="P",OFFSET(Biblioteca!$H$2,MATCH(AD70,Biblioteca!$A$3:$A$200,0),0),TRUE,""))</f>
        <v/>
      </c>
      <c r="V71" s="118" t="str">
        <f>IF(R70="","",IFS(AC71="H","Carga Sugerida: "&amp;ROUNDUP(AF70/2,0)&amp;" kg de cada lado (Total: "&amp;ROUNDUP(AF70/2,0)*2&amp;" kg)",AC71="C","Este exercício usa o Peso Corporal como carga",AC71="E","Este exercício usa a resistência da banda elástica como carga",AC71="O","Carga Sugerida: "&amp;INT(AF70)&amp;" kg",TRUE,""))</f>
        <v/>
      </c>
      <c r="AA71" s="66"/>
      <c r="AB71" s="111">
        <f>AB70</f>
        <v>1</v>
      </c>
      <c r="AC71" s="120" t="str">
        <f>LEFT(AF71)</f>
        <v/>
      </c>
      <c r="AD71" s="121" t="str">
        <f>MID(AF71,2,1)</f>
        <v/>
      </c>
      <c r="AE71" s="122" t="str">
        <f>RIGHT(AF71)</f>
        <v/>
      </c>
      <c r="AF71" s="123" t="str">
        <f>IF(AD70="","",OFFSET(Biblioteca!$I$2,MATCH(AD70,Biblioteca!$A$3:$A$200,0),0))</f>
        <v/>
      </c>
      <c r="AG71" s="124"/>
      <c r="AH71" s="125"/>
      <c r="AI71" s="117" t="str">
        <f>IF(AI70="","",IFS(AT71="A",Montagem!$E$130,AV71="T","Realizar a maior quantidade de repetições por "&amp;AN70&amp;" segundos | ",AV71="I",IF(AU71="U","Manter a posição por "&amp;AN70&amp;" segundos de um lado e trocar para o outro na sequência | ","Manter a posição por "&amp;AN70&amp;" segundos | "),AU71="A","Realizar alternadamente "&amp;AN70&amp;" repetições cada lado | ",AU71="U","Realizar "&amp;AN70&amp;" repetições de um lado e trocar para o outro na sequência | ",AT71="P",OFFSET(Biblioteca!$H$2,MATCH(AU70,Biblioteca!$A$3:$A$200,0),0),TRUE,""))</f>
        <v/>
      </c>
      <c r="AM71" s="118" t="str">
        <f>IF(AI70="","",IFS(AT71="H","Carga Sugerida: "&amp;ROUNDUP(AW70/2,0)&amp;" kg de cada lado (Total: "&amp;ROUNDUP(AW70/2,0)*2&amp;" kg)",AT71="C","Este exercício usa o Peso Corporal como carga",AT71="E","Este exercício usa a resistência da banda elástica como carga",AT71="O","Carga Sugerida: "&amp;INT(AW70)&amp;" kg",TRUE,""))</f>
        <v/>
      </c>
      <c r="AR71" s="66"/>
      <c r="AS71" s="111">
        <f>AS70</f>
        <v>1</v>
      </c>
      <c r="AT71" s="120" t="str">
        <f>LEFT(AW71)</f>
        <v/>
      </c>
      <c r="AU71" s="121" t="str">
        <f>MID(AW71,2,1)</f>
        <v/>
      </c>
      <c r="AV71" s="122" t="str">
        <f>RIGHT(AW71)</f>
        <v/>
      </c>
      <c r="AW71" s="123" t="str">
        <f>IF(AU70="","",OFFSET(Biblioteca!$I$2,MATCH(AU70,Biblioteca!$A$3:$A$200,0),0))</f>
        <v/>
      </c>
      <c r="AX71" s="124"/>
      <c r="AY71" s="125"/>
      <c r="AZ71" s="117" t="str">
        <f>IF(AZ70="","",IFS(BK71="A",Montagem!$F$130,BM71="T","Realizar a maior quantidade de repetições por "&amp;BE70&amp;" segundos | ",BM71="I",IF(BL71="U","Manter a posição por "&amp;BE70&amp;" segundos de um lado e trocar para o outro na sequência | ","Manter a posição por "&amp;BE70&amp;" segundos | "),BL71="A","Realizar alternadamente "&amp;BE70&amp;" repetições cada lado | ",BL71="U","Realizar "&amp;BE70&amp;" repetições de um lado e trocar para o outro na sequência | ",BK71="P",OFFSET(Biblioteca!$H$2,MATCH(BL70,Biblioteca!$A$3:$A$200,0),0),TRUE,""))</f>
        <v/>
      </c>
      <c r="BD71" s="118" t="str">
        <f>IF(AZ70="","",IFS(BK71="H","Carga Sugerida: "&amp;ROUNDUP(BN70/2,0)&amp;" kg de cada lado (Total: "&amp;ROUNDUP(BN70/2,0)*2&amp;" kg)",BK71="C","Este exercício usa o Peso Corporal como carga",BK71="E","Este exercício usa a resistência da banda elástica como carga",BK71="O","Carga Sugerida: "&amp;INT(BN70)&amp;" kg",TRUE,""))</f>
        <v/>
      </c>
      <c r="BI71" s="66"/>
      <c r="BJ71" s="111">
        <f>BJ70</f>
        <v>1</v>
      </c>
      <c r="BK71" s="120" t="str">
        <f>LEFT(BN71)</f>
        <v/>
      </c>
      <c r="BL71" s="121" t="str">
        <f>MID(BN71,2,1)</f>
        <v/>
      </c>
      <c r="BM71" s="122" t="str">
        <f>RIGHT(BN71)</f>
        <v/>
      </c>
      <c r="BN71" s="123" t="str">
        <f>IF(BL70="","",OFFSET(Biblioteca!$I$2,MATCH(BL70,Biblioteca!$A$3:$A$200,0),0))</f>
        <v/>
      </c>
      <c r="BO71" s="124"/>
      <c r="BP71" s="125"/>
      <c r="BQ71" s="117" t="str">
        <f>IF(BQ70="","",IFS(CB71="A",Montagem!$G$130,CD71="T","Realizar a maior quantidade de repetições por "&amp;BV70&amp;" segundos | ",CD71="I",IF(CC71="U","Manter a posição por "&amp;BV70&amp;" segundos de um lado e trocar para o outro na sequência | ","Manter a posição por "&amp;BV70&amp;" segundos | "),CC71="A","Realizar alternadamente "&amp;BV70&amp;" repetições cada lado | ",CC71="U","Realizar "&amp;BV70&amp;" repetições de um lado e trocar para o outro na sequência | ",CB71="P",OFFSET(Biblioteca!$H$2,MATCH(CC70,Biblioteca!$A$3:$A$200,0),0),TRUE,""))</f>
        <v/>
      </c>
      <c r="BU71" s="118" t="str">
        <f>IF(BQ70="","",IFS(CB71="H","Carga Sugerida: "&amp;ROUNDUP(CE70/2,0)&amp;" kg de cada lado (Total: "&amp;ROUNDUP(CE70/2,0)*2&amp;" kg)",CB71="C","Este exercício usa o Peso Corporal como carga",CB71="E","Este exercício usa a resistência da banda elástica como carga",CB71="O","Carga Sugerida: "&amp;INT(CE70)&amp;" kg",TRUE,""))</f>
        <v/>
      </c>
      <c r="BZ71" s="66"/>
      <c r="CA71" s="111">
        <f>CA70</f>
        <v>1</v>
      </c>
      <c r="CB71" s="120" t="str">
        <f>LEFT(CE71)</f>
        <v/>
      </c>
      <c r="CC71" s="121" t="str">
        <f>MID(CE71,2,1)</f>
        <v/>
      </c>
      <c r="CD71" s="122" t="str">
        <f>RIGHT(CE71)</f>
        <v/>
      </c>
      <c r="CE71" s="123" t="str">
        <f>IF(CC70="","",OFFSET(Biblioteca!$I$2,MATCH(CC70,Biblioteca!$A$3:$A$200,0),0))</f>
        <v/>
      </c>
      <c r="CF71" s="124"/>
      <c r="CG71" s="125"/>
      <c r="CH71" s="117" t="str">
        <f>IF(CH70="","",IFS(CS71="A",Montagem!$H$130,CU71="T","Realizar a maior quantidade de repetições por "&amp;CM70&amp;" segundos | ",CU71="I",IF(CT71="U","Manter a posição por "&amp;CM70&amp;" segundos de um lado e trocar para o outro na sequência | ","Manter a posição por "&amp;CM70&amp;" segundos | "),CT71="A","Realizar alternadamente "&amp;CM70&amp;" repetições cada lado | ",CT71="U","Realizar "&amp;CM70&amp;" repetições de um lado e trocar para o outro na sequência | ",CS71="P",OFFSET(Biblioteca!$H$2,MATCH(CT70,Biblioteca!$A$3:$A$200,0),0),TRUE,""))</f>
        <v/>
      </c>
      <c r="CL71" s="118" t="str">
        <f>IF(CH70="","",IFS(CS71="H","Carga Sugerida: "&amp;ROUNDUP(CV70/2,0)&amp;" kg de cada lado (Total: "&amp;ROUNDUP(CV70/2,0)*2&amp;" kg)",CS71="C","Este exercício usa o Peso Corporal como carga",CS71="E","Este exercício usa a resistência da banda elástica como carga",CS71="O","Carga Sugerida: "&amp;INT(CV70)&amp;" kg",TRUE,""))</f>
        <v/>
      </c>
      <c r="CQ71" s="66"/>
      <c r="CR71" s="111">
        <f>CR70</f>
        <v>1</v>
      </c>
      <c r="CS71" s="120" t="str">
        <f>LEFT(CV71)</f>
        <v/>
      </c>
      <c r="CT71" s="121" t="str">
        <f>MID(CV71,2,1)</f>
        <v/>
      </c>
      <c r="CU71" s="122" t="str">
        <f>RIGHT(CV71)</f>
        <v/>
      </c>
      <c r="CV71" s="123" t="str">
        <f>IF(CT70="","",OFFSET(Biblioteca!$I$2,MATCH(CT70,Biblioteca!$A$3:$A$200,0),0))</f>
        <v/>
      </c>
      <c r="CW71" s="124"/>
      <c r="CX71" s="125"/>
      <c r="CY71" s="117" t="str">
        <f>IF(CY70="","",IFS(DJ71="A",Montagem!$I$130,DL71="T","Realizar a maior quantidade de repetições por "&amp;DD70&amp;" segundos | ",DL71="I",IF(DK71="U","Manter a posição por "&amp;DD70&amp;" segundos de um lado e trocar para o outro na sequência | ","Manter a posição por "&amp;DD70&amp;" segundos | "),DK71="A","Realizar alternadamente "&amp;DD70&amp;" repetições cada lado | ",DK71="U","Realizar "&amp;DD70&amp;" repetições de um lado e trocar para o outro na sequência | ",DJ71="P",OFFSET(Biblioteca!$H$2,MATCH(DK70,Biblioteca!$A$3:$A$200,0),0),TRUE,""))</f>
        <v/>
      </c>
      <c r="DC71" s="118" t="str">
        <f>IF(CY70="","",IFS(DJ71="H","Carga Sugerida: "&amp;ROUNDUP(DM70/2,0)&amp;" kg de cada lado (Total: "&amp;ROUNDUP(DM70/2,0)*2&amp;" kg)",DJ71="C","Este exercício usa o Peso Corporal como carga",DJ71="E","Este exercício usa a resistência da banda elástica como carga",DJ71="O","Carga Sugerida: "&amp;INT(DM70)&amp;" kg",TRUE,""))</f>
        <v/>
      </c>
      <c r="DH71" s="66"/>
      <c r="DI71" s="111">
        <f>DI70</f>
        <v>1</v>
      </c>
      <c r="DJ71" s="120" t="str">
        <f>LEFT(DM71)</f>
        <v/>
      </c>
      <c r="DK71" s="121" t="str">
        <f>MID(DM71,2,1)</f>
        <v/>
      </c>
      <c r="DL71" s="122" t="str">
        <f>RIGHT(DM71)</f>
        <v/>
      </c>
      <c r="DM71" s="123" t="str">
        <f>IF(DK70="","",OFFSET(Biblioteca!$I$2,MATCH(DK70,Biblioteca!$A$3:$A$200,0),0))</f>
        <v/>
      </c>
      <c r="DN71" s="124"/>
      <c r="DO71" s="125"/>
      <c r="DP71" s="57"/>
      <c r="DQ71" s="56"/>
      <c r="DR71" s="56"/>
      <c r="DS71" s="56"/>
      <c r="DT71" s="56"/>
      <c r="DU71" s="56"/>
      <c r="DV71" s="56"/>
      <c r="DW71" s="56"/>
      <c r="DX71" s="56"/>
      <c r="DY71" s="56"/>
    </row>
    <row r="72">
      <c r="A72" s="115" t="str">
        <f>IF(M72="","",HYPERLINK(OFFSET(Biblioteca!$B$2,MATCH(M72,Biblioteca!$A$3:$A$200,0),0),M72))</f>
        <v/>
      </c>
      <c r="D72" s="103" t="str">
        <f>Montagem!Q144</f>
        <v/>
      </c>
      <c r="E72" s="104" t="str">
        <f>Montagem!R144</f>
        <v/>
      </c>
      <c r="F72" s="104" t="str">
        <f>Montagem!S144</f>
        <v/>
      </c>
      <c r="G72" s="104" t="str">
        <f>Montagem!T144</f>
        <v/>
      </c>
      <c r="H72" s="104" t="str">
        <f>Montagem!U144</f>
        <v/>
      </c>
      <c r="I72" s="104" t="str">
        <f>Montagem!V144</f>
        <v/>
      </c>
      <c r="J72" s="144"/>
      <c r="K72" s="106">
        <f>Montagem!K144</f>
        <v>1</v>
      </c>
      <c r="L72" s="111" t="str">
        <f>Montagem!W144</f>
        <v/>
      </c>
      <c r="M72" s="111" t="str">
        <f>Montagem!L144</f>
        <v/>
      </c>
      <c r="N72" s="111" t="str">
        <f>Montagem!X144</f>
        <v/>
      </c>
      <c r="O72" s="106" t="str">
        <f>IF(N72="",L72,N72)</f>
        <v/>
      </c>
      <c r="P72" s="106" t="str">
        <f>IF(L73="C",'Dados de Base'!$D$5*0.1,IF(L73="E",5,IF(J72="",O72,J72)))</f>
        <v/>
      </c>
      <c r="Q72" s="108"/>
      <c r="R72" s="115" t="str">
        <f>IF(AD72="","",HYPERLINK(OFFSET(Biblioteca!$B$2,MATCH(AD72,Biblioteca!$A$3:$A$200,0),0),AD72))</f>
        <v/>
      </c>
      <c r="U72" s="109" t="str">
        <f>Montagem!AF144</f>
        <v/>
      </c>
      <c r="V72" s="110" t="str">
        <f>Montagem!AG144</f>
        <v/>
      </c>
      <c r="W72" s="110" t="str">
        <f>Montagem!AH144</f>
        <v/>
      </c>
      <c r="X72" s="110" t="str">
        <f>Montagem!AI144</f>
        <v/>
      </c>
      <c r="Y72" s="110" t="str">
        <f>Montagem!AJ144</f>
        <v/>
      </c>
      <c r="Z72" s="110" t="str">
        <f>Montagem!AK144</f>
        <v/>
      </c>
      <c r="AA72" s="114"/>
      <c r="AB72" s="111">
        <f>Montagem!Z144</f>
        <v>1</v>
      </c>
      <c r="AC72" s="111" t="str">
        <f>Montagem!AL144</f>
        <v/>
      </c>
      <c r="AD72" s="129" t="str">
        <f>Montagem!AA144</f>
        <v/>
      </c>
      <c r="AE72" s="111" t="str">
        <f>Montagem!AM144</f>
        <v/>
      </c>
      <c r="AF72" s="106" t="str">
        <f>IF(AE72="",AC72,AE72)</f>
        <v/>
      </c>
      <c r="AG72" s="106" t="str">
        <f>IF(AC73="C",'Dados de Base'!$D$5*0.1,IF(AC73="E",5,IF(AA72="",AF72,AA72)))</f>
        <v/>
      </c>
      <c r="AH72" s="108"/>
      <c r="AI72" s="115" t="str">
        <f>IF(AU72="","",HYPERLINK(OFFSET(Biblioteca!$B$2,MATCH(AU72,Biblioteca!$A$3:$A$200,0),0),AU72))</f>
        <v/>
      </c>
      <c r="AL72" s="109" t="str">
        <f>Montagem!AU144</f>
        <v/>
      </c>
      <c r="AM72" s="110" t="str">
        <f>Montagem!AV144</f>
        <v/>
      </c>
      <c r="AN72" s="110" t="str">
        <f>Montagem!AW144</f>
        <v/>
      </c>
      <c r="AO72" s="110" t="str">
        <f>Montagem!AX144</f>
        <v/>
      </c>
      <c r="AP72" s="110" t="str">
        <f>Montagem!AY144</f>
        <v/>
      </c>
      <c r="AQ72" s="110" t="str">
        <f>Montagem!AZ144</f>
        <v/>
      </c>
      <c r="AR72" s="114"/>
      <c r="AS72" s="111">
        <f>Montagem!AO144</f>
        <v>1</v>
      </c>
      <c r="AT72" s="111" t="str">
        <f>Montagem!BA144</f>
        <v/>
      </c>
      <c r="AU72" s="111" t="str">
        <f>Montagem!AP144</f>
        <v/>
      </c>
      <c r="AV72" s="111" t="str">
        <f>Montagem!BB144</f>
        <v/>
      </c>
      <c r="AW72" s="106" t="str">
        <f>IF(AV72="",AT72,AV72)</f>
        <v/>
      </c>
      <c r="AX72" s="106" t="str">
        <f>IF(AT73="C",'Dados de Base'!$D$5*0.1,IF(AT73="E",5,IF(AR72="",AW72,AR72)))</f>
        <v/>
      </c>
      <c r="AY72" s="108"/>
      <c r="AZ72" s="115" t="str">
        <f>IF(BL72="","",HYPERLINK(OFFSET(Biblioteca!$B$2,MATCH(BL72,Biblioteca!$A$3:$A$200,0),0),BL72))</f>
        <v/>
      </c>
      <c r="BC72" s="109" t="str">
        <f>Montagem!BJ144</f>
        <v/>
      </c>
      <c r="BD72" s="110" t="str">
        <f>Montagem!BK144</f>
        <v/>
      </c>
      <c r="BE72" s="110" t="str">
        <f>Montagem!BL144</f>
        <v/>
      </c>
      <c r="BF72" s="110" t="str">
        <f>Montagem!BM144</f>
        <v/>
      </c>
      <c r="BG72" s="110" t="str">
        <f>Montagem!BN144</f>
        <v/>
      </c>
      <c r="BH72" s="110" t="str">
        <f>Montagem!BO144</f>
        <v/>
      </c>
      <c r="BI72" s="114"/>
      <c r="BJ72" s="111">
        <f>Montagem!BD144</f>
        <v>1</v>
      </c>
      <c r="BK72" s="111" t="str">
        <f>Montagem!BP144</f>
        <v/>
      </c>
      <c r="BL72" s="111" t="str">
        <f>Montagem!BE144</f>
        <v/>
      </c>
      <c r="BM72" s="111" t="str">
        <f>Montagem!BQ144</f>
        <v/>
      </c>
      <c r="BN72" s="106" t="str">
        <f>IF(BM72="",BK72,BM72)</f>
        <v/>
      </c>
      <c r="BO72" s="106" t="str">
        <f>IF(BK73="C",'Dados de Base'!$D$5*0.1,IF(BK73="E",5,IF(BI72="",BN72,BI72)))</f>
        <v/>
      </c>
      <c r="BP72" s="108"/>
      <c r="BQ72" s="115" t="str">
        <f>IF(CC72="","",HYPERLINK(OFFSET(Biblioteca!$B$2,MATCH(CC72,Biblioteca!$A$3:$A$200,0),0),CC72))</f>
        <v/>
      </c>
      <c r="BT72" s="109" t="str">
        <f>Montagem!BY144</f>
        <v/>
      </c>
      <c r="BU72" s="110" t="str">
        <f>Montagem!BZ144</f>
        <v/>
      </c>
      <c r="BV72" s="110" t="str">
        <f>Montagem!CA144</f>
        <v/>
      </c>
      <c r="BW72" s="110" t="str">
        <f>Montagem!CB144</f>
        <v/>
      </c>
      <c r="BX72" s="110" t="str">
        <f>Montagem!CC144</f>
        <v/>
      </c>
      <c r="BY72" s="110" t="str">
        <f>Montagem!CD144</f>
        <v/>
      </c>
      <c r="BZ72" s="114"/>
      <c r="CA72" s="111">
        <f>Montagem!BS144</f>
        <v>1</v>
      </c>
      <c r="CB72" s="111" t="str">
        <f>Montagem!CE144</f>
        <v/>
      </c>
      <c r="CC72" s="111" t="str">
        <f>Montagem!BT144</f>
        <v/>
      </c>
      <c r="CD72" s="111" t="str">
        <f>Montagem!CF144</f>
        <v/>
      </c>
      <c r="CE72" s="106" t="str">
        <f>IF(CD72="",CB72,CD72)</f>
        <v/>
      </c>
      <c r="CF72" s="106" t="str">
        <f>IF(CB73="C",'Dados de Base'!$D$5*0.1,IF(CB73="E",5,IF(BZ72="",CE72,BZ72)))</f>
        <v/>
      </c>
      <c r="CG72" s="108"/>
      <c r="CH72" s="115" t="str">
        <f>IF(CT72="","",HYPERLINK(OFFSET(Biblioteca!$B$2,MATCH(CT72,Biblioteca!$A$3:$A$200,0),0),CT72))</f>
        <v/>
      </c>
      <c r="CK72" s="109" t="str">
        <f>Montagem!CN144</f>
        <v/>
      </c>
      <c r="CL72" s="110" t="str">
        <f>Montagem!CO144</f>
        <v/>
      </c>
      <c r="CM72" s="110" t="str">
        <f>Montagem!CP144</f>
        <v/>
      </c>
      <c r="CN72" s="110" t="str">
        <f>Montagem!CQ144</f>
        <v/>
      </c>
      <c r="CO72" s="110" t="str">
        <f>Montagem!CR144</f>
        <v/>
      </c>
      <c r="CP72" s="110" t="str">
        <f>Montagem!CS144</f>
        <v/>
      </c>
      <c r="CQ72" s="114"/>
      <c r="CR72" s="111">
        <f>Montagem!CH144</f>
        <v>1</v>
      </c>
      <c r="CS72" s="111" t="str">
        <f>Montagem!CT144</f>
        <v/>
      </c>
      <c r="CT72" s="111" t="str">
        <f>Montagem!CI144</f>
        <v/>
      </c>
      <c r="CU72" s="145" t="str">
        <f>Montagem!CU144</f>
        <v/>
      </c>
      <c r="CV72" s="106" t="str">
        <f>IF(CU72="",CS72,CU72)</f>
        <v/>
      </c>
      <c r="CW72" s="106" t="str">
        <f>IF(CS73="C",'Dados de Base'!$D$5*0.1,IF(CS73="E",5,IF(CQ72="",CV72,CQ72)))</f>
        <v/>
      </c>
      <c r="CX72" s="108"/>
      <c r="CY72" s="115" t="str">
        <f>IF(DK72="","",HYPERLINK(OFFSET(Biblioteca!$B$2,MATCH(DK72,Biblioteca!$A$3:$A$200,0),0),DK72))</f>
        <v/>
      </c>
      <c r="DB72" s="130" t="str">
        <f>Montagem!DC144</f>
        <v/>
      </c>
      <c r="DC72" s="131" t="str">
        <f>Montagem!DD144</f>
        <v/>
      </c>
      <c r="DD72" s="131" t="str">
        <f>Montagem!DE144</f>
        <v/>
      </c>
      <c r="DE72" s="131" t="str">
        <f>Montagem!DF144</f>
        <v/>
      </c>
      <c r="DF72" s="131" t="str">
        <f>Montagem!DG144</f>
        <v/>
      </c>
      <c r="DG72" s="131" t="str">
        <f>Montagem!DH144</f>
        <v/>
      </c>
      <c r="DH72" s="114"/>
      <c r="DI72" s="111">
        <f>Montagem!CW144</f>
        <v>1</v>
      </c>
      <c r="DJ72" s="111" t="str">
        <f>Montagem!DI144</f>
        <v/>
      </c>
      <c r="DK72" s="111" t="str">
        <f>Montagem!CX144</f>
        <v/>
      </c>
      <c r="DL72" s="145" t="str">
        <f>Montagem!DJ144</f>
        <v/>
      </c>
      <c r="DM72" s="106" t="str">
        <f>IF(DL72="",DJ72,DL72)</f>
        <v/>
      </c>
      <c r="DN72" s="106" t="str">
        <f>IF(DJ73="C",'Dados de Base'!$D$5*0.1,IF(DJ73="E",5,IF(DH72="",DM72,DH72)))</f>
        <v/>
      </c>
      <c r="DO72" s="108"/>
      <c r="DP72" s="106"/>
      <c r="DQ72" s="106"/>
      <c r="DR72" s="106"/>
      <c r="DS72" s="106"/>
      <c r="DT72" s="106"/>
      <c r="DU72" s="106"/>
      <c r="DV72" s="106"/>
      <c r="DW72" s="106"/>
      <c r="DX72" s="106"/>
      <c r="DY72" s="106"/>
    </row>
    <row r="73">
      <c r="A73" s="117" t="str">
        <f>IF(A72="","",IFS(L73="A",Montagem!$C$130,N73="T","Realizar a maior quantidade de repetições por "&amp;F72&amp;" segundos | ",N73="I",IF(M73="U","Manter a posição por "&amp;F72&amp;" segundos de um lado e trocar para o outro na sequência | ","Manter a posição por "&amp;F72&amp;" segundos | "),M73="A","Realizar alternadamente "&amp;F72&amp;" repetições cada lado | ",M73="U","Realizar "&amp;F72&amp;" repetições de um lado e trocar para o outro na sequência | ",L73="P",OFFSET(Biblioteca!$H$2,MATCH(M72,Biblioteca!$A$3:$A$200,0),0),TRUE,""))</f>
        <v/>
      </c>
      <c r="E73" s="118" t="str">
        <f>IF(A72="","",IFS(L73="H","Carga Sugerida: "&amp;ROUNDUP(O72/2,0)&amp;" kg de cada lado (Total: "&amp;ROUNDUP(O72/2,0)*2&amp;" kg)",L73="C","Este exercício usa o Peso Corporal como carga",L73="E","Este exercício usa a resistência da banda elástica como carga",L73="O","Carga Sugerida: "&amp;INT(O72)&amp;" kg",TRUE,""))</f>
        <v/>
      </c>
      <c r="J73" s="66"/>
      <c r="K73" s="106">
        <f>K72</f>
        <v>1</v>
      </c>
      <c r="L73" s="120" t="str">
        <f>LEFT(O73)</f>
        <v/>
      </c>
      <c r="M73" s="121" t="str">
        <f>MID(O73,2,1)</f>
        <v/>
      </c>
      <c r="N73" s="122" t="str">
        <f>RIGHT(O73)</f>
        <v/>
      </c>
      <c r="O73" s="123" t="str">
        <f>IF(M72="","",OFFSET(Biblioteca!$I$2,MATCH(M72,Biblioteca!$A$3:$A$200,0),0))</f>
        <v/>
      </c>
      <c r="P73" s="124"/>
      <c r="Q73" s="125"/>
      <c r="R73" s="117" t="str">
        <f>IF(R72="","",IFS(AC73="A",Montagem!$D$130,AE73="T","Realizar a maior quantidade de repetições por "&amp;W72&amp;" segundos | ",AE73="I",IF(AD73="U","Manter a posição por "&amp;W72&amp;" segundos de um lado e trocar para o outro na sequência | ","Manter a posição por "&amp;W72&amp;" segundos | "),AD73="A","Realizar alternadamente "&amp;W72&amp;" repetições cada lado | ",AD73="U","Realizar "&amp;W72&amp;" repetições de um lado e trocar para o outro na sequência | ",AC73="P",OFFSET(Biblioteca!$H$2,MATCH(AD72,Biblioteca!$A$3:$A$200,0),0),TRUE,""))</f>
        <v/>
      </c>
      <c r="V73" s="118" t="str">
        <f>IF(R72="","",IFS(AC73="H","Carga Sugerida: "&amp;ROUNDUP(AF72/2,0)&amp;" kg de cada lado (Total: "&amp;ROUNDUP(AF72/2,0)*2&amp;" kg)",AC73="C","Este exercício usa o Peso Corporal como carga",AC73="E","Este exercício usa a resistência da banda elástica como carga",AC73="O","Carga Sugerida: "&amp;INT(AF72)&amp;" kg",TRUE,""))</f>
        <v/>
      </c>
      <c r="AA73" s="66"/>
      <c r="AB73" s="111">
        <f>AB72</f>
        <v>1</v>
      </c>
      <c r="AC73" s="120" t="str">
        <f>LEFT(AF73)</f>
        <v/>
      </c>
      <c r="AD73" s="121" t="str">
        <f>MID(AF73,2,1)</f>
        <v/>
      </c>
      <c r="AE73" s="122" t="str">
        <f>RIGHT(AF73)</f>
        <v/>
      </c>
      <c r="AF73" s="123" t="str">
        <f>IF(AD72="","",OFFSET(Biblioteca!$I$2,MATCH(AD72,Biblioteca!$A$3:$A$200,0),0))</f>
        <v/>
      </c>
      <c r="AG73" s="124"/>
      <c r="AH73" s="125"/>
      <c r="AI73" s="117" t="str">
        <f>IF(AI72="","",IFS(AT73="A",Montagem!$E$130,AV73="T","Realizar a maior quantidade de repetições por "&amp;AN72&amp;" segundos | ",AV73="I",IF(AU73="U","Manter a posição por "&amp;AN72&amp;" segundos de um lado e trocar para o outro na sequência | ","Manter a posição por "&amp;AN72&amp;" segundos | "),AU73="A","Realizar alternadamente "&amp;AN72&amp;" repetições cada lado | ",AU73="U","Realizar "&amp;AN72&amp;" repetições de um lado e trocar para o outro na sequência | ",AT73="P",OFFSET(Biblioteca!$H$2,MATCH(AU72,Biblioteca!$A$3:$A$200,0),0),TRUE,""))</f>
        <v/>
      </c>
      <c r="AM73" s="118" t="str">
        <f>IF(AI72="","",IFS(AT73="H","Carga Sugerida: "&amp;ROUNDUP(AW72/2,0)&amp;" kg de cada lado (Total: "&amp;ROUNDUP(AW72/2,0)*2&amp;" kg)",AT73="C","Este exercício usa o Peso Corporal como carga",AT73="E","Este exercício usa a resistência da banda elástica como carga",AT73="O","Carga Sugerida: "&amp;INT(AW72)&amp;" kg",TRUE,""))</f>
        <v/>
      </c>
      <c r="AR73" s="66"/>
      <c r="AS73" s="111">
        <f>AS72</f>
        <v>1</v>
      </c>
      <c r="AT73" s="120" t="str">
        <f>LEFT(AW73)</f>
        <v/>
      </c>
      <c r="AU73" s="121" t="str">
        <f>MID(AW73,2,1)</f>
        <v/>
      </c>
      <c r="AV73" s="122" t="str">
        <f>RIGHT(AW73)</f>
        <v/>
      </c>
      <c r="AW73" s="123" t="str">
        <f>IF(AU72="","",OFFSET(Biblioteca!$I$2,MATCH(AU72,Biblioteca!$A$3:$A$200,0),0))</f>
        <v/>
      </c>
      <c r="AX73" s="124"/>
      <c r="AY73" s="125"/>
      <c r="AZ73" s="117" t="str">
        <f>IF(AZ72="","",IFS(BK73="A",Montagem!$F$130,BM73="T","Realizar a maior quantidade de repetições por "&amp;BE72&amp;" segundos | ",BM73="I",IF(BL73="U","Manter a posição por "&amp;BE72&amp;" segundos de um lado e trocar para o outro na sequência | ","Manter a posição por "&amp;BE72&amp;" segundos | "),BL73="A","Realizar alternadamente "&amp;BE72&amp;" repetições cada lado | ",BL73="U","Realizar "&amp;BE72&amp;" repetições de um lado e trocar para o outro na sequência | ",BK73="P",OFFSET(Biblioteca!$H$2,MATCH(BL72,Biblioteca!$A$3:$A$200,0),0),TRUE,""))</f>
        <v/>
      </c>
      <c r="BD73" s="118" t="str">
        <f>IF(AZ72="","",IFS(BK73="H","Carga Sugerida: "&amp;ROUNDUP(BN72/2,0)&amp;" kg de cada lado (Total: "&amp;ROUNDUP(BN72/2,0)*2&amp;" kg)",BK73="C","Este exercício usa o Peso Corporal como carga",BK73="E","Este exercício usa a resistência da banda elástica como carga",BK73="O","Carga Sugerida: "&amp;INT(BN72)&amp;" kg",TRUE,""))</f>
        <v/>
      </c>
      <c r="BI73" s="66"/>
      <c r="BJ73" s="111">
        <f>BJ72</f>
        <v>1</v>
      </c>
      <c r="BK73" s="120" t="str">
        <f>LEFT(BN73)</f>
        <v/>
      </c>
      <c r="BL73" s="121" t="str">
        <f>MID(BN73,2,1)</f>
        <v/>
      </c>
      <c r="BM73" s="122" t="str">
        <f>RIGHT(BN73)</f>
        <v/>
      </c>
      <c r="BN73" s="123" t="str">
        <f>IF(BL72="","",OFFSET(Biblioteca!$I$2,MATCH(BL72,Biblioteca!$A$3:$A$200,0),0))</f>
        <v/>
      </c>
      <c r="BO73" s="124"/>
      <c r="BP73" s="125"/>
      <c r="BQ73" s="117" t="str">
        <f>IF(BQ72="","",IFS(CB73="A",Montagem!$G$130,CD73="T","Realizar a maior quantidade de repetições por "&amp;BV72&amp;" segundos | ",CD73="I",IF(CC73="U","Manter a posição por "&amp;BV72&amp;" segundos de um lado e trocar para o outro na sequência | ","Manter a posição por "&amp;BV72&amp;" segundos | "),CC73="A","Realizar alternadamente "&amp;BV72&amp;" repetições cada lado | ",CC73="U","Realizar "&amp;BV72&amp;" repetições de um lado e trocar para o outro na sequência | ",CB73="P",OFFSET(Biblioteca!$H$2,MATCH(CC72,Biblioteca!$A$3:$A$200,0),0),TRUE,""))</f>
        <v/>
      </c>
      <c r="BU73" s="118" t="str">
        <f>IF(BQ72="","",IFS(CB73="H","Carga Sugerida: "&amp;ROUNDUP(CE72/2,0)&amp;" kg de cada lado (Total: "&amp;ROUNDUP(CE72/2,0)*2&amp;" kg)",CB73="C","Este exercício usa o Peso Corporal como carga",CB73="E","Este exercício usa a resistência da banda elástica como carga",CB73="O","Carga Sugerida: "&amp;INT(CE72)&amp;" kg",TRUE,""))</f>
        <v/>
      </c>
      <c r="BZ73" s="66"/>
      <c r="CA73" s="111">
        <f>CA72</f>
        <v>1</v>
      </c>
      <c r="CB73" s="120" t="str">
        <f>LEFT(CE73)</f>
        <v/>
      </c>
      <c r="CC73" s="121" t="str">
        <f>MID(CE73,2,1)</f>
        <v/>
      </c>
      <c r="CD73" s="122" t="str">
        <f>RIGHT(CE73)</f>
        <v/>
      </c>
      <c r="CE73" s="123" t="str">
        <f>IF(CC72="","",OFFSET(Biblioteca!$I$2,MATCH(CC72,Biblioteca!$A$3:$A$200,0),0))</f>
        <v/>
      </c>
      <c r="CF73" s="124"/>
      <c r="CG73" s="125"/>
      <c r="CH73" s="117" t="str">
        <f>IF(CH72="","",IFS(CS73="A",Montagem!$H$130,CU73="T","Realizar a maior quantidade de repetições por "&amp;CM72&amp;" segundos | ",CU73="I",IF(CT73="U","Manter a posição por "&amp;CM72&amp;" segundos de um lado e trocar para o outro na sequência | ","Manter a posição por "&amp;CM72&amp;" segundos | "),CT73="A","Realizar alternadamente "&amp;CM72&amp;" repetições cada lado | ",CT73="U","Realizar "&amp;CM72&amp;" repetições de um lado e trocar para o outro na sequência | ",CS73="P",OFFSET(Biblioteca!$H$2,MATCH(CT72,Biblioteca!$A$3:$A$200,0),0),TRUE,""))</f>
        <v/>
      </c>
      <c r="CL73" s="118" t="str">
        <f>IF(CH72="","",IFS(CS73="H","Carga Sugerida: "&amp;ROUNDUP(CV72/2,0)&amp;" kg de cada lado (Total: "&amp;ROUNDUP(CV72/2,0)*2&amp;" kg)",CS73="C","Este exercício usa o Peso Corporal como carga",CS73="E","Este exercício usa a resistência da banda elástica como carga",CS73="O","Carga Sugerida: "&amp;INT(CV72)&amp;" kg",TRUE,""))</f>
        <v/>
      </c>
      <c r="CQ73" s="66"/>
      <c r="CR73" s="111">
        <f>CR72</f>
        <v>1</v>
      </c>
      <c r="CS73" s="120" t="str">
        <f>LEFT(CV73)</f>
        <v/>
      </c>
      <c r="CT73" s="121" t="str">
        <f>MID(CV73,2,1)</f>
        <v/>
      </c>
      <c r="CU73" s="122" t="str">
        <f>RIGHT(CV73)</f>
        <v/>
      </c>
      <c r="CV73" s="123" t="str">
        <f>IF(CT72="","",OFFSET(Biblioteca!$I$2,MATCH(CT72,Biblioteca!$A$3:$A$200,0),0))</f>
        <v/>
      </c>
      <c r="CW73" s="124"/>
      <c r="CX73" s="125"/>
      <c r="CY73" s="117" t="str">
        <f>IF(CY72="","",IFS(DJ73="A",Montagem!$I$130,DL73="T","Realizar a maior quantidade de repetições por "&amp;DD72&amp;" segundos | ",DL73="I",IF(DK73="U","Manter a posição por "&amp;DD72&amp;" segundos de um lado e trocar para o outro na sequência | ","Manter a posição por "&amp;DD72&amp;" segundos | "),DK73="A","Realizar alternadamente "&amp;DD72&amp;" repetições cada lado | ",DK73="U","Realizar "&amp;DD72&amp;" repetições de um lado e trocar para o outro na sequência | ",DJ73="P",OFFSET(Biblioteca!$H$2,MATCH(DK72,Biblioteca!$A$3:$A$200,0),0),TRUE,""))</f>
        <v/>
      </c>
      <c r="DC73" s="118" t="str">
        <f>IF(CY72="","",IFS(DJ73="H","Carga Sugerida: "&amp;ROUNDUP(DM72/2,0)&amp;" kg de cada lado (Total: "&amp;ROUNDUP(DM72/2,0)*2&amp;" kg)",DJ73="C","Este exercício usa o Peso Corporal como carga",DJ73="E","Este exercício usa a resistência da banda elástica como carga",DJ73="O","Carga Sugerida: "&amp;INT(DM72)&amp;" kg",TRUE,""))</f>
        <v/>
      </c>
      <c r="DH73" s="66"/>
      <c r="DI73" s="111">
        <f>DI72</f>
        <v>1</v>
      </c>
      <c r="DJ73" s="120" t="str">
        <f>LEFT(DM73)</f>
        <v/>
      </c>
      <c r="DK73" s="121" t="str">
        <f>MID(DM73,2,1)</f>
        <v/>
      </c>
      <c r="DL73" s="122" t="str">
        <f>RIGHT(DM73)</f>
        <v/>
      </c>
      <c r="DM73" s="123" t="str">
        <f>IF(DK72="","",OFFSET(Biblioteca!$I$2,MATCH(DK72,Biblioteca!$A$3:$A$200,0),0))</f>
        <v/>
      </c>
      <c r="DN73" s="124"/>
      <c r="DO73" s="125"/>
      <c r="DP73" s="57"/>
      <c r="DQ73" s="56"/>
      <c r="DR73" s="56"/>
      <c r="DS73" s="56"/>
      <c r="DT73" s="56"/>
      <c r="DU73" s="56"/>
      <c r="DV73" s="56"/>
      <c r="DW73" s="56"/>
      <c r="DX73" s="56"/>
      <c r="DY73" s="56"/>
    </row>
    <row r="74">
      <c r="A74" s="154" t="s">
        <v>49</v>
      </c>
      <c r="B74" s="155"/>
      <c r="C74" s="155"/>
      <c r="D74" s="155"/>
      <c r="E74" s="155"/>
      <c r="F74" s="155"/>
      <c r="G74" s="155"/>
      <c r="H74" s="155"/>
      <c r="I74" s="155"/>
      <c r="J74" s="156"/>
      <c r="K74" s="57"/>
      <c r="L74" s="57"/>
      <c r="M74" s="57"/>
      <c r="N74" s="57"/>
      <c r="O74" s="57"/>
      <c r="P74" s="57"/>
      <c r="Q74" s="58"/>
      <c r="R74" s="154" t="s">
        <v>49</v>
      </c>
      <c r="S74" s="155"/>
      <c r="T74" s="155"/>
      <c r="U74" s="155"/>
      <c r="V74" s="155"/>
      <c r="W74" s="155"/>
      <c r="X74" s="155"/>
      <c r="Y74" s="155"/>
      <c r="Z74" s="155"/>
      <c r="AA74" s="156"/>
      <c r="AB74" s="57"/>
      <c r="AC74" s="57"/>
      <c r="AD74" s="57"/>
      <c r="AE74" s="57"/>
      <c r="AF74" s="57"/>
      <c r="AG74" s="57"/>
      <c r="AH74" s="58"/>
      <c r="AI74" s="154" t="s">
        <v>49</v>
      </c>
      <c r="AJ74" s="155"/>
      <c r="AK74" s="155"/>
      <c r="AL74" s="155"/>
      <c r="AM74" s="155"/>
      <c r="AN74" s="155"/>
      <c r="AO74" s="155"/>
      <c r="AP74" s="155"/>
      <c r="AQ74" s="155"/>
      <c r="AR74" s="156"/>
      <c r="AS74" s="57"/>
      <c r="AT74" s="57"/>
      <c r="AU74" s="57"/>
      <c r="AV74" s="57"/>
      <c r="AW74" s="57"/>
      <c r="AX74" s="57"/>
      <c r="AY74" s="58"/>
      <c r="AZ74" s="154" t="s">
        <v>49</v>
      </c>
      <c r="BA74" s="155"/>
      <c r="BB74" s="155"/>
      <c r="BC74" s="155"/>
      <c r="BD74" s="155"/>
      <c r="BE74" s="155"/>
      <c r="BF74" s="155"/>
      <c r="BG74" s="155"/>
      <c r="BH74" s="155"/>
      <c r="BI74" s="156"/>
      <c r="BJ74" s="57"/>
      <c r="BK74" s="57"/>
      <c r="BL74" s="57"/>
      <c r="BM74" s="57"/>
      <c r="BN74" s="57"/>
      <c r="BO74" s="57"/>
      <c r="BP74" s="58"/>
      <c r="BQ74" s="154" t="s">
        <v>49</v>
      </c>
      <c r="BR74" s="155"/>
      <c r="BS74" s="155"/>
      <c r="BT74" s="155"/>
      <c r="BU74" s="155"/>
      <c r="BV74" s="155"/>
      <c r="BW74" s="155"/>
      <c r="BX74" s="155"/>
      <c r="BY74" s="155"/>
      <c r="BZ74" s="156"/>
      <c r="CA74" s="57"/>
      <c r="CB74" s="57"/>
      <c r="CC74" s="57"/>
      <c r="CD74" s="57"/>
      <c r="CE74" s="57"/>
      <c r="CF74" s="57"/>
      <c r="CG74" s="58"/>
      <c r="CH74" s="154" t="s">
        <v>49</v>
      </c>
      <c r="CI74" s="155"/>
      <c r="CJ74" s="155"/>
      <c r="CK74" s="155"/>
      <c r="CL74" s="155"/>
      <c r="CM74" s="155"/>
      <c r="CN74" s="155"/>
      <c r="CO74" s="155"/>
      <c r="CP74" s="155"/>
      <c r="CQ74" s="156"/>
      <c r="CR74" s="57"/>
      <c r="CS74" s="57"/>
      <c r="CT74" s="57"/>
      <c r="CU74" s="57"/>
      <c r="CV74" s="57"/>
      <c r="CW74" s="57"/>
      <c r="CX74" s="58"/>
      <c r="CY74" s="154" t="s">
        <v>49</v>
      </c>
      <c r="CZ74" s="155"/>
      <c r="DA74" s="155"/>
      <c r="DB74" s="155"/>
      <c r="DC74" s="155"/>
      <c r="DD74" s="155"/>
      <c r="DE74" s="155"/>
      <c r="DF74" s="155"/>
      <c r="DG74" s="155"/>
      <c r="DH74" s="156"/>
      <c r="DI74" s="57"/>
      <c r="DJ74" s="57"/>
      <c r="DK74" s="57"/>
      <c r="DL74" s="57"/>
      <c r="DM74" s="57"/>
      <c r="DN74" s="57"/>
      <c r="DO74" s="58"/>
      <c r="DP74" s="57"/>
      <c r="DQ74" s="56"/>
      <c r="DR74" s="56"/>
      <c r="DS74" s="56"/>
      <c r="DT74" s="56"/>
      <c r="DU74" s="56"/>
      <c r="DV74" s="56"/>
      <c r="DW74" s="56"/>
      <c r="DX74" s="56"/>
      <c r="DY74" s="56"/>
    </row>
    <row r="75">
      <c r="A75" s="159"/>
      <c r="J75" s="66"/>
      <c r="K75" s="158"/>
      <c r="L75" s="158"/>
      <c r="M75" s="158"/>
      <c r="N75" s="158"/>
      <c r="O75" s="158"/>
      <c r="P75" s="158"/>
      <c r="Q75" s="158"/>
      <c r="R75" s="159"/>
      <c r="AA75" s="66"/>
      <c r="AB75" s="158"/>
      <c r="AC75" s="158"/>
      <c r="AD75" s="158"/>
      <c r="AE75" s="158"/>
      <c r="AF75" s="158"/>
      <c r="AG75" s="158"/>
      <c r="AH75" s="158"/>
      <c r="AI75" s="159"/>
      <c r="AR75" s="66"/>
      <c r="AS75" s="158"/>
      <c r="AT75" s="158"/>
      <c r="AU75" s="158"/>
      <c r="AV75" s="158"/>
      <c r="AW75" s="158"/>
      <c r="AX75" s="158"/>
      <c r="AY75" s="158"/>
      <c r="AZ75" s="160"/>
      <c r="BI75" s="66"/>
      <c r="BJ75" s="158"/>
      <c r="BK75" s="158"/>
      <c r="BL75" s="158"/>
      <c r="BM75" s="158"/>
      <c r="BN75" s="158"/>
      <c r="BO75" s="158"/>
      <c r="BP75" s="158"/>
      <c r="BQ75" s="160"/>
      <c r="BZ75" s="66"/>
      <c r="CA75" s="158"/>
      <c r="CB75" s="158"/>
      <c r="CC75" s="158"/>
      <c r="CD75" s="158"/>
      <c r="CE75" s="158"/>
      <c r="CF75" s="158"/>
      <c r="CG75" s="158"/>
      <c r="CH75" s="159"/>
      <c r="CQ75" s="66"/>
      <c r="CR75" s="158"/>
      <c r="CS75" s="158"/>
      <c r="CT75" s="158"/>
      <c r="CU75" s="158"/>
      <c r="CV75" s="158"/>
      <c r="CW75" s="158"/>
      <c r="CX75" s="158"/>
      <c r="CY75" s="159"/>
      <c r="DH75" s="66"/>
      <c r="DI75" s="57"/>
      <c r="DJ75" s="57"/>
      <c r="DK75" s="57"/>
      <c r="DL75" s="57"/>
      <c r="DM75" s="57"/>
      <c r="DN75" s="57"/>
      <c r="DO75" s="58"/>
      <c r="DP75" s="57"/>
      <c r="DQ75" s="56"/>
      <c r="DR75" s="56"/>
      <c r="DS75" s="56"/>
      <c r="DT75" s="56"/>
      <c r="DU75" s="56"/>
      <c r="DV75" s="56"/>
      <c r="DW75" s="56"/>
      <c r="DX75" s="56"/>
      <c r="DY75" s="56"/>
    </row>
    <row r="76">
      <c r="A76" s="159"/>
      <c r="J76" s="66"/>
      <c r="K76" s="158"/>
      <c r="L76" s="158"/>
      <c r="M76" s="158"/>
      <c r="N76" s="158"/>
      <c r="O76" s="158"/>
      <c r="P76" s="158"/>
      <c r="Q76" s="158"/>
      <c r="R76" s="159"/>
      <c r="AA76" s="66"/>
      <c r="AB76" s="158"/>
      <c r="AC76" s="158"/>
      <c r="AD76" s="158"/>
      <c r="AE76" s="158"/>
      <c r="AF76" s="158"/>
      <c r="AG76" s="158"/>
      <c r="AH76" s="158"/>
      <c r="AI76" s="159"/>
      <c r="AR76" s="66"/>
      <c r="AS76" s="158"/>
      <c r="AT76" s="158"/>
      <c r="AU76" s="158"/>
      <c r="AV76" s="158"/>
      <c r="AW76" s="158"/>
      <c r="AX76" s="158"/>
      <c r="AY76" s="158"/>
      <c r="AZ76" s="160"/>
      <c r="BI76" s="66"/>
      <c r="BJ76" s="158"/>
      <c r="BK76" s="158"/>
      <c r="BL76" s="158"/>
      <c r="BM76" s="158"/>
      <c r="BN76" s="158"/>
      <c r="BO76" s="158"/>
      <c r="BP76" s="158"/>
      <c r="BQ76" s="160"/>
      <c r="BZ76" s="66"/>
      <c r="CA76" s="158"/>
      <c r="CB76" s="158"/>
      <c r="CC76" s="158"/>
      <c r="CD76" s="158"/>
      <c r="CE76" s="158"/>
      <c r="CF76" s="158"/>
      <c r="CG76" s="158"/>
      <c r="CH76" s="159"/>
      <c r="CQ76" s="66"/>
      <c r="CR76" s="158"/>
      <c r="CS76" s="158"/>
      <c r="CT76" s="158"/>
      <c r="CU76" s="158"/>
      <c r="CV76" s="158"/>
      <c r="CW76" s="158"/>
      <c r="CX76" s="158"/>
      <c r="CY76" s="159"/>
      <c r="DH76" s="66"/>
      <c r="DI76" s="57"/>
      <c r="DJ76" s="57"/>
      <c r="DK76" s="57"/>
      <c r="DL76" s="57"/>
      <c r="DM76" s="57"/>
      <c r="DN76" s="57"/>
      <c r="DO76" s="58"/>
      <c r="DP76" s="57"/>
      <c r="DQ76" s="56"/>
      <c r="DR76" s="56"/>
      <c r="DS76" s="56"/>
      <c r="DT76" s="56"/>
      <c r="DU76" s="56"/>
      <c r="DV76" s="56"/>
      <c r="DW76" s="56"/>
      <c r="DX76" s="56"/>
      <c r="DY76" s="56"/>
    </row>
    <row r="77">
      <c r="A77" s="159"/>
      <c r="J77" s="66"/>
      <c r="K77" s="158"/>
      <c r="L77" s="158"/>
      <c r="M77" s="158"/>
      <c r="N77" s="158"/>
      <c r="O77" s="158"/>
      <c r="P77" s="158"/>
      <c r="Q77" s="158"/>
      <c r="R77" s="159"/>
      <c r="AA77" s="66"/>
      <c r="AB77" s="158"/>
      <c r="AC77" s="158"/>
      <c r="AD77" s="158"/>
      <c r="AE77" s="158"/>
      <c r="AF77" s="158"/>
      <c r="AG77" s="158"/>
      <c r="AH77" s="158"/>
      <c r="AI77" s="159"/>
      <c r="AR77" s="66"/>
      <c r="AS77" s="158"/>
      <c r="AT77" s="158"/>
      <c r="AU77" s="158"/>
      <c r="AV77" s="158"/>
      <c r="AW77" s="158"/>
      <c r="AX77" s="158"/>
      <c r="AY77" s="158"/>
      <c r="AZ77" s="160"/>
      <c r="BI77" s="66"/>
      <c r="BJ77" s="158"/>
      <c r="BK77" s="158"/>
      <c r="BL77" s="158"/>
      <c r="BM77" s="158"/>
      <c r="BN77" s="158"/>
      <c r="BO77" s="158"/>
      <c r="BP77" s="158"/>
      <c r="BQ77" s="160"/>
      <c r="BZ77" s="66"/>
      <c r="CA77" s="158"/>
      <c r="CB77" s="158"/>
      <c r="CC77" s="158"/>
      <c r="CD77" s="158"/>
      <c r="CE77" s="158"/>
      <c r="CF77" s="158"/>
      <c r="CG77" s="158"/>
      <c r="CH77" s="159"/>
      <c r="CQ77" s="66"/>
      <c r="CR77" s="158"/>
      <c r="CS77" s="158"/>
      <c r="CT77" s="158"/>
      <c r="CU77" s="158"/>
      <c r="CV77" s="158"/>
      <c r="CW77" s="158"/>
      <c r="CX77" s="158"/>
      <c r="CY77" s="159"/>
      <c r="DH77" s="66"/>
      <c r="DI77" s="57"/>
      <c r="DJ77" s="57"/>
      <c r="DK77" s="57"/>
      <c r="DL77" s="57"/>
      <c r="DM77" s="57"/>
      <c r="DN77" s="57"/>
      <c r="DO77" s="58"/>
      <c r="DP77" s="57"/>
      <c r="DQ77" s="56"/>
      <c r="DR77" s="56"/>
      <c r="DS77" s="56"/>
      <c r="DT77" s="56"/>
      <c r="DU77" s="56"/>
      <c r="DV77" s="56"/>
      <c r="DW77" s="56"/>
      <c r="DX77" s="56"/>
      <c r="DY77" s="56"/>
    </row>
    <row r="78">
      <c r="A78" s="159"/>
      <c r="J78" s="66"/>
      <c r="K78" s="158"/>
      <c r="L78" s="158"/>
      <c r="M78" s="158"/>
      <c r="N78" s="158"/>
      <c r="O78" s="158"/>
      <c r="P78" s="158"/>
      <c r="Q78" s="158"/>
      <c r="R78" s="159"/>
      <c r="AA78" s="66"/>
      <c r="AB78" s="158"/>
      <c r="AC78" s="158"/>
      <c r="AD78" s="158"/>
      <c r="AE78" s="158"/>
      <c r="AF78" s="158"/>
      <c r="AG78" s="158"/>
      <c r="AH78" s="158"/>
      <c r="AI78" s="159"/>
      <c r="AR78" s="66"/>
      <c r="AS78" s="158"/>
      <c r="AT78" s="158"/>
      <c r="AU78" s="158"/>
      <c r="AV78" s="158"/>
      <c r="AW78" s="158"/>
      <c r="AX78" s="158"/>
      <c r="AY78" s="158"/>
      <c r="AZ78" s="160"/>
      <c r="BI78" s="66"/>
      <c r="BJ78" s="158"/>
      <c r="BK78" s="158"/>
      <c r="BL78" s="158"/>
      <c r="BM78" s="158"/>
      <c r="BN78" s="158"/>
      <c r="BO78" s="158"/>
      <c r="BP78" s="158"/>
      <c r="BQ78" s="160"/>
      <c r="BZ78" s="66"/>
      <c r="CA78" s="158"/>
      <c r="CB78" s="158"/>
      <c r="CC78" s="158"/>
      <c r="CD78" s="158"/>
      <c r="CE78" s="158"/>
      <c r="CF78" s="158"/>
      <c r="CG78" s="158"/>
      <c r="CH78" s="159"/>
      <c r="CQ78" s="66"/>
      <c r="CR78" s="158"/>
      <c r="CS78" s="158"/>
      <c r="CT78" s="158"/>
      <c r="CU78" s="158"/>
      <c r="CV78" s="158"/>
      <c r="CW78" s="158"/>
      <c r="CX78" s="158"/>
      <c r="CY78" s="159"/>
      <c r="DH78" s="66"/>
      <c r="DI78" s="57"/>
      <c r="DJ78" s="57"/>
      <c r="DK78" s="57"/>
      <c r="DL78" s="57"/>
      <c r="DM78" s="57"/>
      <c r="DN78" s="57"/>
      <c r="DO78" s="58"/>
      <c r="DP78" s="57"/>
      <c r="DQ78" s="56"/>
      <c r="DR78" s="56"/>
      <c r="DS78" s="56"/>
      <c r="DT78" s="56"/>
      <c r="DU78" s="56"/>
      <c r="DV78" s="56"/>
      <c r="DW78" s="56"/>
      <c r="DX78" s="56"/>
      <c r="DY78" s="56"/>
    </row>
    <row r="79">
      <c r="A79" s="165"/>
      <c r="B79" s="163"/>
      <c r="C79" s="163"/>
      <c r="D79" s="163"/>
      <c r="E79" s="163"/>
      <c r="F79" s="163"/>
      <c r="G79" s="163"/>
      <c r="H79" s="163"/>
      <c r="I79" s="163"/>
      <c r="J79" s="164"/>
      <c r="K79" s="158"/>
      <c r="L79" s="158"/>
      <c r="M79" s="158"/>
      <c r="N79" s="158"/>
      <c r="O79" s="158"/>
      <c r="P79" s="158"/>
      <c r="Q79" s="158"/>
      <c r="R79" s="165"/>
      <c r="S79" s="163"/>
      <c r="T79" s="163"/>
      <c r="U79" s="163"/>
      <c r="V79" s="163"/>
      <c r="W79" s="163"/>
      <c r="X79" s="163"/>
      <c r="Y79" s="163"/>
      <c r="Z79" s="163"/>
      <c r="AA79" s="164"/>
      <c r="AB79" s="158"/>
      <c r="AC79" s="158"/>
      <c r="AD79" s="158"/>
      <c r="AE79" s="158"/>
      <c r="AF79" s="158"/>
      <c r="AG79" s="158"/>
      <c r="AH79" s="158"/>
      <c r="AI79" s="165"/>
      <c r="AJ79" s="163"/>
      <c r="AK79" s="163"/>
      <c r="AL79" s="163"/>
      <c r="AM79" s="163"/>
      <c r="AN79" s="163"/>
      <c r="AO79" s="163"/>
      <c r="AP79" s="163"/>
      <c r="AQ79" s="163"/>
      <c r="AR79" s="164"/>
      <c r="AS79" s="158"/>
      <c r="AT79" s="158"/>
      <c r="AU79" s="158"/>
      <c r="AV79" s="158"/>
      <c r="AW79" s="158"/>
      <c r="AX79" s="158"/>
      <c r="AY79" s="158"/>
      <c r="AZ79" s="166"/>
      <c r="BA79" s="163"/>
      <c r="BB79" s="163"/>
      <c r="BC79" s="163"/>
      <c r="BD79" s="163"/>
      <c r="BE79" s="163"/>
      <c r="BF79" s="163"/>
      <c r="BG79" s="163"/>
      <c r="BH79" s="163"/>
      <c r="BI79" s="164"/>
      <c r="BJ79" s="158"/>
      <c r="BK79" s="158"/>
      <c r="BL79" s="158"/>
      <c r="BM79" s="158"/>
      <c r="BN79" s="158"/>
      <c r="BO79" s="158"/>
      <c r="BP79" s="158"/>
      <c r="BQ79" s="165"/>
      <c r="BR79" s="163"/>
      <c r="BS79" s="163"/>
      <c r="BT79" s="163"/>
      <c r="BU79" s="163"/>
      <c r="BV79" s="163"/>
      <c r="BW79" s="163"/>
      <c r="BX79" s="163"/>
      <c r="BY79" s="163"/>
      <c r="BZ79" s="164"/>
      <c r="CA79" s="158"/>
      <c r="CB79" s="158"/>
      <c r="CC79" s="158"/>
      <c r="CD79" s="158"/>
      <c r="CE79" s="158"/>
      <c r="CF79" s="158"/>
      <c r="CG79" s="158"/>
      <c r="CH79" s="165"/>
      <c r="CI79" s="163"/>
      <c r="CJ79" s="163"/>
      <c r="CK79" s="163"/>
      <c r="CL79" s="163"/>
      <c r="CM79" s="163"/>
      <c r="CN79" s="163"/>
      <c r="CO79" s="163"/>
      <c r="CP79" s="163"/>
      <c r="CQ79" s="164"/>
      <c r="CR79" s="158"/>
      <c r="CS79" s="158"/>
      <c r="CT79" s="158"/>
      <c r="CU79" s="158"/>
      <c r="CV79" s="158"/>
      <c r="CW79" s="158"/>
      <c r="CX79" s="158"/>
      <c r="CY79" s="165"/>
      <c r="CZ79" s="163"/>
      <c r="DA79" s="163"/>
      <c r="DB79" s="163"/>
      <c r="DC79" s="163"/>
      <c r="DD79" s="163"/>
      <c r="DE79" s="163"/>
      <c r="DF79" s="163"/>
      <c r="DG79" s="163"/>
      <c r="DH79" s="164"/>
      <c r="DI79" s="57"/>
      <c r="DJ79" s="57"/>
      <c r="DK79" s="57"/>
      <c r="DL79" s="57"/>
      <c r="DM79" s="57"/>
      <c r="DN79" s="57"/>
      <c r="DO79" s="58"/>
      <c r="DP79" s="57"/>
      <c r="DQ79" s="56"/>
      <c r="DR79" s="56"/>
      <c r="DS79" s="56"/>
      <c r="DT79" s="56"/>
      <c r="DU79" s="56"/>
      <c r="DV79" s="56"/>
      <c r="DW79" s="56"/>
      <c r="DX79" s="56"/>
      <c r="DY79" s="56"/>
    </row>
    <row r="80">
      <c r="A80" s="167" t="s">
        <v>50</v>
      </c>
      <c r="B80" s="168"/>
      <c r="C80" s="168"/>
      <c r="D80" s="169" t="s">
        <v>56</v>
      </c>
      <c r="E80" s="168"/>
      <c r="F80" s="168"/>
      <c r="G80" s="168"/>
      <c r="H80" s="168"/>
      <c r="I80" s="168"/>
      <c r="J80" s="170"/>
      <c r="K80" s="106" t="str">
        <f>Montagem!X146</f>
        <v/>
      </c>
      <c r="L80" s="57">
        <f>MAX(M80,K80)</f>
        <v>3</v>
      </c>
      <c r="M80" s="57">
        <f>LEFT(D80,2)+0</f>
        <v>3</v>
      </c>
      <c r="N80" s="57"/>
      <c r="O80" s="57"/>
      <c r="P80" s="57"/>
      <c r="Q80" s="58"/>
      <c r="R80" s="167" t="s">
        <v>50</v>
      </c>
      <c r="S80" s="168"/>
      <c r="T80" s="168"/>
      <c r="U80" s="169" t="s">
        <v>57</v>
      </c>
      <c r="V80" s="168"/>
      <c r="W80" s="168"/>
      <c r="X80" s="168"/>
      <c r="Y80" s="168"/>
      <c r="Z80" s="168"/>
      <c r="AA80" s="170"/>
      <c r="AB80" s="106" t="str">
        <f>Montagem!AM146</f>
        <v/>
      </c>
      <c r="AC80" s="57">
        <f>MAX(AD80,AB80)</f>
        <v>4</v>
      </c>
      <c r="AD80" s="57">
        <f>LEFT(U80,2)+0</f>
        <v>4</v>
      </c>
      <c r="AE80" s="57"/>
      <c r="AF80" s="57"/>
      <c r="AG80" s="57"/>
      <c r="AH80" s="58"/>
      <c r="AI80" s="167" t="s">
        <v>50</v>
      </c>
      <c r="AJ80" s="168"/>
      <c r="AK80" s="168"/>
      <c r="AL80" s="169" t="s">
        <v>57</v>
      </c>
      <c r="AM80" s="168"/>
      <c r="AN80" s="168"/>
      <c r="AO80" s="168"/>
      <c r="AP80" s="168"/>
      <c r="AQ80" s="168"/>
      <c r="AR80" s="170"/>
      <c r="AS80" s="106" t="str">
        <f>Montagem!BB146</f>
        <v/>
      </c>
      <c r="AT80" s="57">
        <f>MAX(AU80,AS80)</f>
        <v>4</v>
      </c>
      <c r="AU80" s="57">
        <f>LEFT(AL80,2)+0</f>
        <v>4</v>
      </c>
      <c r="AV80" s="57"/>
      <c r="AW80" s="57"/>
      <c r="AX80" s="57"/>
      <c r="AY80" s="58"/>
      <c r="AZ80" s="167" t="s">
        <v>50</v>
      </c>
      <c r="BA80" s="168"/>
      <c r="BB80" s="168"/>
      <c r="BC80" s="169" t="s">
        <v>56</v>
      </c>
      <c r="BD80" s="168"/>
      <c r="BE80" s="168"/>
      <c r="BF80" s="168"/>
      <c r="BG80" s="168"/>
      <c r="BH80" s="168"/>
      <c r="BI80" s="170"/>
      <c r="BJ80" s="106" t="str">
        <f>Montagem!BQ146</f>
        <v/>
      </c>
      <c r="BK80" s="57">
        <f>MAX(BL80,BJ80)</f>
        <v>3</v>
      </c>
      <c r="BL80" s="57">
        <f>LEFT(BC80,2)+0</f>
        <v>3</v>
      </c>
      <c r="BM80" s="57"/>
      <c r="BN80" s="57"/>
      <c r="BO80" s="57"/>
      <c r="BP80" s="58"/>
      <c r="BQ80" s="167" t="s">
        <v>50</v>
      </c>
      <c r="BR80" s="168"/>
      <c r="BS80" s="168"/>
      <c r="BT80" s="169" t="s">
        <v>56</v>
      </c>
      <c r="BU80" s="168"/>
      <c r="BV80" s="168"/>
      <c r="BW80" s="168"/>
      <c r="BX80" s="168"/>
      <c r="BY80" s="168"/>
      <c r="BZ80" s="170"/>
      <c r="CA80" s="106" t="str">
        <f>Montagem!CF146</f>
        <v/>
      </c>
      <c r="CB80" s="57">
        <f>MAX(CC80,CA80)</f>
        <v>3</v>
      </c>
      <c r="CC80" s="57">
        <f>LEFT(BT80,2)+0</f>
        <v>3</v>
      </c>
      <c r="CD80" s="57"/>
      <c r="CE80" s="57"/>
      <c r="CF80" s="57"/>
      <c r="CG80" s="58"/>
      <c r="CH80" s="167" t="s">
        <v>50</v>
      </c>
      <c r="CI80" s="168"/>
      <c r="CJ80" s="168"/>
      <c r="CK80" s="169"/>
      <c r="CL80" s="168"/>
      <c r="CM80" s="168"/>
      <c r="CN80" s="168"/>
      <c r="CO80" s="168"/>
      <c r="CP80" s="168"/>
      <c r="CQ80" s="170"/>
      <c r="CR80" s="106" t="str">
        <f>Montagem!CU146</f>
        <v/>
      </c>
      <c r="CS80" s="57">
        <f>MAX(CT80,CR80)</f>
        <v>0</v>
      </c>
      <c r="CT80" s="57">
        <f>LEFT(CK80,2)+0</f>
        <v>0</v>
      </c>
      <c r="CU80" s="57"/>
      <c r="CV80" s="57"/>
      <c r="CW80" s="57"/>
      <c r="CX80" s="58"/>
      <c r="CY80" s="167" t="s">
        <v>50</v>
      </c>
      <c r="CZ80" s="168"/>
      <c r="DA80" s="168"/>
      <c r="DB80" s="169"/>
      <c r="DC80" s="168"/>
      <c r="DD80" s="168"/>
      <c r="DE80" s="168"/>
      <c r="DF80" s="168"/>
      <c r="DG80" s="168"/>
      <c r="DH80" s="170"/>
      <c r="DI80" s="106" t="str">
        <f>Montagem!DJ146</f>
        <v/>
      </c>
      <c r="DJ80" s="57">
        <f>MAX(DK80,DI80)</f>
        <v>0</v>
      </c>
      <c r="DK80" s="57">
        <f>LEFT(DB80,2)+0</f>
        <v>0</v>
      </c>
      <c r="DL80" s="57"/>
      <c r="DM80" s="57"/>
      <c r="DN80" s="57"/>
      <c r="DO80" s="58"/>
      <c r="DP80" s="57"/>
      <c r="DQ80" s="56"/>
      <c r="DR80" s="56"/>
      <c r="DS80" s="56"/>
      <c r="DT80" s="56"/>
      <c r="DU80" s="56"/>
      <c r="DV80" s="56"/>
      <c r="DW80" s="56"/>
      <c r="DX80" s="56"/>
      <c r="DY80" s="56"/>
    </row>
    <row r="81">
      <c r="A81" s="171" t="s">
        <v>51</v>
      </c>
      <c r="J81" s="66"/>
      <c r="K81" s="57"/>
      <c r="L81" s="57"/>
      <c r="M81" s="57"/>
      <c r="N81" s="57"/>
      <c r="O81" s="57"/>
      <c r="P81" s="57"/>
      <c r="Q81" s="58"/>
      <c r="R81" s="171" t="s">
        <v>51</v>
      </c>
      <c r="AA81" s="66"/>
      <c r="AB81" s="57"/>
      <c r="AC81" s="57"/>
      <c r="AD81" s="57"/>
      <c r="AE81" s="57"/>
      <c r="AF81" s="57"/>
      <c r="AG81" s="57"/>
      <c r="AH81" s="58"/>
      <c r="AI81" s="171" t="s">
        <v>51</v>
      </c>
      <c r="AR81" s="66"/>
      <c r="AS81" s="57"/>
      <c r="AT81" s="57"/>
      <c r="AU81" s="57"/>
      <c r="AV81" s="57"/>
      <c r="AW81" s="57"/>
      <c r="AX81" s="57"/>
      <c r="AY81" s="58"/>
      <c r="AZ81" s="171" t="s">
        <v>51</v>
      </c>
      <c r="BI81" s="66"/>
      <c r="BJ81" s="57"/>
      <c r="BK81" s="57"/>
      <c r="BL81" s="57"/>
      <c r="BM81" s="57"/>
      <c r="BN81" s="57"/>
      <c r="BO81" s="57"/>
      <c r="BP81" s="58"/>
      <c r="BQ81" s="171" t="s">
        <v>51</v>
      </c>
      <c r="BZ81" s="66"/>
      <c r="CA81" s="57"/>
      <c r="CB81" s="57"/>
      <c r="CC81" s="57"/>
      <c r="CD81" s="57"/>
      <c r="CE81" s="57"/>
      <c r="CF81" s="57"/>
      <c r="CG81" s="58"/>
      <c r="CH81" s="171" t="s">
        <v>51</v>
      </c>
      <c r="CQ81" s="66"/>
      <c r="CR81" s="57"/>
      <c r="CS81" s="57"/>
      <c r="CT81" s="57"/>
      <c r="CU81" s="57"/>
      <c r="CV81" s="57"/>
      <c r="CW81" s="57"/>
      <c r="CX81" s="58"/>
      <c r="CY81" s="171" t="s">
        <v>51</v>
      </c>
      <c r="DH81" s="66"/>
      <c r="DI81" s="57"/>
      <c r="DJ81" s="57"/>
      <c r="DK81" s="57"/>
      <c r="DL81" s="57"/>
      <c r="DM81" s="57"/>
      <c r="DN81" s="57"/>
      <c r="DO81" s="58"/>
      <c r="DP81" s="57"/>
      <c r="DQ81" s="56"/>
      <c r="DR81" s="56"/>
      <c r="DS81" s="56"/>
      <c r="DT81" s="56"/>
      <c r="DU81" s="56"/>
      <c r="DV81" s="56"/>
      <c r="DW81" s="56"/>
      <c r="DX81" s="56"/>
      <c r="DY81" s="56"/>
    </row>
    <row r="82">
      <c r="A82" s="172" t="s">
        <v>52</v>
      </c>
      <c r="B82" s="173"/>
      <c r="C82" s="174" t="s">
        <v>53</v>
      </c>
      <c r="D82" s="173"/>
      <c r="E82" s="174" t="s">
        <v>54</v>
      </c>
      <c r="F82" s="175"/>
      <c r="G82" s="176"/>
      <c r="H82" s="175"/>
      <c r="I82" s="175"/>
      <c r="J82" s="177"/>
      <c r="K82" s="57"/>
      <c r="L82" s="57"/>
      <c r="M82" s="57"/>
      <c r="N82" s="57"/>
      <c r="O82" s="57"/>
      <c r="P82" s="57"/>
      <c r="Q82" s="58"/>
      <c r="R82" s="172" t="s">
        <v>52</v>
      </c>
      <c r="S82" s="181"/>
      <c r="T82" s="174" t="s">
        <v>53</v>
      </c>
      <c r="U82" s="181"/>
      <c r="V82" s="174" t="s">
        <v>54</v>
      </c>
      <c r="W82" s="175"/>
      <c r="X82" s="182"/>
      <c r="Y82" s="175"/>
      <c r="Z82" s="175"/>
      <c r="AA82" s="177"/>
      <c r="AB82" s="57"/>
      <c r="AC82" s="57"/>
      <c r="AD82" s="57"/>
      <c r="AE82" s="57"/>
      <c r="AF82" s="57"/>
      <c r="AG82" s="57"/>
      <c r="AH82" s="58"/>
      <c r="AI82" s="172" t="s">
        <v>52</v>
      </c>
      <c r="AJ82" s="178">
        <v>0.050520833333333334</v>
      </c>
      <c r="AK82" s="174" t="s">
        <v>53</v>
      </c>
      <c r="AL82" s="179">
        <v>15.0</v>
      </c>
      <c r="AM82" s="174" t="s">
        <v>54</v>
      </c>
      <c r="AN82" s="175"/>
      <c r="AO82" s="180">
        <v>146.0</v>
      </c>
      <c r="AP82" s="175"/>
      <c r="AQ82" s="175"/>
      <c r="AR82" s="177"/>
      <c r="AS82" s="57"/>
      <c r="AT82" s="57"/>
      <c r="AU82" s="57"/>
      <c r="AV82" s="57"/>
      <c r="AW82" s="57"/>
      <c r="AX82" s="57"/>
      <c r="AY82" s="58"/>
      <c r="AZ82" s="172" t="s">
        <v>52</v>
      </c>
      <c r="BA82" s="181"/>
      <c r="BB82" s="174" t="s">
        <v>53</v>
      </c>
      <c r="BC82" s="181"/>
      <c r="BD82" s="174" t="s">
        <v>54</v>
      </c>
      <c r="BE82" s="175"/>
      <c r="BF82" s="182"/>
      <c r="BG82" s="175"/>
      <c r="BH82" s="175"/>
      <c r="BI82" s="177"/>
      <c r="BJ82" s="57"/>
      <c r="BK82" s="57"/>
      <c r="BL82" s="57"/>
      <c r="BM82" s="57"/>
      <c r="BN82" s="57"/>
      <c r="BO82" s="57"/>
      <c r="BP82" s="58"/>
      <c r="BQ82" s="172" t="s">
        <v>52</v>
      </c>
      <c r="BR82" s="181"/>
      <c r="BS82" s="174" t="s">
        <v>53</v>
      </c>
      <c r="BT82" s="181"/>
      <c r="BU82" s="174" t="s">
        <v>54</v>
      </c>
      <c r="BV82" s="175"/>
      <c r="BW82" s="182"/>
      <c r="BX82" s="175"/>
      <c r="BY82" s="175"/>
      <c r="BZ82" s="177"/>
      <c r="CA82" s="57"/>
      <c r="CB82" s="57"/>
      <c r="CC82" s="57"/>
      <c r="CD82" s="57"/>
      <c r="CE82" s="57"/>
      <c r="CF82" s="57"/>
      <c r="CG82" s="58"/>
      <c r="CH82" s="172" t="s">
        <v>52</v>
      </c>
      <c r="CI82" s="178"/>
      <c r="CJ82" s="174" t="s">
        <v>53</v>
      </c>
      <c r="CK82" s="179"/>
      <c r="CL82" s="174" t="s">
        <v>54</v>
      </c>
      <c r="CM82" s="175"/>
      <c r="CN82" s="180"/>
      <c r="CO82" s="175"/>
      <c r="CP82" s="175"/>
      <c r="CQ82" s="177"/>
      <c r="CR82" s="57"/>
      <c r="CS82" s="57"/>
      <c r="CT82" s="57"/>
      <c r="CU82" s="57"/>
      <c r="CV82" s="57"/>
      <c r="CW82" s="57"/>
      <c r="CX82" s="58"/>
      <c r="CY82" s="172" t="s">
        <v>52</v>
      </c>
      <c r="CZ82" s="181"/>
      <c r="DA82" s="174" t="s">
        <v>53</v>
      </c>
      <c r="DB82" s="181"/>
      <c r="DC82" s="174" t="s">
        <v>54</v>
      </c>
      <c r="DD82" s="175"/>
      <c r="DE82" s="182"/>
      <c r="DF82" s="175"/>
      <c r="DG82" s="175"/>
      <c r="DH82" s="177"/>
      <c r="DI82" s="57"/>
      <c r="DJ82" s="57"/>
      <c r="DK82" s="57"/>
      <c r="DL82" s="57"/>
      <c r="DM82" s="57"/>
      <c r="DN82" s="57"/>
      <c r="DO82" s="58"/>
      <c r="DP82" s="57"/>
      <c r="DQ82" s="56"/>
      <c r="DR82" s="56"/>
      <c r="DS82" s="56"/>
      <c r="DT82" s="56"/>
      <c r="DU82" s="56"/>
      <c r="DV82" s="56"/>
      <c r="DW82" s="56"/>
      <c r="DX82" s="56"/>
      <c r="DY82" s="56"/>
    </row>
    <row r="83">
      <c r="A83" s="183" t="str">
        <f>IF(L80=0,"","Você conseguiu! Foram levantadas ")</f>
        <v>Você conseguiu! Foram levantadas </v>
      </c>
      <c r="E83" s="184">
        <f>IF(L80=0,"",SUM(E16*F16*P16,E18*F18*P18,E20*F20*P20,E22*F22*P22,E26*F26*P26,E28*F28*P28,E30*F30*P30,E32*F32*P32,E34*F34*P34,E36*F36*P36,E38*F38*P38,E40*F40*P40,E42*F42*P42,E44*F44*P44,E46*F46*P46,E48*F48*P48,E50*F50*P50,E52*F52*P52,E54*F54*P54,E56*F56*P56,E58*F58*P58,E60*F60*P60,E62*F62*P62,E64*F64*P64,E68*F68*P68,E70*F70*P70,E72*F72*P72)/1000)</f>
        <v>7.819</v>
      </c>
      <c r="G83" s="185" t="str">
        <f>IF(L80=0,"","toneladas")</f>
        <v>toneladas</v>
      </c>
      <c r="J83" s="66"/>
      <c r="K83" s="186"/>
      <c r="L83" s="187"/>
      <c r="M83" s="187"/>
      <c r="N83" s="187"/>
      <c r="O83" s="187"/>
      <c r="P83" s="187"/>
      <c r="Q83" s="188"/>
      <c r="R83" s="183" t="str">
        <f>IF(AC80=0,"","Você conseguiu! Foram levantadas ")</f>
        <v>Você conseguiu! Foram levantadas </v>
      </c>
      <c r="V83" s="184">
        <f>IF(AC80=0,"",SUM(V16*W16*AG16,V18*W18*AG18,V20*W20*AG20,V22*W22*AG22,V26*W26*AG26,V28*W28*AG28,V30*W30*AG30,V32*W32*AG32,V34*W34*AG34,V36*W36*AG36,V38*W38*AG38,V40*W40*AG40,V42*W42*AG42,V44*W44*AG44,V46*W46*AG46,V48*W48*AG48,V50*W50*AG50,V52*W52*AG52,V54*W54*AG54,V56*W56*AG56,V58*W58*AG58,V60*W60*AG60,V62*W62*AG62,V64*W64*AG64,V68*W68*AG68,V70*W70*AG70,V72*W72*AG72)/1000)</f>
        <v>27.2115</v>
      </c>
      <c r="X83" s="185" t="str">
        <f>IF(AC80=0,"","toneladas")</f>
        <v>toneladas</v>
      </c>
      <c r="AA83" s="66"/>
      <c r="AB83" s="186"/>
      <c r="AC83" s="187"/>
      <c r="AD83" s="187"/>
      <c r="AE83" s="187"/>
      <c r="AF83" s="187"/>
      <c r="AG83" s="187"/>
      <c r="AH83" s="188"/>
      <c r="AI83" s="183" t="str">
        <f>IF(AT80=0,"","Você conseguiu! Foram levantadas ")</f>
        <v>Você conseguiu! Foram levantadas </v>
      </c>
      <c r="AM83" s="184">
        <f>IF(AT80=0,"",SUM(AM16*AN16*AX16,AM18*AN18*AX18,AM20*AN20*AX20,AM22*AN22*AX22,AM26*AN26*AX26,AM28*AN28*AX28,AM30*AN30*AX30,AM32*AN32*AX32,AM34*AN34*AX34,AM36*AN36*AX36,AM38*AN38*AX38,AM40*AN40*AX40,AM42*AN42*AX42,AM44*AN44*AX44,AM46*AN46*AX46,AM48*AN48*AX48,AM50*AN50*AX50,AM52*AN52*AX52,AM54*AN54*AX54,AM56*AN56*AX56,AM58*AN58*AX58,AM60*AN60*AX60,AM62*AN62*AX62,AM64*AN64*AX64,AM68*AN68*AX68,AM70*AN70*AX70,AM72*AN72*AX72)/1000)</f>
        <v>0.567</v>
      </c>
      <c r="AO83" s="185" t="str">
        <f>IF(AT80=0,"","toneladas")</f>
        <v>toneladas</v>
      </c>
      <c r="AR83" s="66"/>
      <c r="AS83" s="186"/>
      <c r="AT83" s="187"/>
      <c r="AU83" s="187"/>
      <c r="AV83" s="187"/>
      <c r="AW83" s="187"/>
      <c r="AX83" s="187"/>
      <c r="AY83" s="188"/>
      <c r="AZ83" s="183" t="str">
        <f>IF(BK80=0,"","Você conseguiu! Foram levantadas ")</f>
        <v>Você conseguiu! Foram levantadas </v>
      </c>
      <c r="BD83" s="184">
        <f>IF(BK80=0,"",SUM(BD16*BE16*BO16,BD18*BE18*BO18,BD20*BE20*BO20,BD22*BE22*BO22,BD26*BE26*BO26,BD28*BE28*BO28,BD30*BE30*BO30,BD32*BE32*BO32,BD34*BE34*BO34,BD36*BE36*BO36,BD38*BE38*BO38,BD40*BE40*BO40,BD42*BE42*BO42,BD44*BE44*BO44,BD46*BE46*BO46,BD48*BE48*BO48,BD50*BE50*BO50,BD52*BE52*BO52,BD54*BE54*BO54,BD56*BE56*BO56,BD58*BE58*BO58,BD60*BE60*BO60,BD62*BE62*BO62,BD64*BE64*BO64,BD68*BE68*BO68,BD70*BE70*BO70,BD72*BE72*BO72)/1000)</f>
        <v>3.766</v>
      </c>
      <c r="BF83" s="185" t="str">
        <f>IF(BK80=0,"","toneladas")</f>
        <v>toneladas</v>
      </c>
      <c r="BI83" s="66"/>
      <c r="BJ83" s="186"/>
      <c r="BK83" s="187"/>
      <c r="BL83" s="187"/>
      <c r="BM83" s="187"/>
      <c r="BN83" s="187"/>
      <c r="BO83" s="187"/>
      <c r="BP83" s="188"/>
      <c r="BQ83" s="183" t="str">
        <f>IF(CB80=0,"","Você conseguiu! Foram levantadas ")</f>
        <v>Você conseguiu! Foram levantadas </v>
      </c>
      <c r="BU83" s="184">
        <f>IF(CB80=0,"",SUM(BU16*BV16*CF16,BU18*BV18*CF18,BU20*BV20*CF20,BU22*BV22*CF22,BU26*BV26*CF26,BU28*BV28*CF28,BU30*BV30*CF30,BU32*BV32*CF32,BU34*BV34*CF34,BU36*BV36*CF36,BU38*BV38*CF38,BU40*BV40*CF40,BU42*BV42*CF42,BU44*BV44*CF44,BU46*BV46*CF46,BU48*BV48*CF48,BU50*BV50*CF50,BU52*BV52*CF52,BU54*BV54*CF54,BU56*BV56*CF56,BU58*BV58*CF58,BU60*BV60*CF60,BU62*BV62*CF62,BU64*BV64*CF64,BU68*BV68*CF68,BU70*BV70*CF70,BU72*BV72*CF72)/1000)</f>
        <v>7.2904</v>
      </c>
      <c r="BW83" s="185" t="str">
        <f>IF(CB80=0,"","toneladas")</f>
        <v>toneladas</v>
      </c>
      <c r="BZ83" s="66"/>
      <c r="CA83" s="186"/>
      <c r="CB83" s="187"/>
      <c r="CC83" s="187"/>
      <c r="CD83" s="187"/>
      <c r="CE83" s="187"/>
      <c r="CF83" s="187"/>
      <c r="CG83" s="188"/>
      <c r="CH83" s="183" t="str">
        <f>IF(CS80=0,"","Você conseguiu! Foram levantadas ")</f>
        <v/>
      </c>
      <c r="CL83" s="184" t="str">
        <f>IF(CS80=0,"",SUM(CL16*CM16*CW16,CL18*CM18*CW18,CL20*CM20*CW20,CL22*CM22*CW22,CL26*CM26*CW26,CL28*CM28*CW28,CL30*CM30*CW30,CL32*CM32*CW32,CL34*CM34*CW34,CL36*CM36*CW36,CL38*CM38*CW38,CL40*CM40*CW40,CL42*CM42*CW42,CL44*CM44*CW44,CL46*CM46*CW46,CL48*CM48*CW48,CL50*CM50*CW50,CL52*CM52*CW52,CL54*CM54*CW54,CL56*CM56*CW56,CL58*CM58*CW58,CL60*CM60*CW60,CL62*CM62*CW62,CL64*CM64*CW64,CL68*CM68*CW68,CL70*CM70*CW70,CL72*CM72*CW72)/1000)</f>
        <v/>
      </c>
      <c r="CN83" s="185" t="str">
        <f>IF(CS80=0,"","toneladas")</f>
        <v/>
      </c>
      <c r="CQ83" s="66"/>
      <c r="CR83" s="186"/>
      <c r="CS83" s="187"/>
      <c r="CT83" s="187"/>
      <c r="CU83" s="187"/>
      <c r="CV83" s="187"/>
      <c r="CW83" s="187"/>
      <c r="CX83" s="188"/>
      <c r="CY83" s="183" t="str">
        <f>IF(DJ80=0,"","Você conseguiu! Foram levantadas ")</f>
        <v/>
      </c>
      <c r="DC83" s="184" t="str">
        <f>IF(DJ80=0,"",SUM(DC16*DD16*DN16,DC18*DD18*DN18,DC20*DD20*DN20,DC22*DD22*DN22,DC26*DD26*DN26,DC28*DD28*DN28,DC30*DD30*DN30,DC32*DD32*DN32,DC34*DD34*DN34,DC36*DD36*DN36,DC38*DD38*DN38,DC40*DD40*DN40,DC42*DD42*DN42,DC44*DD44*DN44,DC46*DD46*DN46,DC48*DD48*DN48,DC50*DD50*DN50,DC52*DD52*DN52,DC54*DD54*DN54,DC56*DD56*DN56,DC58*DD58*DN58,DC60*DD60*DN60,DC62*DD62*DN62,DC64*DD64*DN64,DC68*DD68*DN68,DC70*DD70*DN70,DC72*DD72*DN72)/1000)</f>
        <v/>
      </c>
      <c r="DE83" s="185" t="str">
        <f>IF(DJ80=0,"","toneladas")</f>
        <v/>
      </c>
      <c r="DH83" s="66"/>
      <c r="DI83" s="186"/>
      <c r="DJ83" s="187"/>
      <c r="DK83" s="187"/>
      <c r="DL83" s="187"/>
      <c r="DM83" s="187"/>
      <c r="DN83" s="187"/>
      <c r="DO83" s="188"/>
      <c r="DP83" s="186"/>
      <c r="DQ83" s="186"/>
      <c r="DR83" s="186"/>
      <c r="DS83" s="186"/>
      <c r="DT83" s="186"/>
      <c r="DU83" s="186"/>
      <c r="DV83" s="186"/>
      <c r="DW83" s="186"/>
      <c r="DX83" s="186"/>
      <c r="DY83" s="186"/>
    </row>
    <row r="84">
      <c r="A84" s="190" t="str">
        <f>IF(L80=0,"","nesta sessão!")</f>
        <v>nesta sessão!</v>
      </c>
      <c r="C84" s="57"/>
      <c r="D84" s="57"/>
      <c r="E84" s="137"/>
      <c r="F84" s="137"/>
      <c r="G84" s="137"/>
      <c r="H84" s="57"/>
      <c r="I84" s="57"/>
      <c r="J84" s="191"/>
      <c r="K84" s="57"/>
      <c r="L84" s="192"/>
      <c r="M84" s="192"/>
      <c r="N84" s="192"/>
      <c r="O84" s="192"/>
      <c r="P84" s="192"/>
      <c r="Q84" s="58"/>
      <c r="R84" s="190" t="str">
        <f>IF(AC80=0,"","nesta sessão!")</f>
        <v>nesta sessão!</v>
      </c>
      <c r="T84" s="57"/>
      <c r="U84" s="57"/>
      <c r="V84" s="137"/>
      <c r="W84" s="137"/>
      <c r="X84" s="137"/>
      <c r="Y84" s="57"/>
      <c r="Z84" s="57"/>
      <c r="AA84" s="191"/>
      <c r="AB84" s="57"/>
      <c r="AC84" s="192"/>
      <c r="AD84" s="192"/>
      <c r="AE84" s="192"/>
      <c r="AF84" s="192"/>
      <c r="AG84" s="192"/>
      <c r="AH84" s="58"/>
      <c r="AI84" s="190" t="str">
        <f>IF(AT80=0,"","nesta sessão!")</f>
        <v>nesta sessão!</v>
      </c>
      <c r="AK84" s="57"/>
      <c r="AL84" s="57"/>
      <c r="AM84" s="137"/>
      <c r="AN84" s="137"/>
      <c r="AO84" s="137"/>
      <c r="AP84" s="57"/>
      <c r="AQ84" s="57"/>
      <c r="AR84" s="191"/>
      <c r="AS84" s="57"/>
      <c r="AT84" s="192"/>
      <c r="AU84" s="192"/>
      <c r="AV84" s="192"/>
      <c r="AW84" s="192"/>
      <c r="AX84" s="192"/>
      <c r="AY84" s="58"/>
      <c r="AZ84" s="190" t="str">
        <f>IF(BK80=0,"","nesta sessão!")</f>
        <v>nesta sessão!</v>
      </c>
      <c r="BB84" s="57"/>
      <c r="BC84" s="57"/>
      <c r="BD84" s="137"/>
      <c r="BE84" s="137"/>
      <c r="BF84" s="137"/>
      <c r="BG84" s="57"/>
      <c r="BH84" s="57"/>
      <c r="BI84" s="191"/>
      <c r="BJ84" s="57"/>
      <c r="BK84" s="192"/>
      <c r="BL84" s="192"/>
      <c r="BM84" s="192"/>
      <c r="BN84" s="192"/>
      <c r="BO84" s="192"/>
      <c r="BP84" s="58"/>
      <c r="BQ84" s="190" t="str">
        <f>IF(CB80=0,"","nesta sessão!")</f>
        <v>nesta sessão!</v>
      </c>
      <c r="BS84" s="57"/>
      <c r="BT84" s="57"/>
      <c r="BU84" s="137"/>
      <c r="BV84" s="137"/>
      <c r="BW84" s="137"/>
      <c r="BX84" s="57"/>
      <c r="BY84" s="57"/>
      <c r="BZ84" s="191"/>
      <c r="CA84" s="57"/>
      <c r="CB84" s="192"/>
      <c r="CC84" s="192"/>
      <c r="CD84" s="192"/>
      <c r="CE84" s="192"/>
      <c r="CF84" s="192"/>
      <c r="CG84" s="58"/>
      <c r="CH84" s="190" t="str">
        <f>IF(CS80=0,"","nesta sessão!")</f>
        <v/>
      </c>
      <c r="CJ84" s="57"/>
      <c r="CK84" s="57"/>
      <c r="CL84" s="137"/>
      <c r="CM84" s="137"/>
      <c r="CN84" s="137"/>
      <c r="CO84" s="57"/>
      <c r="CP84" s="57"/>
      <c r="CQ84" s="191"/>
      <c r="CR84" s="57"/>
      <c r="CS84" s="192"/>
      <c r="CT84" s="192"/>
      <c r="CU84" s="192"/>
      <c r="CV84" s="192"/>
      <c r="CW84" s="192"/>
      <c r="CX84" s="58"/>
      <c r="CY84" s="190" t="str">
        <f>IF(DJ80=0,"","nesta sessão!")</f>
        <v/>
      </c>
      <c r="DA84" s="57"/>
      <c r="DB84" s="57"/>
      <c r="DC84" s="137"/>
      <c r="DD84" s="137"/>
      <c r="DE84" s="137"/>
      <c r="DF84" s="57"/>
      <c r="DG84" s="57"/>
      <c r="DH84" s="191"/>
      <c r="DI84" s="57"/>
      <c r="DJ84" s="192"/>
      <c r="DK84" s="192"/>
      <c r="DL84" s="192"/>
      <c r="DM84" s="192"/>
      <c r="DN84" s="192"/>
      <c r="DO84" s="58"/>
      <c r="DP84" s="57"/>
      <c r="DQ84" s="56"/>
      <c r="DR84" s="56"/>
      <c r="DS84" s="56"/>
      <c r="DT84" s="56"/>
      <c r="DU84" s="56"/>
      <c r="DV84" s="56"/>
      <c r="DW84" s="56"/>
      <c r="DX84" s="56"/>
      <c r="DY84" s="56"/>
    </row>
    <row r="85">
      <c r="A85" s="194" t="str">
        <f>IF(L80=0,"","Seu progresso semanal:")</f>
        <v>Seu progresso semanal:</v>
      </c>
      <c r="D85" s="195" t="str">
        <f>IFS(K3=0,"Missão cumprida! Parabéns!!!",K3=1,"Falta pouco, Você consegue!",TRUE,"Muito bem! Continue assim!")</f>
        <v>Falta pouco, Você consegue!</v>
      </c>
      <c r="J85" s="66"/>
      <c r="K85" s="57"/>
      <c r="L85" s="192"/>
      <c r="M85" s="192"/>
      <c r="N85" s="196"/>
      <c r="O85" s="196"/>
      <c r="P85" s="196"/>
      <c r="Q85" s="58"/>
      <c r="R85" s="194" t="str">
        <f>IF(AC80=0,"","Seu progresso semanal:")</f>
        <v>Seu progresso semanal:</v>
      </c>
      <c r="U85" s="195" t="str">
        <f>IFS(AB3=0,"Missão cumprida! Parabéns!!!",AB3=1,"Falta pouco, Você consegue!",TRUE,"Muito bem! Continue assim!")</f>
        <v>Missão cumprida! Parabéns!!!</v>
      </c>
      <c r="AA85" s="66"/>
      <c r="AB85" s="57"/>
      <c r="AC85" s="192"/>
      <c r="AD85" s="192"/>
      <c r="AE85" s="196"/>
      <c r="AF85" s="196"/>
      <c r="AG85" s="196"/>
      <c r="AH85" s="58"/>
      <c r="AI85" s="194" t="str">
        <f>IF(AT80=0,"","Seu progresso semanal:")</f>
        <v>Seu progresso semanal:</v>
      </c>
      <c r="AL85" s="195" t="str">
        <f>IFS(AS3=0,"Missão cumprida! Parabéns!!!",AS3=1,"Falta pouco, Você consegue!",TRUE,"Muito bem! Continue assim!")</f>
        <v>Missão cumprida! Parabéns!!!</v>
      </c>
      <c r="AR85" s="66"/>
      <c r="AS85" s="57"/>
      <c r="AT85" s="192"/>
      <c r="AU85" s="192"/>
      <c r="AV85" s="196"/>
      <c r="AW85" s="196"/>
      <c r="AX85" s="196"/>
      <c r="AY85" s="58"/>
      <c r="AZ85" s="194" t="str">
        <f>IF(BK80=0,"","Seu progresso semanal:")</f>
        <v>Seu progresso semanal:</v>
      </c>
      <c r="BC85" s="195" t="str">
        <f>IFS(BJ3=0,"Missão cumprida! Parabéns!!!",BJ3=1,"Falta pouco, Você consegue!",TRUE,"Muito bem! Continue assim!")</f>
        <v>Missão cumprida! Parabéns!!!</v>
      </c>
      <c r="BI85" s="66"/>
      <c r="BJ85" s="57"/>
      <c r="BK85" s="192"/>
      <c r="BL85" s="192"/>
      <c r="BM85" s="196"/>
      <c r="BN85" s="196"/>
      <c r="BO85" s="196"/>
      <c r="BP85" s="58"/>
      <c r="BQ85" s="194" t="str">
        <f>IF(CB80=0,"","Seu progresso semanal:")</f>
        <v>Seu progresso semanal:</v>
      </c>
      <c r="BT85" s="195" t="str">
        <f>IFS(CA3=0,"Missão cumprida! Parabéns!!!",CA3=1,"Falta pouco, Você consegue!",TRUE,"Muito bem! Continue assim!")</f>
        <v>Missão cumprida! Parabéns!!!</v>
      </c>
      <c r="BZ85" s="66"/>
      <c r="CA85" s="57"/>
      <c r="CB85" s="192"/>
      <c r="CC85" s="192"/>
      <c r="CD85" s="196"/>
      <c r="CE85" s="196"/>
      <c r="CF85" s="196"/>
      <c r="CG85" s="58"/>
      <c r="CH85" s="194" t="str">
        <f>IF(CS80=0,"","Seu progresso semanal:")</f>
        <v/>
      </c>
      <c r="CK85" s="195" t="str">
        <f>IFS(CR3=0,"Missão cumprida! Parabéns!!!",CR3=1,"Falta pouco, Você consegue!",TRUE,"Muito bem! Continue assim!")</f>
        <v>Missão cumprida! Parabéns!!!</v>
      </c>
      <c r="CQ85" s="66"/>
      <c r="CR85" s="57"/>
      <c r="CS85" s="192"/>
      <c r="CT85" s="192"/>
      <c r="CU85" s="196"/>
      <c r="CV85" s="196"/>
      <c r="CW85" s="196"/>
      <c r="CX85" s="58"/>
      <c r="CY85" s="194" t="str">
        <f>IF(DJ80=0,"","Seu progresso semanal:")</f>
        <v/>
      </c>
      <c r="DB85" s="195" t="str">
        <f>IFS(DI3=0,"Missão cumprida! Parabéns!!!",DI3=1,"Falta pouco, Você consegue!",TRUE,"Muito bem! Continue assim!")</f>
        <v>Missão cumprida! Parabéns!!!</v>
      </c>
      <c r="DH85" s="66"/>
      <c r="DI85" s="57"/>
      <c r="DJ85" s="192"/>
      <c r="DK85" s="192"/>
      <c r="DL85" s="196"/>
      <c r="DM85" s="196"/>
      <c r="DN85" s="196"/>
      <c r="DO85" s="58"/>
      <c r="DP85" s="57"/>
      <c r="DQ85" s="56"/>
      <c r="DR85" s="56"/>
      <c r="DS85" s="56"/>
      <c r="DT85" s="56"/>
      <c r="DU85" s="56"/>
      <c r="DV85" s="56"/>
      <c r="DW85" s="56"/>
      <c r="DX85" s="56"/>
      <c r="DY85" s="56"/>
    </row>
    <row r="86">
      <c r="A86" s="198"/>
      <c r="B86" s="149"/>
      <c r="C86" s="149"/>
      <c r="D86" s="57"/>
      <c r="E86" s="137"/>
      <c r="G86" s="137"/>
      <c r="J86" s="191"/>
      <c r="K86" s="57"/>
      <c r="L86" s="196"/>
      <c r="M86" s="196"/>
      <c r="N86" s="196"/>
      <c r="O86" s="196"/>
      <c r="P86" s="196"/>
      <c r="Q86" s="58"/>
      <c r="R86" s="198"/>
      <c r="S86" s="149"/>
      <c r="T86" s="149"/>
      <c r="U86" s="57"/>
      <c r="V86" s="137"/>
      <c r="X86" s="137"/>
      <c r="AA86" s="191"/>
      <c r="AB86" s="57"/>
      <c r="AC86" s="196"/>
      <c r="AD86" s="196"/>
      <c r="AE86" s="196"/>
      <c r="AF86" s="196"/>
      <c r="AG86" s="196"/>
      <c r="AH86" s="58"/>
      <c r="AI86" s="198"/>
      <c r="AJ86" s="149"/>
      <c r="AK86" s="149"/>
      <c r="AL86" s="57"/>
      <c r="AM86" s="137"/>
      <c r="AO86" s="137"/>
      <c r="AR86" s="191"/>
      <c r="AS86" s="57"/>
      <c r="AT86" s="196"/>
      <c r="AU86" s="196"/>
      <c r="AV86" s="196"/>
      <c r="AW86" s="196"/>
      <c r="AX86" s="196"/>
      <c r="AY86" s="58"/>
      <c r="AZ86" s="198"/>
      <c r="BA86" s="149"/>
      <c r="BB86" s="149"/>
      <c r="BC86" s="57"/>
      <c r="BD86" s="137"/>
      <c r="BF86" s="137"/>
      <c r="BI86" s="191"/>
      <c r="BJ86" s="57"/>
      <c r="BK86" s="196"/>
      <c r="BL86" s="196"/>
      <c r="BM86" s="196"/>
      <c r="BN86" s="196"/>
      <c r="BO86" s="196"/>
      <c r="BP86" s="58"/>
      <c r="BQ86" s="198"/>
      <c r="BR86" s="149"/>
      <c r="BS86" s="149"/>
      <c r="BT86" s="57"/>
      <c r="BU86" s="137"/>
      <c r="BW86" s="137"/>
      <c r="BZ86" s="191"/>
      <c r="CA86" s="57"/>
      <c r="CB86" s="196"/>
      <c r="CC86" s="196"/>
      <c r="CD86" s="196"/>
      <c r="CE86" s="196"/>
      <c r="CF86" s="196"/>
      <c r="CG86" s="58"/>
      <c r="CH86" s="198"/>
      <c r="CI86" s="149"/>
      <c r="CJ86" s="149"/>
      <c r="CK86" s="57"/>
      <c r="CL86" s="137"/>
      <c r="CN86" s="137"/>
      <c r="CQ86" s="191"/>
      <c r="CR86" s="57"/>
      <c r="CS86" s="196"/>
      <c r="CT86" s="196"/>
      <c r="CU86" s="196"/>
      <c r="CV86" s="196"/>
      <c r="CW86" s="196"/>
      <c r="CX86" s="58"/>
      <c r="CY86" s="198"/>
      <c r="CZ86" s="149"/>
      <c r="DA86" s="149"/>
      <c r="DB86" s="57"/>
      <c r="DC86" s="137"/>
      <c r="DE86" s="137"/>
      <c r="DH86" s="191"/>
      <c r="DI86" s="57"/>
      <c r="DJ86" s="196"/>
      <c r="DK86" s="196"/>
      <c r="DL86" s="196"/>
      <c r="DM86" s="196"/>
      <c r="DN86" s="196"/>
      <c r="DO86" s="58"/>
      <c r="DP86" s="57"/>
      <c r="DQ86" s="56"/>
      <c r="DR86" s="56"/>
      <c r="DS86" s="56"/>
      <c r="DT86" s="56"/>
      <c r="DU86" s="56"/>
      <c r="DV86" s="56"/>
      <c r="DW86" s="56"/>
      <c r="DX86" s="56"/>
      <c r="DY86" s="56"/>
    </row>
    <row r="87">
      <c r="A87" s="199" t="str">
        <f>IF(L80=0,"",$DQ$18&amp;" de "&amp;J2)</f>
        <v>5 de 6</v>
      </c>
      <c r="B87" s="200" t="str">
        <f>IF($J$2=2,$DQ$18/$J$2,"")</f>
        <v/>
      </c>
      <c r="C87" s="200" t="str">
        <f>IF($J$2=3,$DQ$18/$J$2,"")</f>
        <v/>
      </c>
      <c r="D87" s="200" t="str">
        <f>IF($J$2=4,$DQ$18/$J$2,"")</f>
        <v/>
      </c>
      <c r="E87" s="200" t="str">
        <f>IF($J$2=5,$DQ$18/$J$2,"")</f>
        <v/>
      </c>
      <c r="G87" s="200">
        <f>IF($J$2=6,$DQ$18/$J$2,"")</f>
        <v>0.8333333333</v>
      </c>
      <c r="J87" s="202" t="str">
        <f>IF($J$2=7,$DQ$18/$J$2,"")</f>
        <v/>
      </c>
      <c r="K87" s="57"/>
      <c r="L87" s="196"/>
      <c r="M87" s="196"/>
      <c r="N87" s="196"/>
      <c r="O87" s="196"/>
      <c r="P87" s="196"/>
      <c r="Q87" s="58"/>
      <c r="R87" s="199" t="str">
        <f>IF(AC80=0,"",$DQ$18&amp;" de "&amp;AA2)</f>
        <v>5 de 6</v>
      </c>
      <c r="S87" s="200" t="str">
        <f>IF($J$2=2,$DQ$18/$J$2,"")</f>
        <v/>
      </c>
      <c r="T87" s="200" t="str">
        <f>IF($J$2=3,$DQ$18/$J$2,"")</f>
        <v/>
      </c>
      <c r="U87" s="200" t="str">
        <f>IF($J$2=4,$DQ$18/$J$2,"")</f>
        <v/>
      </c>
      <c r="V87" s="200" t="str">
        <f>IF($J$2=5,$DQ$18/$J$2,"")</f>
        <v/>
      </c>
      <c r="X87" s="200">
        <f>IF($J$2=6,$DQ$18/$J$2,"")</f>
        <v>0.8333333333</v>
      </c>
      <c r="AA87" s="202" t="str">
        <f>IF($J$2=7,$DQ$18/$J$2,"")</f>
        <v/>
      </c>
      <c r="AB87" s="57"/>
      <c r="AC87" s="196"/>
      <c r="AD87" s="196"/>
      <c r="AE87" s="196"/>
      <c r="AF87" s="196"/>
      <c r="AG87" s="196"/>
      <c r="AH87" s="58"/>
      <c r="AI87" s="199" t="str">
        <f>IF(AT80=0,"",$DQ$18&amp;" de "&amp;AR2)</f>
        <v>5 de 6</v>
      </c>
      <c r="AJ87" s="200" t="str">
        <f>IF($J$2=2,$DQ$18/$J$2,"")</f>
        <v/>
      </c>
      <c r="AK87" s="200" t="str">
        <f>IF($J$2=3,$DQ$18/$J$2,"")</f>
        <v/>
      </c>
      <c r="AL87" s="200" t="str">
        <f>IF($J$2=4,$DQ$18/$J$2,"")</f>
        <v/>
      </c>
      <c r="AM87" s="200" t="str">
        <f>IF($J$2=5,$DQ$18/$J$2,"")</f>
        <v/>
      </c>
      <c r="AO87" s="200">
        <f>IF($J$2=6,$DQ$18/$J$2,"")</f>
        <v>0.8333333333</v>
      </c>
      <c r="AR87" s="202" t="str">
        <f>IF($J$2=7,$DQ$18/$J$2,"")</f>
        <v/>
      </c>
      <c r="AS87" s="57"/>
      <c r="AT87" s="196"/>
      <c r="AU87" s="196"/>
      <c r="AV87" s="196"/>
      <c r="AW87" s="196"/>
      <c r="AX87" s="196"/>
      <c r="AY87" s="58"/>
      <c r="AZ87" s="199" t="str">
        <f>IF(BK80=0,"",$DQ$18&amp;" de "&amp;BI2)</f>
        <v>5 de 6</v>
      </c>
      <c r="BA87" s="200" t="str">
        <f>IF($J$2=2,$DQ$18/$J$2,"")</f>
        <v/>
      </c>
      <c r="BB87" s="200" t="str">
        <f>IF($J$2=3,$DQ$18/$J$2,"")</f>
        <v/>
      </c>
      <c r="BC87" s="200" t="str">
        <f>IF($J$2=4,$DQ$18/$J$2,"")</f>
        <v/>
      </c>
      <c r="BD87" s="200" t="str">
        <f>IF($J$2=5,$DQ$18/$J$2,"")</f>
        <v/>
      </c>
      <c r="BF87" s="200">
        <f>IF($J$2=6,$DQ$18/$J$2,"")</f>
        <v>0.8333333333</v>
      </c>
      <c r="BI87" s="202" t="str">
        <f>IF($J$2=7,$DQ$18/$J$2,"")</f>
        <v/>
      </c>
      <c r="BJ87" s="57"/>
      <c r="BK87" s="196"/>
      <c r="BL87" s="196"/>
      <c r="BM87" s="196"/>
      <c r="BN87" s="196"/>
      <c r="BO87" s="196"/>
      <c r="BP87" s="58"/>
      <c r="BQ87" s="199" t="str">
        <f>IF(CB80=0,"",$DQ$18&amp;" de "&amp;BZ2)</f>
        <v>5 de 6</v>
      </c>
      <c r="BR87" s="200" t="str">
        <f>IF($J$2=2,$DQ$18/$J$2,"")</f>
        <v/>
      </c>
      <c r="BS87" s="200" t="str">
        <f>IF($J$2=3,$DQ$18/$J$2,"")</f>
        <v/>
      </c>
      <c r="BT87" s="200" t="str">
        <f>IF($J$2=4,$DQ$18/$J$2,"")</f>
        <v/>
      </c>
      <c r="BU87" s="200" t="str">
        <f>IF($J$2=5,$DQ$18/$J$2,"")</f>
        <v/>
      </c>
      <c r="BW87" s="200">
        <f>IF($J$2=6,$DQ$18/$J$2,"")</f>
        <v>0.8333333333</v>
      </c>
      <c r="BZ87" s="202" t="str">
        <f>IF($J$2=7,$DQ$18/$J$2,"")</f>
        <v/>
      </c>
      <c r="CA87" s="57"/>
      <c r="CB87" s="196"/>
      <c r="CC87" s="196"/>
      <c r="CD87" s="196"/>
      <c r="CE87" s="196"/>
      <c r="CF87" s="196"/>
      <c r="CG87" s="58"/>
      <c r="CH87" s="199" t="str">
        <f>IF(CS80=0,"",$DQ$18&amp;" de "&amp;CQ2)</f>
        <v/>
      </c>
      <c r="CI87" s="200" t="str">
        <f>IF($J$2=2,$DQ$18/$J$2,"")</f>
        <v/>
      </c>
      <c r="CJ87" s="200" t="str">
        <f>IF($J$2=3,$DQ$18/$J$2,"")</f>
        <v/>
      </c>
      <c r="CK87" s="200" t="str">
        <f>IF($J$2=4,$DQ$18/$J$2,"")</f>
        <v/>
      </c>
      <c r="CL87" s="200" t="str">
        <f>IF($J$2=5,$DQ$18/$J$2,"")</f>
        <v/>
      </c>
      <c r="CN87" s="200">
        <f>IF($J$2=6,$DQ$18/$J$2,"")</f>
        <v>0.8333333333</v>
      </c>
      <c r="CQ87" s="202" t="str">
        <f>IF($J$2=7,$DQ$18/$J$2,"")</f>
        <v/>
      </c>
      <c r="CR87" s="57"/>
      <c r="CS87" s="196"/>
      <c r="CT87" s="196"/>
      <c r="CU87" s="196"/>
      <c r="CV87" s="196"/>
      <c r="CW87" s="196"/>
      <c r="CX87" s="58"/>
      <c r="CY87" s="199" t="str">
        <f>IF(DJ80=0,"",$DQ$18&amp;" de "&amp;DH2)</f>
        <v/>
      </c>
      <c r="CZ87" s="200" t="str">
        <f>IF($J$2=2,$DQ$18/$J$2,"")</f>
        <v/>
      </c>
      <c r="DA87" s="200" t="str">
        <f>IF($J$2=3,$DQ$18/$J$2,"")</f>
        <v/>
      </c>
      <c r="DB87" s="200" t="str">
        <f>IF($J$2=4,$DQ$18/$J$2,"")</f>
        <v/>
      </c>
      <c r="DC87" s="200" t="str">
        <f>IF($J$2=5,$DQ$18/$J$2,"")</f>
        <v/>
      </c>
      <c r="DE87" s="200">
        <f>IF($J$2=6,$DQ$18/$J$2,"")</f>
        <v>0.8333333333</v>
      </c>
      <c r="DH87" s="202" t="str">
        <f>IF($J$2=7,$DQ$18/$J$2,"")</f>
        <v/>
      </c>
      <c r="DI87" s="57"/>
      <c r="DJ87" s="196"/>
      <c r="DK87" s="196"/>
      <c r="DL87" s="196"/>
      <c r="DM87" s="196"/>
      <c r="DN87" s="196"/>
      <c r="DO87" s="58"/>
      <c r="DP87" s="57"/>
      <c r="DQ87" s="56"/>
      <c r="DR87" s="56"/>
      <c r="DS87" s="56"/>
      <c r="DT87" s="56"/>
      <c r="DU87" s="56"/>
      <c r="DV87" s="56"/>
      <c r="DW87" s="56"/>
      <c r="DX87" s="56"/>
      <c r="DY87" s="56"/>
    </row>
    <row r="88">
      <c r="A88" s="194" t="str">
        <f>IF(L80=0,"","Outras informações :")</f>
        <v>Outras informações :</v>
      </c>
      <c r="C88" s="57"/>
      <c r="D88" s="57"/>
      <c r="E88" s="57"/>
      <c r="F88" s="57"/>
      <c r="G88" s="57"/>
      <c r="H88" s="57"/>
      <c r="I88" s="57"/>
      <c r="J88" s="191"/>
      <c r="K88" s="57"/>
      <c r="L88" s="196"/>
      <c r="M88" s="196"/>
      <c r="N88" s="196"/>
      <c r="O88" s="196"/>
      <c r="P88" s="196"/>
      <c r="Q88" s="58"/>
      <c r="R88" s="194" t="str">
        <f>IF(AC80=0,"","Outras informações :")</f>
        <v>Outras informações :</v>
      </c>
      <c r="T88" s="57"/>
      <c r="U88" s="57"/>
      <c r="V88" s="57"/>
      <c r="W88" s="57"/>
      <c r="X88" s="57"/>
      <c r="Y88" s="57"/>
      <c r="Z88" s="57"/>
      <c r="AA88" s="191"/>
      <c r="AB88" s="57"/>
      <c r="AC88" s="196"/>
      <c r="AD88" s="196"/>
      <c r="AE88" s="196"/>
      <c r="AF88" s="196"/>
      <c r="AG88" s="196"/>
      <c r="AH88" s="58"/>
      <c r="AI88" s="194" t="str">
        <f>IF(AT80=0,"","Outras informações :")</f>
        <v>Outras informações :</v>
      </c>
      <c r="AK88" s="57"/>
      <c r="AL88" s="57"/>
      <c r="AM88" s="57"/>
      <c r="AN88" s="57"/>
      <c r="AO88" s="57"/>
      <c r="AP88" s="57"/>
      <c r="AQ88" s="57"/>
      <c r="AR88" s="191"/>
      <c r="AS88" s="57"/>
      <c r="AT88" s="196"/>
      <c r="AU88" s="196"/>
      <c r="AV88" s="196"/>
      <c r="AW88" s="196"/>
      <c r="AX88" s="196"/>
      <c r="AY88" s="58"/>
      <c r="AZ88" s="194" t="str">
        <f>IF(BK80=0,"","Outras informações :")</f>
        <v>Outras informações :</v>
      </c>
      <c r="BB88" s="57"/>
      <c r="BC88" s="57"/>
      <c r="BD88" s="57"/>
      <c r="BE88" s="57"/>
      <c r="BF88" s="57"/>
      <c r="BG88" s="57"/>
      <c r="BH88" s="57"/>
      <c r="BI88" s="191"/>
      <c r="BJ88" s="57"/>
      <c r="BK88" s="196"/>
      <c r="BL88" s="196"/>
      <c r="BM88" s="196"/>
      <c r="BN88" s="196"/>
      <c r="BO88" s="196"/>
      <c r="BP88" s="58"/>
      <c r="BQ88" s="194" t="str">
        <f>IF(CB80=0,"","Outras informações :")</f>
        <v>Outras informações :</v>
      </c>
      <c r="BS88" s="57"/>
      <c r="BT88" s="57"/>
      <c r="BU88" s="57"/>
      <c r="BV88" s="57"/>
      <c r="BW88" s="57"/>
      <c r="BX88" s="57"/>
      <c r="BY88" s="57"/>
      <c r="BZ88" s="191"/>
      <c r="CA88" s="57"/>
      <c r="CB88" s="196"/>
      <c r="CC88" s="196"/>
      <c r="CD88" s="196"/>
      <c r="CE88" s="196"/>
      <c r="CF88" s="196"/>
      <c r="CG88" s="58"/>
      <c r="CH88" s="194" t="str">
        <f>IF(CS80=0,"","Outras informações :")</f>
        <v/>
      </c>
      <c r="CJ88" s="57"/>
      <c r="CK88" s="57"/>
      <c r="CL88" s="57"/>
      <c r="CM88" s="57"/>
      <c r="CN88" s="57"/>
      <c r="CO88" s="57"/>
      <c r="CP88" s="57"/>
      <c r="CQ88" s="191"/>
      <c r="CR88" s="57"/>
      <c r="CS88" s="196"/>
      <c r="CT88" s="196"/>
      <c r="CU88" s="196"/>
      <c r="CV88" s="196"/>
      <c r="CW88" s="196"/>
      <c r="CX88" s="58"/>
      <c r="CY88" s="194" t="str">
        <f>IF(DJ80=0,"","Outras informações :")</f>
        <v/>
      </c>
      <c r="DA88" s="57"/>
      <c r="DB88" s="57"/>
      <c r="DC88" s="57"/>
      <c r="DD88" s="57"/>
      <c r="DE88" s="57"/>
      <c r="DF88" s="57"/>
      <c r="DG88" s="57"/>
      <c r="DH88" s="191"/>
      <c r="DI88" s="57"/>
      <c r="DJ88" s="196"/>
      <c r="DK88" s="196"/>
      <c r="DL88" s="196"/>
      <c r="DM88" s="196"/>
      <c r="DN88" s="196"/>
      <c r="DO88" s="58"/>
      <c r="DP88" s="57"/>
      <c r="DQ88" s="56"/>
      <c r="DR88" s="56"/>
      <c r="DS88" s="56"/>
      <c r="DT88" s="56"/>
      <c r="DU88" s="56"/>
      <c r="DV88" s="56"/>
      <c r="DW88" s="56"/>
      <c r="DX88" s="56"/>
      <c r="DY88" s="56"/>
    </row>
    <row r="89">
      <c r="A89" s="194" t="str">
        <f>IF(L80=0,"","Tempo sobre tensão")</f>
        <v>Tempo sobre tensão</v>
      </c>
      <c r="D89" s="56">
        <f>SUM(E16*F16*(H16+I16),E18*F18*(H18+I18),E20*F20*(H20+I20),E22*F22*(H22+I22),E26*F26*(H26+I26),E28*F28*(H28+I28),E30*F30*(H30+I30),E32*F32*(H32+I32),E34*F34*(H34+I34),E36*F36*(H36+I36),E38*F38*(H38+I38),E40*F40*(H40+I40),E42*F42*(H42+I42),E44*F44*(H44+I44),E46*F46*(H46+I46),E48*F48*(H48+I48),E50*F50*(H50+I50),E52*F52*(H52+I52),E54*F54*(H54+I54),E56*F56*(H56+I56),E58*F58*(H58+I58),E60*F60*(H60+I60),E62*F62*(H62+I62),E64*F64*(H64+I64),E68*F68*(H68+I68),E70*F70*(H70+I70),E72*F72*(H72+I72))/60</f>
        <v>18.5</v>
      </c>
      <c r="E89" s="57" t="str">
        <f>IF(L80=0,"","Densidade")</f>
        <v>Densidade</v>
      </c>
      <c r="H89" s="186">
        <f>IF(L80=0,"",D89/(K89+0.0000001))</f>
        <v>0.8809523768</v>
      </c>
      <c r="J89" s="66"/>
      <c r="K89" s="57">
        <f>SUM(IF(E16=0,1,E16)*G16,IF(E18=0,1,E18)*G18,IF(E20=0,1,E20)*G20,IF(E22=0,1,E22)*G22,IF(E26=0,1,E26)*G26,IF(E28=0,1,E28)*G28,IF(E30=0,1,E30)*G30,IF(E32=0,1,E32)*G32,IF(E34=0,1,E34)*G34,IF(E36=0,1,E36)*G36,IF(E38=0,1,E38)*G38,IF(E40=0,1,E40)*G40,IF(E42=0,1,E42)*G42,IF(E44=0,1,E44)*G44,IF(E46=0,1,E46)*G46,IF(E48=0,1,E48)*G48,IF(E50=0,1,E50)*G50,IF(E52=0,1,E52)*G52,IF(E54=0,1,E54)*G54,IF(E56=0,1,E56)*G56,IF(E58=0,1,E58)*G58,IF(E60=0,1,E60)*G60,IF(E62=0,1,E62)*G62,IF(E64=0,1,E64)*G64,IF(E68=0,1,E68)*G68,IF(E70=0,1,E70)*G70,IF(E72=0,1,E72)*G72)/60</f>
        <v>21</v>
      </c>
      <c r="L89" s="196"/>
      <c r="M89" s="196"/>
      <c r="N89" s="196"/>
      <c r="O89" s="196"/>
      <c r="P89" s="196"/>
      <c r="Q89" s="58"/>
      <c r="R89" s="194" t="str">
        <f>IF(AC80=0,"","Tempo sobre tensão")</f>
        <v>Tempo sobre tensão</v>
      </c>
      <c r="U89" s="56">
        <f>SUM(V16*W16*(Y16+Z16),V18*W18*(Y18+Z18),V20*W20*(Y20+Z20),V22*W22*(Y22+Z22),V26*W26*(Y26+Z26),V28*W28*(Y28+Z28),V30*W30*(Y30+Z30),V32*W32*(Y32+Z32),V34*W34*(Y34+Z34),V36*W36*(Y36+Z36),V38*W38*(Y38+Z38),V40*W40*(Y40+Z40),V42*W42*(Y42+Z42),V44*W44*(Y44+Z44),V46*W46*(Y46+Z46),V48*W48*(Y48+Z48),V50*W50*(Y50+Z50),V52*W52*(Y52+Z52),V54*W54*(Y54+Z54),V56*W56*(Y56+Z56),V58*W58*(Y58+Z58),V60*W60*(Y60+Z60),V62*W62*(Y62+Z62),V64*W64*(Y64+Z64),V68*W68*(Y68+Z68),V70*W70*(Y70+Z70),V72*W72*(Y72+Z72))/60</f>
        <v>17.75</v>
      </c>
      <c r="V89" s="57" t="str">
        <f>IF(AC80=0,"","Densidade")</f>
        <v>Densidade</v>
      </c>
      <c r="Y89" s="186">
        <f>IF(AC80=0,"",U89/(AB89+0.0000001))</f>
        <v>0.8452380912</v>
      </c>
      <c r="AA89" s="66"/>
      <c r="AB89" s="57">
        <f>SUM(IF(V16=0,1,V16)*X16,IF(V18=0,1,V18)*X18,IF(V20=0,1,V20)*X20,IF(V22=0,1,V22)*X22,IF(V26=0,1,V26)*X26,IF(V28=0,1,V28)*X28,IF(V30=0,1,V30)*X30,IF(V32=0,1,V32)*X32,IF(V34=0,1,V34)*X34,IF(V36=0,1,V36)*X36,IF(V38=0,1,V38)*X38,IF(V40=0,1,V40)*X40,IF(V42=0,1,V42)*X42,IF(V44=0,1,V44)*X44,IF(V46=0,1,V46)*X46,IF(V48=0,1,V48)*X48,IF(V50=0,1,V50)*X50,IF(V52=0,1,V52)*X52,IF(V54=0,1,V54)*X54,IF(V56=0,1,V56)*X56,IF(V58=0,1,V58)*X58,IF(V60=0,1,V60)*X60,IF(V62=0,1,V62)*X62,IF(V64=0,1,V64)*X64,IF(V68=0,1,V68)*X68,IF(V70=0,1,V70)*X70,IF(V72=0,1,V72)*X72)/60</f>
        <v>21</v>
      </c>
      <c r="AC89" s="196"/>
      <c r="AD89" s="196"/>
      <c r="AE89" s="196"/>
      <c r="AF89" s="196"/>
      <c r="AG89" s="196"/>
      <c r="AH89" s="58"/>
      <c r="AI89" s="194" t="str">
        <f>IF(AT80=0,"","Tempo sobre tensão")</f>
        <v>Tempo sobre tensão</v>
      </c>
      <c r="AL89" s="56">
        <f>SUM(AM16*AN16*(AP16+AQ16),AM18*AN18*(AP18+AQ18),AM20*AN20*(AP20+AQ20),AM22*AN22*(AP22+AQ22),AM26*AN26*(AP26+AQ26),AM28*AN28*(AP28+AQ28),AM30*AN30*(AP30+AQ30),AM32*AN32*(AP32+AQ32),AM34*AN34*(AP34+AQ34),AM36*AN36*(AP36+AQ36),AM38*AN38*(AP38+AQ38),AM40*AN40*(AP40+AQ40),AM42*AN42*(AP42+AQ42),AM44*AN44*(AP44+AQ44),AM46*AN46*(AP46+AQ46),AM48*AN48*(AP48+AQ48),AM50*AN50*(AP50+AQ50),AM52*AN52*(AP52+AQ52),AM54*AN54*(AP54+AQ54),AM56*AN56*(AP56+AQ56),AM58*AN58*(AP58+AQ58),AM60*AN60*(AP60+AQ60),AM62*AN62*(AP62+AQ62),AM64*AN64*(AP64+AQ64),AM68*AN68*(AP68+AQ68),AM70*AN70*(AP70+AQ70),AM72*AN72*(AP72+AQ72))/60</f>
        <v>2.166666667</v>
      </c>
      <c r="AM89" s="57" t="str">
        <f>IF(AT80=0,"","Densidade")</f>
        <v>Densidade</v>
      </c>
      <c r="AP89" s="203">
        <f>IF(AT80=0,"",AL89/(AS89+0.0000001))</f>
        <v>1.299999922</v>
      </c>
      <c r="AR89" s="66"/>
      <c r="AS89" s="57">
        <f>SUM(IF(AM16=0,1,AM16)*AO16,IF(AM18=0,1,AM18)*AO18,IF(AM20=0,1,AM20)*AO20,IF(AM22=0,1,AM22)*AO22,IF(AM26=0,1,AM26)*AO26,IF(AM28=0,1,AM28)*AO28,IF(AM30=0,1,AM30)*AO30,IF(AM32=0,1,AM32)*AO32,IF(AM34=0,1,AM34)*AO34,IF(AM36=0,1,AM36)*AO36,IF(AM38=0,1,AM38)*AO38,IF(AM40=0,1,AM40)*AO40,IF(AM42=0,1,AM42)*AO42,IF(AM44=0,1,AM44)*AO44,IF(AM46=0,1,AM46)*AO46,IF(AM48=0,1,AM48)*AO48,IF(AM50=0,1,AM50)*AO50,IF(AM52=0,1,AM52)*AO52,IF(AM54=0,1,AM54)*AO54,IF(AM56=0,1,AM56)*AO56,IF(AM58=0,1,AM58)*AO58,IF(AM60=0,1,AM60)*AO60,IF(AM62=0,1,AM62)*AO62,IF(AM64=0,1,AM64)*AO64,IF(AM68=0,1,AM68)*AO68,IF(AM70=0,1,AM70)*AO70,IF(AM72=0,1,AM72)*AO72)/60</f>
        <v>1.666666667</v>
      </c>
      <c r="AT89" s="196"/>
      <c r="AU89" s="196"/>
      <c r="AV89" s="196"/>
      <c r="AW89" s="196"/>
      <c r="AX89" s="196"/>
      <c r="AY89" s="58"/>
      <c r="AZ89" s="194" t="str">
        <f>IF(BK80=0,"","Tempo sobre tensão")</f>
        <v>Tempo sobre tensão</v>
      </c>
      <c r="BC89" s="56">
        <f>SUM(BD16*BE16*(BG16+BH16),BD18*BE18*(BG18+BH18),BD20*BE20*(BG20+BH20),BD22*BE22*(BG22+BH22),BD26*BE26*(BG26+BH26),BD28*BE28*(BG28+BH28),BD30*BE30*(BG30+BH30),BD32*BE32*(BG32+BH32),BD34*BE34*(BG34+BH34),BD36*BE36*(BG36+BH36),BD38*BE38*(BG38+BH38),BD40*BE40*(BG40+BH40),BD42*BE42*(BG42+BH42),BD44*BE44*(BG44+BH44),BD46*BE46*(BG46+BH46),BD48*BE48*(BG48+BH48),BD50*BE50*(BG50+BH50),BD52*BE52*(BG52+BH52),BD54*BE54*(BG54+BH54),BD56*BE56*(BG56+BH56),BD58*BE58*(BG58+BH58),BD60*BE60*(BG60+BH60),BD62*BE62*(BG62+BH62),BD64*BE64*(BG64+BH64),BD68*BE68*(BG68+BH68),BD70*BE70*(BG70+BH70),BD72*BE72*(BG72+BH72))/60</f>
        <v>19</v>
      </c>
      <c r="BD89" s="57" t="str">
        <f>IF(BK80=0,"","Densidade")</f>
        <v>Densidade</v>
      </c>
      <c r="BG89" s="186">
        <f>IF(BK80=0,"",BC89/(BJ89+0.0000001))</f>
        <v>1.139999993</v>
      </c>
      <c r="BI89" s="66"/>
      <c r="BJ89" s="57">
        <f>SUM(IF(BD16=0,1,BD16)*BF16,IF(BD18=0,1,BD18)*BF18,IF(BD20=0,1,BD20)*BF20,IF(BD22=0,1,BD22)*BF22,IF(BD26=0,1,BD26)*BF26,IF(BD28=0,1,BD28)*BF28,IF(BD30=0,1,BD30)*BF30,IF(BD32=0,1,BD32)*BF32,IF(BD34=0,1,BD34)*BF34,IF(BD36=0,1,BD36)*BF36,IF(BD38=0,1,BD38)*BF38,IF(BD40=0,1,BD40)*BF40,IF(BD42=0,1,BD42)*BF42,IF(BD44=0,1,BD44)*BF44,IF(BD46=0,1,BD46)*BF46,IF(BD48=0,1,BD48)*BF48,IF(BD50=0,1,BD50)*BF50,IF(BD52=0,1,BD52)*BF52,IF(BD54=0,1,BD54)*BF54,IF(BD56=0,1,BD56)*BF56,IF(BD58=0,1,BD58)*BF58,IF(BD60=0,1,BD60)*BF60,IF(BD62=0,1,BD62)*BF62,IF(BD64=0,1,BD64)*BF64,IF(BD68=0,1,BD68)*BF68,IF(BD70=0,1,BD70)*BF70,IF(BD72=0,1,BD72)*BF72)/60</f>
        <v>16.66666667</v>
      </c>
      <c r="BK89" s="196"/>
      <c r="BL89" s="196"/>
      <c r="BM89" s="196"/>
      <c r="BN89" s="196"/>
      <c r="BO89" s="196"/>
      <c r="BP89" s="58"/>
      <c r="BQ89" s="194" t="str">
        <f>IF(CB80=0,"","Tempo sobre tensão")</f>
        <v>Tempo sobre tensão</v>
      </c>
      <c r="BT89" s="56">
        <f>SUM(BU16*BV16*(BX16+BY16),BU18*BV18*(BX18+BY18),BU20*BV20*(BX20+BY20),BU22*BV22*(BX22+BY22),BU26*BV26*(BX26+BY26),BU28*BV28*(BX28+BY28),BU30*BV30*(BX30+BY30),BU32*BV32*(BX32+BY32),BU34*BV34*(BX34+BY34),BU36*BV36*(BX36+BY36),BU38*BV38*(BX38+BY38),BU40*BV40*(BX40+BY40),BU42*BV42*(BX42+BY42),BU44*BV44*(BX44+BY44),BU46*BV46*(BX46+BY46),BU48*BV48*(BX48+BY48),BU50*BV50*(BX50+BY50),BU52*BV52*(BX52+BY52),BU54*BV54*(BX54+BY54),BU56*BV56*(BX56+BY56),BU58*BV58*(BX58+BY58),BU60*BV60*(BX60+BY60),BU62*BV62*(BX62+BY62),BU64*BV64*(BX64+BY64),BU68*BV68*(BX68+BY68),BU70*BV70*(BX70+BY70),BU72*BV72*(BX72+BY72))/60</f>
        <v>16.4</v>
      </c>
      <c r="BU89" s="57" t="str">
        <f>IF(CB80=0,"","Densidade")</f>
        <v>Densidade</v>
      </c>
      <c r="BX89" s="203">
        <f>IF(CB80=0,"",BT89/(CA89+0.0000001))</f>
        <v>0.9694581223</v>
      </c>
      <c r="BZ89" s="66"/>
      <c r="CA89" s="57">
        <f>SUM(IF(BU16=0,1,BU16)*BW16,IF(BU18=0,1,BU18)*BW18,IF(BU20=0,1,BU20)*BW20,IF(BU22=0,1,BU22)*BW22,IF(BU26=0,1,BU26)*BW26,IF(BU28=0,1,BU28)*BW28,IF(BU30=0,1,BU30)*BW30,IF(BU32=0,1,BU32)*BW32,IF(BU34=0,1,BU34)*BW34,IF(BU36=0,1,BU36)*BW36,IF(BU38=0,1,BU38)*BW38,IF(BU40=0,1,BU40)*BW40,IF(BU42=0,1,BU42)*BW42,IF(BU44=0,1,BU44)*BW44,IF(BU46=0,1,BU46)*BW46,IF(BU48=0,1,BU48)*BW48,IF(BU50=0,1,BU50)*BW50,IF(BU52=0,1,BU52)*BW52,IF(BU54=0,1,BU54)*BW54,IF(BU56=0,1,BU56)*BW56,IF(BU58=0,1,BU58)*BW58,IF(BU60=0,1,BU60)*BW60,IF(BU62=0,1,BU62)*BW62,IF(BU64=0,1,BU64)*BW64,IF(BU68=0,1,BU68)*BW68,IF(BU70=0,1,BU70)*BW70,IF(BU72=0,1,BU72)*BW72)/60</f>
        <v>16.91666667</v>
      </c>
      <c r="CB89" s="196"/>
      <c r="CC89" s="196"/>
      <c r="CD89" s="196"/>
      <c r="CE89" s="196"/>
      <c r="CF89" s="196"/>
      <c r="CG89" s="58"/>
      <c r="CH89" s="194" t="str">
        <f>IF(CS80=0,"","Tempo sobre tensão")</f>
        <v/>
      </c>
      <c r="CK89" s="56">
        <f>SUM(CL16*CM16*(CO16+CP16),CL18*CM18*(CO18+CP18),CL20*CM20*(CO20+CP20),CL22*CM22*(CO22+CP22),CL26*CM26*(CO26+CP26),CL28*CM28*(CO28+CP28),CL30*CM30*(CO30+CP30),CL32*CM32*(CO32+CP32),CL34*CM34*(CO34+CP34),CL36*CM36*(CO36+CP36),CL38*CM38*(CO38+CP38),CL40*CM40*(CO40+CP40),CL42*CM42*(CO42+CP42),CL44*CM44*(CO44+CP44),CL46*CM46*(CO46+CP46),CL48*CM48*(CO48+CP48),CL50*CM50*(CO50+CP50),CL52*CM52*(CO52+CP52),CL54*CM54*(CO54+CP54),CL56*CM56*(CO56+CP56),CL58*CM58*(CO58+CP58),CL60*CM60*(CO60+CP60),CL62*CM62*(CO62+CP62),CL64*CM64*(CO64+CP64),CL68*CM68*(CO68+CP68),CL70*CM70*(CO70+CP70),CL72*CM72*(CO72+CP72))/60</f>
        <v>2.166666667</v>
      </c>
      <c r="CL89" s="57" t="str">
        <f>IF(CS80=0,"","Densidade")</f>
        <v/>
      </c>
      <c r="CO89" s="203" t="str">
        <f>IF(CS80=0,"",CK89/(CR89+0.0000001))</f>
        <v/>
      </c>
      <c r="CQ89" s="66"/>
      <c r="CR89" s="57">
        <f>SUM(IF(CL16=0,1,CL16)*CN16,IF(CL18=0,1,CL18)*CN18,IF(CL20=0,1,CL20)*CN20,IF(CL22=0,1,CL22)*CN22,IF(CL26=0,1,CL26)*CN26,IF(CL28=0,1,CL28)*CN28,IF(CL30=0,1,CL30)*CN30,IF(CL32=0,1,CL32)*CN32,IF(CL34=0,1,CL34)*CN34,IF(CL36=0,1,CL36)*CN36,IF(CL38=0,1,CL38)*CN38,IF(CL40=0,1,CL40)*CN40,IF(CL42=0,1,CL42)*CN42,IF(CL44=0,1,CL44)*CN44,IF(CL46=0,1,CL46)*CN46,IF(CL48=0,1,CL48)*CN48,IF(CL50=0,1,CL50)*CN50,IF(CL52=0,1,CL52)*CN52,IF(CL54=0,1,CL54)*CN54,IF(CL56=0,1,CL56)*CN56,IF(CL58=0,1,CL58)*CN58,IF(CL60=0,1,CL60)*CN60,IF(CL62=0,1,CL62)*CN62,IF(CL64=0,1,CL64)*CN64,IF(CL68=0,1,CL68)*CN68,IF(CL70=0,1,CL70)*CN70,IF(CL72=0,1,CL72)*CN72)/60</f>
        <v>1.666666667</v>
      </c>
      <c r="CS89" s="196"/>
      <c r="CT89" s="196"/>
      <c r="CU89" s="196"/>
      <c r="CV89" s="196"/>
      <c r="CW89" s="196"/>
      <c r="CX89" s="58"/>
      <c r="CY89" s="194" t="str">
        <f>IF(DJ80=0,"","Tempo sobre tensão")</f>
        <v/>
      </c>
      <c r="DB89" s="56">
        <f>SUM(DC16*DD16*(DF16+DG16),DC18*DD18*(DF18+DG18),DC20*DD20*(DF20+DG20),DC22*DD22*(DF22+DG22),DC26*DD26*(DF26+DG26),DC28*DD28*(DF28+DG28),DC30*DD30*(DF30+DG30),DC32*DD32*(DF32+DG32),DC34*DD34*(DF34+DG34),DC36*DD36*(DF36+DG36),DC38*DD38*(DF38+DG38),DC40*DD40*(DF40+DG40),DC42*DD42*(DF42+DG42),DC44*DD44*(DF44+DG44),DC46*DD46*(DF46+DG46),DC48*DD48*(DF48+DG48),DC50*DD50*(DF50+DG50),DC52*DD52*(DF52+DG52),DC54*DD54*(DF54+DG54),DC56*DD56*(DF56+DG56),DC58*DD58*(DF58+DG58),DC60*DD60*(DF60+DG60),DC62*DD62*(DF62+DG62),DC64*DD64*(DF64+DG64),DC68*DD68*(DF68+DG68),DC70*DD70*(DF70+DG70),DC72*DD72*(DF72+DG72))/60</f>
        <v>0</v>
      </c>
      <c r="DC89" s="57" t="str">
        <f>IF(DJ80=0,"","Densidade")</f>
        <v/>
      </c>
      <c r="DF89" s="203" t="str">
        <f>IF(DJ80=0,"",DB89/(DI89+0.0000001))</f>
        <v/>
      </c>
      <c r="DH89" s="66"/>
      <c r="DI89" s="57">
        <f>SUM(IF(DC16=0,1,DC16)*DE16,IF(DC18=0,1,DC18)*DE18,IF(DC20=0,1,DC20)*DE20,IF(DC22=0,1,DC22)*DE22,IF(DC26=0,1,DC26)*DE26,IF(DC28=0,1,DC28)*DE28,IF(DC30=0,1,DC30)*DE30,IF(DC32=0,1,DC32)*DE32,IF(DC34=0,1,DC34)*DE34,IF(DC36=0,1,DC36)*DE36,IF(DC38=0,1,DC38)*DE38,IF(DC40=0,1,DC40)*DE40,IF(DC42=0,1,DC42)*DE42,IF(DC44=0,1,DC44)*DE44,IF(DC46=0,1,DC46)*DE46,IF(DC48=0,1,DC48)*DE48,IF(DC50=0,1,DC50)*DE50,IF(DC52=0,1,DC52)*DE52,IF(DC54=0,1,DC54)*DE54,IF(DC56=0,1,DC56)*DE56,IF(DC58=0,1,DC58)*DE58,IF(DC60=0,1,DC60)*DE60,IF(DC62=0,1,DC62)*DE62,IF(DC64=0,1,DC64)*DE64,IF(DC68=0,1,DC68)*DE68,IF(DC70=0,1,DC70)*DE70,IF(DC72=0,1,DC72)*DE72)/60</f>
        <v>0</v>
      </c>
      <c r="DJ89" s="196"/>
      <c r="DK89" s="196"/>
      <c r="DL89" s="196"/>
      <c r="DM89" s="196"/>
      <c r="DN89" s="196"/>
      <c r="DO89" s="58"/>
      <c r="DP89" s="57"/>
      <c r="DQ89" s="56"/>
      <c r="DR89" s="56"/>
      <c r="DS89" s="56"/>
      <c r="DT89" s="56"/>
      <c r="DU89" s="56"/>
      <c r="DV89" s="56"/>
      <c r="DW89" s="56"/>
      <c r="DX89" s="56"/>
      <c r="DY89" s="56"/>
    </row>
    <row r="90">
      <c r="A90" s="194" t="str">
        <f>IF(L80=0,"","Carga Interna de treino")</f>
        <v>Carga Interna de treino</v>
      </c>
      <c r="D90" s="56">
        <f>IF(L80=0,"",(L80*D89)+(L80*IF(ISNUMBER(B82),B82,B6)))</f>
        <v>100.5</v>
      </c>
      <c r="E90" s="57" t="str">
        <f>IF(L80=0,"","Razão Ag/Cr")</f>
        <v>Razão Ag/Cr</v>
      </c>
      <c r="H90" s="186">
        <f>IF(L80=0,"",D90/'Dados de Base'!$J$7)</f>
        <v>0.4572321877</v>
      </c>
      <c r="J90" s="66"/>
      <c r="K90" s="57"/>
      <c r="L90" s="196"/>
      <c r="M90" s="196"/>
      <c r="N90" s="196"/>
      <c r="O90" s="196"/>
      <c r="P90" s="196"/>
      <c r="Q90" s="58"/>
      <c r="R90" s="194" t="str">
        <f>IF(AC80=0,"","Carga Interna de treino")</f>
        <v>Carga Interna de treino</v>
      </c>
      <c r="U90" s="56">
        <f>IF(AC80=0,"",(AC80*U89)+(AC80*IF(ISNUMBER(S82),S82,S6)))</f>
        <v>131</v>
      </c>
      <c r="V90" s="57" t="str">
        <f>IF(AC80=0,"","Razão Ag/Cr")</f>
        <v>Razão Ag/Cr</v>
      </c>
      <c r="Y90" s="186">
        <f>IF(AC80=0,"",U90/'Dados de Base'!$J$7)</f>
        <v>0.5959941949</v>
      </c>
      <c r="AA90" s="66"/>
      <c r="AB90" s="57"/>
      <c r="AC90" s="196"/>
      <c r="AD90" s="196"/>
      <c r="AE90" s="196"/>
      <c r="AF90" s="196"/>
      <c r="AG90" s="196"/>
      <c r="AH90" s="58"/>
      <c r="AI90" s="194" t="str">
        <f>IF(AT80=0,"","Carga Interna de treino")</f>
        <v>Carga Interna de treino</v>
      </c>
      <c r="AL90" s="56">
        <f>IF(AT80=0,"",(AT80*AL89)+(AT80*IF(ISNUMBER(AJ82),AJ82,AJ6)))</f>
        <v>8.86875</v>
      </c>
      <c r="AM90" s="57" t="str">
        <f>IF(AT80=0,"","Razão Ag/Cr")</f>
        <v>Razão Ag/Cr</v>
      </c>
      <c r="AP90" s="186">
        <f>IF(AT80=0,"",AL90/'Dados de Base'!$J$7)</f>
        <v>0.04034903447</v>
      </c>
      <c r="AR90" s="66"/>
      <c r="AS90" s="57"/>
      <c r="AT90" s="196"/>
      <c r="AU90" s="196"/>
      <c r="AV90" s="196"/>
      <c r="AW90" s="196"/>
      <c r="AX90" s="196"/>
      <c r="AY90" s="58"/>
      <c r="AZ90" s="194" t="str">
        <f>IF(BK80=0,"","Carga Interna de treino")</f>
        <v>Carga Interna de treino</v>
      </c>
      <c r="BC90" s="57">
        <f>IF(BK80=0,"",(BK80*BC89)+(BK80*IF(ISNUMBER(BA82),BA82,BA6)))</f>
        <v>177</v>
      </c>
      <c r="BD90" s="57" t="str">
        <f>IF(BK80=0,"","Razão Ag/Cr")</f>
        <v>Razão Ag/Cr</v>
      </c>
      <c r="BG90" s="186">
        <f>IF(BK80=0,"",BC90/'Dados de Base'!$J$7)</f>
        <v>0.8052745992</v>
      </c>
      <c r="BI90" s="66"/>
      <c r="BJ90" s="57"/>
      <c r="BK90" s="196"/>
      <c r="BL90" s="196"/>
      <c r="BM90" s="196"/>
      <c r="BN90" s="196"/>
      <c r="BO90" s="196"/>
      <c r="BP90" s="58"/>
      <c r="BQ90" s="194" t="str">
        <f>IF(CB80=0,"","Carga Interna de treino")</f>
        <v>Carga Interna de treino</v>
      </c>
      <c r="BT90" s="56">
        <f>IF(CB80=0,"",(CB80*BT89)+(CB80*IF(ISNUMBER(BR82),BR82,BR6)))</f>
        <v>79.2</v>
      </c>
      <c r="BU90" s="57" t="str">
        <f>IF(CB80=0,"","Razão Ag/Cr")</f>
        <v>Razão Ag/Cr</v>
      </c>
      <c r="BX90" s="186">
        <f>IF(CB80=0,"",BT90/'Dados de Base'!$J$7)</f>
        <v>0.3603262613</v>
      </c>
      <c r="BZ90" s="66"/>
      <c r="CA90" s="57"/>
      <c r="CB90" s="196"/>
      <c r="CC90" s="196"/>
      <c r="CD90" s="196"/>
      <c r="CE90" s="196"/>
      <c r="CF90" s="196"/>
      <c r="CG90" s="58"/>
      <c r="CH90" s="194" t="str">
        <f>IF(CS80=0,"","Carga Interna de treino")</f>
        <v/>
      </c>
      <c r="CK90" s="57" t="str">
        <f>IF(CS80=0,"",(CS80*CK89)+(CS80*IF(ISNUMBER(CI82),CI82,CI6)))</f>
        <v/>
      </c>
      <c r="CL90" s="57" t="str">
        <f>IF(CS80=0,"","Razão Ag/Cr")</f>
        <v/>
      </c>
      <c r="CO90" s="186" t="str">
        <f>IF(CS80=0,"",CK90/'Dados de Base'!$J$7)</f>
        <v/>
      </c>
      <c r="CQ90" s="66"/>
      <c r="CR90" s="57"/>
      <c r="CS90" s="196"/>
      <c r="CT90" s="196"/>
      <c r="CU90" s="196"/>
      <c r="CV90" s="196"/>
      <c r="CW90" s="196"/>
      <c r="CX90" s="58"/>
      <c r="CY90" s="194" t="str">
        <f>IF(DJ80=0,"","Carga Interna de treino")</f>
        <v/>
      </c>
      <c r="DB90" s="56" t="str">
        <f>IF(DJ80=0,"",(DJ80*DB89)+(DJ80*IF(ISNUMBER(CZ82),CZ82,CZ6)))</f>
        <v/>
      </c>
      <c r="DC90" s="57" t="str">
        <f>IF(DJ80=0,"","Razão Ag/Cr")</f>
        <v/>
      </c>
      <c r="DF90" s="186" t="str">
        <f>IF(DJ80=0,"",DB90/'Dados de Base'!$J$7)</f>
        <v/>
      </c>
      <c r="DH90" s="66"/>
      <c r="DI90" s="57"/>
      <c r="DJ90" s="196"/>
      <c r="DK90" s="196"/>
      <c r="DL90" s="196"/>
      <c r="DM90" s="196"/>
      <c r="DN90" s="196"/>
      <c r="DO90" s="58"/>
      <c r="DP90" s="57"/>
      <c r="DQ90" s="56"/>
      <c r="DR90" s="56"/>
      <c r="DS90" s="56"/>
      <c r="DT90" s="56"/>
      <c r="DU90" s="56"/>
      <c r="DV90" s="56"/>
      <c r="DW90" s="56"/>
      <c r="DX90" s="56"/>
      <c r="DY90" s="56"/>
    </row>
    <row r="91">
      <c r="A91" s="204" t="s">
        <v>55</v>
      </c>
      <c r="B91" s="205"/>
      <c r="C91" s="205"/>
      <c r="D91" s="205"/>
      <c r="E91" s="205"/>
      <c r="F91" s="205"/>
      <c r="G91" s="205"/>
      <c r="H91" s="205"/>
      <c r="I91" s="205"/>
      <c r="J91" s="206"/>
      <c r="K91" s="57"/>
      <c r="L91" s="57"/>
      <c r="M91" s="57"/>
      <c r="N91" s="57"/>
      <c r="O91" s="57"/>
      <c r="P91" s="57"/>
      <c r="Q91" s="58"/>
      <c r="R91" s="207" t="s">
        <v>55</v>
      </c>
      <c r="S91" s="205"/>
      <c r="T91" s="205"/>
      <c r="U91" s="205"/>
      <c r="V91" s="205"/>
      <c r="W91" s="205"/>
      <c r="X91" s="205"/>
      <c r="Y91" s="205"/>
      <c r="Z91" s="205"/>
      <c r="AA91" s="206"/>
      <c r="AB91" s="57"/>
      <c r="AC91" s="57"/>
      <c r="AD91" s="57"/>
      <c r="AE91" s="57"/>
      <c r="AF91" s="57"/>
      <c r="AG91" s="57"/>
      <c r="AH91" s="58"/>
      <c r="AI91" s="204" t="s">
        <v>55</v>
      </c>
      <c r="AJ91" s="205"/>
      <c r="AK91" s="205"/>
      <c r="AL91" s="205"/>
      <c r="AM91" s="205"/>
      <c r="AN91" s="205"/>
      <c r="AO91" s="205"/>
      <c r="AP91" s="205"/>
      <c r="AQ91" s="205"/>
      <c r="AR91" s="206"/>
      <c r="AS91" s="57"/>
      <c r="AT91" s="57"/>
      <c r="AU91" s="57"/>
      <c r="AV91" s="57"/>
      <c r="AW91" s="57"/>
      <c r="AX91" s="57"/>
      <c r="AY91" s="58"/>
      <c r="AZ91" s="204" t="s">
        <v>55</v>
      </c>
      <c r="BA91" s="205"/>
      <c r="BB91" s="205"/>
      <c r="BC91" s="205"/>
      <c r="BD91" s="205"/>
      <c r="BE91" s="205"/>
      <c r="BF91" s="205"/>
      <c r="BG91" s="205"/>
      <c r="BH91" s="205"/>
      <c r="BI91" s="206"/>
      <c r="BJ91" s="57"/>
      <c r="BK91" s="57"/>
      <c r="BL91" s="57"/>
      <c r="BM91" s="57"/>
      <c r="BN91" s="57"/>
      <c r="BO91" s="57"/>
      <c r="BP91" s="58"/>
      <c r="BQ91" s="204" t="s">
        <v>55</v>
      </c>
      <c r="BR91" s="205"/>
      <c r="BS91" s="205"/>
      <c r="BT91" s="205"/>
      <c r="BU91" s="205"/>
      <c r="BV91" s="205"/>
      <c r="BW91" s="205"/>
      <c r="BX91" s="205"/>
      <c r="BY91" s="205"/>
      <c r="BZ91" s="206"/>
      <c r="CA91" s="57"/>
      <c r="CB91" s="57"/>
      <c r="CC91" s="57"/>
      <c r="CD91" s="57"/>
      <c r="CE91" s="57"/>
      <c r="CF91" s="57"/>
      <c r="CG91" s="58"/>
      <c r="CH91" s="204" t="s">
        <v>55</v>
      </c>
      <c r="CI91" s="205"/>
      <c r="CJ91" s="205"/>
      <c r="CK91" s="205"/>
      <c r="CL91" s="205"/>
      <c r="CM91" s="205"/>
      <c r="CN91" s="205"/>
      <c r="CO91" s="205"/>
      <c r="CP91" s="205"/>
      <c r="CQ91" s="206"/>
      <c r="CR91" s="57"/>
      <c r="CS91" s="57"/>
      <c r="CT91" s="57"/>
      <c r="CU91" s="57"/>
      <c r="CV91" s="57"/>
      <c r="CW91" s="57"/>
      <c r="CX91" s="58"/>
      <c r="CY91" s="204" t="s">
        <v>55</v>
      </c>
      <c r="CZ91" s="205"/>
      <c r="DA91" s="205"/>
      <c r="DB91" s="205"/>
      <c r="DC91" s="205"/>
      <c r="DD91" s="205"/>
      <c r="DE91" s="205"/>
      <c r="DF91" s="205"/>
      <c r="DG91" s="205"/>
      <c r="DH91" s="206"/>
      <c r="DI91" s="57"/>
      <c r="DJ91" s="57"/>
      <c r="DK91" s="57"/>
      <c r="DL91" s="57"/>
      <c r="DM91" s="57"/>
      <c r="DN91" s="57"/>
      <c r="DO91" s="58"/>
      <c r="DP91" s="57"/>
      <c r="DQ91" s="56"/>
      <c r="DR91" s="56"/>
      <c r="DS91" s="56"/>
      <c r="DT91" s="56"/>
      <c r="DU91" s="56"/>
      <c r="DV91" s="56"/>
      <c r="DW91" s="56"/>
      <c r="DX91" s="56"/>
      <c r="DY91" s="56"/>
    </row>
  </sheetData>
  <mergeCells count="946">
    <mergeCell ref="AZ66:BI66"/>
    <mergeCell ref="AZ67:BB67"/>
    <mergeCell ref="BQ67:BS67"/>
    <mergeCell ref="CH67:CJ67"/>
    <mergeCell ref="CY67:DA67"/>
    <mergeCell ref="AI65:AL65"/>
    <mergeCell ref="AM65:AR65"/>
    <mergeCell ref="BD65:BI65"/>
    <mergeCell ref="BU65:BZ65"/>
    <mergeCell ref="AI66:AR66"/>
    <mergeCell ref="BQ66:BZ66"/>
    <mergeCell ref="AI67:AK67"/>
    <mergeCell ref="BQ69:BT69"/>
    <mergeCell ref="BU69:BZ69"/>
    <mergeCell ref="BQ70:BS70"/>
    <mergeCell ref="BQ71:BT71"/>
    <mergeCell ref="BU71:BZ71"/>
    <mergeCell ref="CH69:CK69"/>
    <mergeCell ref="CL69:CQ69"/>
    <mergeCell ref="CH70:CJ70"/>
    <mergeCell ref="CH71:CK71"/>
    <mergeCell ref="CL71:CQ71"/>
    <mergeCell ref="CY69:DB69"/>
    <mergeCell ref="DC69:DH69"/>
    <mergeCell ref="CY70:DA70"/>
    <mergeCell ref="CY71:DB71"/>
    <mergeCell ref="DC71:DH71"/>
    <mergeCell ref="AI68:AK68"/>
    <mergeCell ref="AZ68:BB68"/>
    <mergeCell ref="BQ68:BS68"/>
    <mergeCell ref="CH68:CJ68"/>
    <mergeCell ref="CY68:DA68"/>
    <mergeCell ref="AI69:AL69"/>
    <mergeCell ref="AM69:AR69"/>
    <mergeCell ref="AZ72:BB72"/>
    <mergeCell ref="BQ72:BS72"/>
    <mergeCell ref="CH72:CJ72"/>
    <mergeCell ref="CY72:DA72"/>
    <mergeCell ref="AZ69:BC69"/>
    <mergeCell ref="BD69:BI69"/>
    <mergeCell ref="AI70:AK70"/>
    <mergeCell ref="AZ70:BB70"/>
    <mergeCell ref="AM71:AR71"/>
    <mergeCell ref="AZ71:BC71"/>
    <mergeCell ref="BD71:BI71"/>
    <mergeCell ref="CY74:DH74"/>
    <mergeCell ref="CY75:DH75"/>
    <mergeCell ref="CY76:DH76"/>
    <mergeCell ref="CY77:DH77"/>
    <mergeCell ref="CY78:DH78"/>
    <mergeCell ref="CY79:DH79"/>
    <mergeCell ref="CY81:DH81"/>
    <mergeCell ref="BU73:BZ73"/>
    <mergeCell ref="CH73:CK73"/>
    <mergeCell ref="CL73:CQ73"/>
    <mergeCell ref="CY73:DB73"/>
    <mergeCell ref="DC73:DH73"/>
    <mergeCell ref="CH74:CQ74"/>
    <mergeCell ref="CH75:CQ75"/>
    <mergeCell ref="AI71:AL71"/>
    <mergeCell ref="AI72:AK72"/>
    <mergeCell ref="AI73:AL73"/>
    <mergeCell ref="AM73:AR73"/>
    <mergeCell ref="AZ73:BC73"/>
    <mergeCell ref="BQ73:BT73"/>
    <mergeCell ref="BQ74:BZ74"/>
    <mergeCell ref="BT80:BZ80"/>
    <mergeCell ref="BQ81:BZ81"/>
    <mergeCell ref="CH81:CQ81"/>
    <mergeCell ref="AZ80:BB80"/>
    <mergeCell ref="BC80:BI80"/>
    <mergeCell ref="BQ80:BS80"/>
    <mergeCell ref="CH80:CJ80"/>
    <mergeCell ref="CK80:CQ80"/>
    <mergeCell ref="CY80:DA80"/>
    <mergeCell ref="DB80:DH80"/>
    <mergeCell ref="AI52:AK52"/>
    <mergeCell ref="AI53:AL53"/>
    <mergeCell ref="AM53:AR53"/>
    <mergeCell ref="BD53:BI53"/>
    <mergeCell ref="BU53:BZ53"/>
    <mergeCell ref="AI54:AK54"/>
    <mergeCell ref="AZ54:BB54"/>
    <mergeCell ref="AI55:AL55"/>
    <mergeCell ref="AM55:AR55"/>
    <mergeCell ref="BD55:BI55"/>
    <mergeCell ref="BU55:BZ55"/>
    <mergeCell ref="AI56:AK56"/>
    <mergeCell ref="AZ56:BB56"/>
    <mergeCell ref="BQ56:BS56"/>
    <mergeCell ref="DS57:DT57"/>
    <mergeCell ref="DU57:DW57"/>
    <mergeCell ref="CH58:CJ58"/>
    <mergeCell ref="CY58:DA58"/>
    <mergeCell ref="CL59:CQ59"/>
    <mergeCell ref="CY59:DB59"/>
    <mergeCell ref="DC59:DH59"/>
    <mergeCell ref="CY61:DB61"/>
    <mergeCell ref="CY62:DA62"/>
    <mergeCell ref="CY63:DB63"/>
    <mergeCell ref="CH59:CK59"/>
    <mergeCell ref="CH60:CJ60"/>
    <mergeCell ref="CY60:DA60"/>
    <mergeCell ref="CH61:CK61"/>
    <mergeCell ref="CL61:CQ61"/>
    <mergeCell ref="DC61:DH61"/>
    <mergeCell ref="CH62:CJ62"/>
    <mergeCell ref="CY65:DB65"/>
    <mergeCell ref="DC65:DH65"/>
    <mergeCell ref="CH66:CQ66"/>
    <mergeCell ref="CY66:DH66"/>
    <mergeCell ref="CH63:CK63"/>
    <mergeCell ref="CL63:CQ63"/>
    <mergeCell ref="DC63:DH63"/>
    <mergeCell ref="CH64:CJ64"/>
    <mergeCell ref="CY64:DA64"/>
    <mergeCell ref="CH65:CK65"/>
    <mergeCell ref="CL65:CQ65"/>
    <mergeCell ref="AI57:AL57"/>
    <mergeCell ref="AM57:AR57"/>
    <mergeCell ref="BD57:BI57"/>
    <mergeCell ref="BU57:BZ57"/>
    <mergeCell ref="AI58:AK58"/>
    <mergeCell ref="AZ58:BB58"/>
    <mergeCell ref="BQ58:BS58"/>
    <mergeCell ref="AI59:AL59"/>
    <mergeCell ref="AM59:AR59"/>
    <mergeCell ref="BD59:BI59"/>
    <mergeCell ref="BU59:BZ59"/>
    <mergeCell ref="AI60:AK60"/>
    <mergeCell ref="AZ60:BB60"/>
    <mergeCell ref="BQ60:BS60"/>
    <mergeCell ref="AZ48:BB48"/>
    <mergeCell ref="AZ49:BC49"/>
    <mergeCell ref="AZ47:BC47"/>
    <mergeCell ref="AZ50:BB50"/>
    <mergeCell ref="AZ51:BC51"/>
    <mergeCell ref="AZ53:BC53"/>
    <mergeCell ref="AZ55:BC55"/>
    <mergeCell ref="AZ57:BC57"/>
    <mergeCell ref="AZ59:BC59"/>
    <mergeCell ref="BD49:BI49"/>
    <mergeCell ref="BQ49:BT49"/>
    <mergeCell ref="BU49:BZ49"/>
    <mergeCell ref="BQ50:BS50"/>
    <mergeCell ref="AI47:AL47"/>
    <mergeCell ref="AM47:AR47"/>
    <mergeCell ref="BD47:BI47"/>
    <mergeCell ref="AI48:AK48"/>
    <mergeCell ref="AI49:AL49"/>
    <mergeCell ref="AM49:AR49"/>
    <mergeCell ref="AI50:AK50"/>
    <mergeCell ref="AI51:AL51"/>
    <mergeCell ref="AM51:AR51"/>
    <mergeCell ref="BD51:BI51"/>
    <mergeCell ref="BQ51:BT51"/>
    <mergeCell ref="BU51:BZ51"/>
    <mergeCell ref="AZ52:BB52"/>
    <mergeCell ref="BQ52:BS52"/>
    <mergeCell ref="BQ53:BT53"/>
    <mergeCell ref="BQ54:BS54"/>
    <mergeCell ref="BQ55:BT55"/>
    <mergeCell ref="BQ57:BT57"/>
    <mergeCell ref="BQ59:BT59"/>
    <mergeCell ref="BQ61:BT61"/>
    <mergeCell ref="BQ63:BT63"/>
    <mergeCell ref="BQ65:BT65"/>
    <mergeCell ref="AI61:AL61"/>
    <mergeCell ref="AM61:AR61"/>
    <mergeCell ref="BD61:BI61"/>
    <mergeCell ref="BU61:BZ61"/>
    <mergeCell ref="AI62:AK62"/>
    <mergeCell ref="AZ62:BB62"/>
    <mergeCell ref="BQ62:BS62"/>
    <mergeCell ref="AZ61:BC61"/>
    <mergeCell ref="AZ63:BC63"/>
    <mergeCell ref="AZ65:BC65"/>
    <mergeCell ref="AI63:AL63"/>
    <mergeCell ref="AM63:AR63"/>
    <mergeCell ref="BD63:BI63"/>
    <mergeCell ref="BU63:BZ63"/>
    <mergeCell ref="AI64:AK64"/>
    <mergeCell ref="AZ64:BB64"/>
    <mergeCell ref="BQ64:BS64"/>
    <mergeCell ref="AI74:AR74"/>
    <mergeCell ref="AI75:AR75"/>
    <mergeCell ref="AI76:AR76"/>
    <mergeCell ref="AI77:AR77"/>
    <mergeCell ref="AI78:AR78"/>
    <mergeCell ref="AI79:AR79"/>
    <mergeCell ref="AI80:AK80"/>
    <mergeCell ref="AL80:AR80"/>
    <mergeCell ref="AI81:AR81"/>
    <mergeCell ref="AM82:AN82"/>
    <mergeCell ref="AO82:AR82"/>
    <mergeCell ref="AI83:AL83"/>
    <mergeCell ref="AM83:AN83"/>
    <mergeCell ref="AO83:AR83"/>
    <mergeCell ref="AI88:AJ88"/>
    <mergeCell ref="AI89:AK89"/>
    <mergeCell ref="AM89:AO89"/>
    <mergeCell ref="AP89:AR89"/>
    <mergeCell ref="AI90:AK90"/>
    <mergeCell ref="AM90:AO90"/>
    <mergeCell ref="AP90:AR90"/>
    <mergeCell ref="AI84:AJ84"/>
    <mergeCell ref="AI85:AK85"/>
    <mergeCell ref="AL85:AR85"/>
    <mergeCell ref="AM86:AN86"/>
    <mergeCell ref="AO86:AQ86"/>
    <mergeCell ref="AM87:AN87"/>
    <mergeCell ref="AO87:AQ87"/>
    <mergeCell ref="BD73:BI73"/>
    <mergeCell ref="AZ74:BI74"/>
    <mergeCell ref="AZ75:BI75"/>
    <mergeCell ref="AZ76:BI76"/>
    <mergeCell ref="AZ77:BI77"/>
    <mergeCell ref="AZ78:BI78"/>
    <mergeCell ref="AZ79:BI79"/>
    <mergeCell ref="AZ81:BI81"/>
    <mergeCell ref="BD82:BE82"/>
    <mergeCell ref="BF82:BI82"/>
    <mergeCell ref="AZ83:BC83"/>
    <mergeCell ref="BD83:BE83"/>
    <mergeCell ref="BF83:BI83"/>
    <mergeCell ref="AZ84:BA84"/>
    <mergeCell ref="AZ89:BB89"/>
    <mergeCell ref="BD89:BF89"/>
    <mergeCell ref="BG89:BI89"/>
    <mergeCell ref="AZ90:BB90"/>
    <mergeCell ref="BD90:BF90"/>
    <mergeCell ref="BG90:BI90"/>
    <mergeCell ref="AZ85:BB85"/>
    <mergeCell ref="BC85:BI85"/>
    <mergeCell ref="BD86:BE86"/>
    <mergeCell ref="BF86:BH86"/>
    <mergeCell ref="BD87:BE87"/>
    <mergeCell ref="BF87:BH87"/>
    <mergeCell ref="AZ88:BA88"/>
    <mergeCell ref="BU90:BW90"/>
    <mergeCell ref="BX90:BZ90"/>
    <mergeCell ref="CH90:CJ90"/>
    <mergeCell ref="CL90:CN90"/>
    <mergeCell ref="CO90:CQ90"/>
    <mergeCell ref="CY90:DA90"/>
    <mergeCell ref="DC90:DE90"/>
    <mergeCell ref="DF90:DH90"/>
    <mergeCell ref="BU87:BV87"/>
    <mergeCell ref="BW87:BY87"/>
    <mergeCell ref="BQ88:BR88"/>
    <mergeCell ref="BQ89:BS89"/>
    <mergeCell ref="BU89:BW89"/>
    <mergeCell ref="BX89:BZ89"/>
    <mergeCell ref="BQ90:BS90"/>
    <mergeCell ref="AI12:AR12"/>
    <mergeCell ref="AI13:AR13"/>
    <mergeCell ref="AZ13:BI13"/>
    <mergeCell ref="BQ13:BZ13"/>
    <mergeCell ref="AI14:AR14"/>
    <mergeCell ref="BQ14:BZ14"/>
    <mergeCell ref="BQ15:BS15"/>
    <mergeCell ref="AZ14:BI14"/>
    <mergeCell ref="AZ15:BB15"/>
    <mergeCell ref="AZ16:BB16"/>
    <mergeCell ref="BQ16:BS16"/>
    <mergeCell ref="BD17:BI17"/>
    <mergeCell ref="BQ17:BT17"/>
    <mergeCell ref="BU17:BZ17"/>
    <mergeCell ref="AI11:AR11"/>
    <mergeCell ref="AZ11:BI11"/>
    <mergeCell ref="BQ11:BZ11"/>
    <mergeCell ref="CY11:DH11"/>
    <mergeCell ref="AZ12:BI12"/>
    <mergeCell ref="BQ12:BZ12"/>
    <mergeCell ref="CY12:DH12"/>
    <mergeCell ref="CH11:CQ11"/>
    <mergeCell ref="CH12:CQ12"/>
    <mergeCell ref="CH13:CQ13"/>
    <mergeCell ref="CY13:DH13"/>
    <mergeCell ref="CH14:CQ14"/>
    <mergeCell ref="CY14:DH14"/>
    <mergeCell ref="CY15:DA15"/>
    <mergeCell ref="AZ17:BC17"/>
    <mergeCell ref="AZ18:BB18"/>
    <mergeCell ref="AZ19:BC19"/>
    <mergeCell ref="BD19:BI19"/>
    <mergeCell ref="AZ20:BB20"/>
    <mergeCell ref="AZ21:BC21"/>
    <mergeCell ref="BD21:BI21"/>
    <mergeCell ref="BQ18:BS18"/>
    <mergeCell ref="BQ19:BT19"/>
    <mergeCell ref="BU19:BZ19"/>
    <mergeCell ref="BQ20:BS20"/>
    <mergeCell ref="BQ21:BT21"/>
    <mergeCell ref="BU21:BZ21"/>
    <mergeCell ref="AI20:AK20"/>
    <mergeCell ref="AI21:AL21"/>
    <mergeCell ref="AM21:AR21"/>
    <mergeCell ref="AI15:AK15"/>
    <mergeCell ref="AI16:AK16"/>
    <mergeCell ref="AI17:AL17"/>
    <mergeCell ref="AM17:AR17"/>
    <mergeCell ref="AI18:AK18"/>
    <mergeCell ref="AI19:AL19"/>
    <mergeCell ref="AM19:AR19"/>
    <mergeCell ref="CY26:DA26"/>
    <mergeCell ref="CY27:DB27"/>
    <mergeCell ref="DC27:DH27"/>
    <mergeCell ref="R28:T28"/>
    <mergeCell ref="R29:U29"/>
    <mergeCell ref="V29:AA29"/>
    <mergeCell ref="R30:T30"/>
    <mergeCell ref="R31:U31"/>
    <mergeCell ref="V31:AA31"/>
    <mergeCell ref="R32:T32"/>
    <mergeCell ref="R33:U33"/>
    <mergeCell ref="V33:AA33"/>
    <mergeCell ref="AM33:AR33"/>
    <mergeCell ref="AZ33:BC33"/>
    <mergeCell ref="BD33:BI33"/>
    <mergeCell ref="BQ33:BT33"/>
    <mergeCell ref="BU33:BZ33"/>
    <mergeCell ref="AZ35:BC35"/>
    <mergeCell ref="AZ36:BB36"/>
    <mergeCell ref="AZ37:BC37"/>
    <mergeCell ref="AI33:AL33"/>
    <mergeCell ref="AI34:AK34"/>
    <mergeCell ref="AZ34:BB34"/>
    <mergeCell ref="AI35:AL35"/>
    <mergeCell ref="AM35:AR35"/>
    <mergeCell ref="BD35:BI35"/>
    <mergeCell ref="AI36:AK36"/>
    <mergeCell ref="BQ39:BT39"/>
    <mergeCell ref="BU39:BZ39"/>
    <mergeCell ref="BQ40:BS40"/>
    <mergeCell ref="BQ34:BS34"/>
    <mergeCell ref="BQ35:BT35"/>
    <mergeCell ref="BU35:BZ35"/>
    <mergeCell ref="BQ36:BS36"/>
    <mergeCell ref="BQ37:BT37"/>
    <mergeCell ref="BU37:BZ37"/>
    <mergeCell ref="BQ38:BS38"/>
    <mergeCell ref="AZ38:BB38"/>
    <mergeCell ref="AZ40:BB40"/>
    <mergeCell ref="AZ39:BC39"/>
    <mergeCell ref="BD39:BI39"/>
    <mergeCell ref="AI37:AL37"/>
    <mergeCell ref="AM37:AR37"/>
    <mergeCell ref="BD37:BI37"/>
    <mergeCell ref="AI38:AK38"/>
    <mergeCell ref="AI39:AL39"/>
    <mergeCell ref="AM39:AR39"/>
    <mergeCell ref="AI40:AK40"/>
    <mergeCell ref="AI41:AL41"/>
    <mergeCell ref="AM41:AR41"/>
    <mergeCell ref="AZ41:BC41"/>
    <mergeCell ref="BD41:BI41"/>
    <mergeCell ref="BU41:BZ41"/>
    <mergeCell ref="AI42:AK42"/>
    <mergeCell ref="AZ42:BB42"/>
    <mergeCell ref="AI43:AL43"/>
    <mergeCell ref="AM43:AR43"/>
    <mergeCell ref="AZ43:BC43"/>
    <mergeCell ref="BD43:BI43"/>
    <mergeCell ref="BU43:BZ43"/>
    <mergeCell ref="AZ44:BB44"/>
    <mergeCell ref="BQ44:BS44"/>
    <mergeCell ref="AI44:AK44"/>
    <mergeCell ref="AI45:AL45"/>
    <mergeCell ref="AM45:AR45"/>
    <mergeCell ref="AZ45:BC45"/>
    <mergeCell ref="BD45:BI45"/>
    <mergeCell ref="AI46:AK46"/>
    <mergeCell ref="AZ46:BB46"/>
    <mergeCell ref="BQ47:BT47"/>
    <mergeCell ref="BQ48:BS48"/>
    <mergeCell ref="BQ41:BT41"/>
    <mergeCell ref="BQ42:BS42"/>
    <mergeCell ref="BQ43:BT43"/>
    <mergeCell ref="BQ45:BT45"/>
    <mergeCell ref="BU45:BZ45"/>
    <mergeCell ref="BQ46:BS46"/>
    <mergeCell ref="BU47:BZ47"/>
    <mergeCell ref="A23:D23"/>
    <mergeCell ref="A25:C25"/>
    <mergeCell ref="A26:C26"/>
    <mergeCell ref="A27:D27"/>
    <mergeCell ref="E27:J27"/>
    <mergeCell ref="A28:C28"/>
    <mergeCell ref="E29:J29"/>
    <mergeCell ref="A29:D29"/>
    <mergeCell ref="A30:C30"/>
    <mergeCell ref="A31:D31"/>
    <mergeCell ref="E31:J31"/>
    <mergeCell ref="A32:C32"/>
    <mergeCell ref="A33:D33"/>
    <mergeCell ref="E33:J33"/>
    <mergeCell ref="R36:T36"/>
    <mergeCell ref="R37:U37"/>
    <mergeCell ref="A35:D35"/>
    <mergeCell ref="E35:J35"/>
    <mergeCell ref="R35:U35"/>
    <mergeCell ref="V35:AA35"/>
    <mergeCell ref="A36:C36"/>
    <mergeCell ref="E37:J37"/>
    <mergeCell ref="V37:AA37"/>
    <mergeCell ref="R39:U39"/>
    <mergeCell ref="R40:T40"/>
    <mergeCell ref="A37:D37"/>
    <mergeCell ref="A38:C38"/>
    <mergeCell ref="R38:T38"/>
    <mergeCell ref="A39:D39"/>
    <mergeCell ref="E39:J39"/>
    <mergeCell ref="V39:AA39"/>
    <mergeCell ref="A40:C40"/>
    <mergeCell ref="R42:T42"/>
    <mergeCell ref="R43:U43"/>
    <mergeCell ref="A41:D41"/>
    <mergeCell ref="E41:J41"/>
    <mergeCell ref="R41:U41"/>
    <mergeCell ref="V41:AA41"/>
    <mergeCell ref="A42:C42"/>
    <mergeCell ref="E43:J43"/>
    <mergeCell ref="V43:AA43"/>
    <mergeCell ref="R45:U45"/>
    <mergeCell ref="R46:T46"/>
    <mergeCell ref="A43:D43"/>
    <mergeCell ref="A44:C44"/>
    <mergeCell ref="R44:T44"/>
    <mergeCell ref="A45:D45"/>
    <mergeCell ref="E45:J45"/>
    <mergeCell ref="V45:AA45"/>
    <mergeCell ref="A46:C46"/>
    <mergeCell ref="R48:T48"/>
    <mergeCell ref="R49:U49"/>
    <mergeCell ref="A47:D47"/>
    <mergeCell ref="E47:J47"/>
    <mergeCell ref="R47:U47"/>
    <mergeCell ref="V47:AA47"/>
    <mergeCell ref="A48:C48"/>
    <mergeCell ref="E49:J49"/>
    <mergeCell ref="V49:AA49"/>
    <mergeCell ref="R51:U51"/>
    <mergeCell ref="R52:T52"/>
    <mergeCell ref="A49:D49"/>
    <mergeCell ref="A50:C50"/>
    <mergeCell ref="R50:T50"/>
    <mergeCell ref="A51:D51"/>
    <mergeCell ref="E51:J51"/>
    <mergeCell ref="V51:AA51"/>
    <mergeCell ref="A52:C52"/>
    <mergeCell ref="BX6:BZ6"/>
    <mergeCell ref="CK6:CL6"/>
    <mergeCell ref="CM6:CN6"/>
    <mergeCell ref="CO6:CQ6"/>
    <mergeCell ref="DB6:DC6"/>
    <mergeCell ref="DD6:DE6"/>
    <mergeCell ref="DF6:DH6"/>
    <mergeCell ref="Y6:AA6"/>
    <mergeCell ref="AL6:AM6"/>
    <mergeCell ref="BC6:BD6"/>
    <mergeCell ref="BE6:BF6"/>
    <mergeCell ref="BG6:BI6"/>
    <mergeCell ref="BT6:BU6"/>
    <mergeCell ref="BV6:BW6"/>
    <mergeCell ref="AZ1:BI1"/>
    <mergeCell ref="BD2:BH2"/>
    <mergeCell ref="BA3:BI3"/>
    <mergeCell ref="BR3:BZ3"/>
    <mergeCell ref="CH1:CQ1"/>
    <mergeCell ref="CL2:CP2"/>
    <mergeCell ref="CI3:CQ3"/>
    <mergeCell ref="CZ3:DH3"/>
    <mergeCell ref="A1:J1"/>
    <mergeCell ref="AI1:AR1"/>
    <mergeCell ref="BQ1:BZ1"/>
    <mergeCell ref="CY1:DH1"/>
    <mergeCell ref="E2:I2"/>
    <mergeCell ref="AM2:AQ2"/>
    <mergeCell ref="BU2:BY2"/>
    <mergeCell ref="DC2:DG2"/>
    <mergeCell ref="CK4:CQ4"/>
    <mergeCell ref="CY4:DA4"/>
    <mergeCell ref="DB4:DH4"/>
    <mergeCell ref="AI4:AK4"/>
    <mergeCell ref="AL4:AR4"/>
    <mergeCell ref="AZ4:BB4"/>
    <mergeCell ref="BC4:BI4"/>
    <mergeCell ref="BQ4:BS4"/>
    <mergeCell ref="BT4:BZ4"/>
    <mergeCell ref="CH4:CJ4"/>
    <mergeCell ref="A5:J5"/>
    <mergeCell ref="R5:AA5"/>
    <mergeCell ref="AI5:AR5"/>
    <mergeCell ref="AZ5:BI5"/>
    <mergeCell ref="BQ5:BZ5"/>
    <mergeCell ref="CH5:CQ5"/>
    <mergeCell ref="CY5:DH5"/>
    <mergeCell ref="AZ7:BI7"/>
    <mergeCell ref="BQ7:BZ7"/>
    <mergeCell ref="CH7:CQ7"/>
    <mergeCell ref="CY7:DH7"/>
    <mergeCell ref="R1:AA1"/>
    <mergeCell ref="V2:Z2"/>
    <mergeCell ref="B3:J3"/>
    <mergeCell ref="S3:AA3"/>
    <mergeCell ref="AJ3:AR3"/>
    <mergeCell ref="A4:C4"/>
    <mergeCell ref="D4:J4"/>
    <mergeCell ref="CO8:CQ8"/>
    <mergeCell ref="DA8:DB8"/>
    <mergeCell ref="DD8:DE8"/>
    <mergeCell ref="DF8:DH8"/>
    <mergeCell ref="BE8:BF8"/>
    <mergeCell ref="BG8:BI8"/>
    <mergeCell ref="BS8:BT8"/>
    <mergeCell ref="BV8:BW8"/>
    <mergeCell ref="BX8:BZ8"/>
    <mergeCell ref="CJ8:CK8"/>
    <mergeCell ref="CM8:CN8"/>
    <mergeCell ref="BF9:BI9"/>
    <mergeCell ref="BQ9:BV9"/>
    <mergeCell ref="BW9:BZ9"/>
    <mergeCell ref="CH9:CM9"/>
    <mergeCell ref="CN9:CQ9"/>
    <mergeCell ref="CY9:DD9"/>
    <mergeCell ref="DE9:DH9"/>
    <mergeCell ref="A9:F9"/>
    <mergeCell ref="G9:J9"/>
    <mergeCell ref="R9:W9"/>
    <mergeCell ref="X9:AA9"/>
    <mergeCell ref="AI9:AN9"/>
    <mergeCell ref="AO9:AR9"/>
    <mergeCell ref="AZ9:BE9"/>
    <mergeCell ref="A10:J10"/>
    <mergeCell ref="R10:AA10"/>
    <mergeCell ref="AI10:AR10"/>
    <mergeCell ref="AZ10:BI10"/>
    <mergeCell ref="BQ10:BZ10"/>
    <mergeCell ref="CH10:CQ10"/>
    <mergeCell ref="CY10:DH10"/>
    <mergeCell ref="AN6:AO6"/>
    <mergeCell ref="AP6:AR6"/>
    <mergeCell ref="AI7:AR7"/>
    <mergeCell ref="AK8:AL8"/>
    <mergeCell ref="AN8:AO8"/>
    <mergeCell ref="AP8:AR8"/>
    <mergeCell ref="BB8:BC8"/>
    <mergeCell ref="A19:D19"/>
    <mergeCell ref="E19:J19"/>
    <mergeCell ref="V19:AA19"/>
    <mergeCell ref="A20:C20"/>
    <mergeCell ref="A21:D21"/>
    <mergeCell ref="E21:J21"/>
    <mergeCell ref="A22:C22"/>
    <mergeCell ref="R21:U21"/>
    <mergeCell ref="V21:AA21"/>
    <mergeCell ref="AI22:AK22"/>
    <mergeCell ref="AZ22:BB22"/>
    <mergeCell ref="BQ22:BS22"/>
    <mergeCell ref="AI23:AL23"/>
    <mergeCell ref="BQ23:BT23"/>
    <mergeCell ref="BQ25:BS25"/>
    <mergeCell ref="BQ26:BS26"/>
    <mergeCell ref="BQ27:BT27"/>
    <mergeCell ref="BQ29:BT29"/>
    <mergeCell ref="BQ31:BT31"/>
    <mergeCell ref="AZ27:BC27"/>
    <mergeCell ref="BD27:BI27"/>
    <mergeCell ref="BU27:BZ27"/>
    <mergeCell ref="AZ28:BB28"/>
    <mergeCell ref="BQ28:BS28"/>
    <mergeCell ref="AZ23:BC23"/>
    <mergeCell ref="BD23:BI23"/>
    <mergeCell ref="BU23:BZ23"/>
    <mergeCell ref="AZ24:BI24"/>
    <mergeCell ref="BQ24:BZ24"/>
    <mergeCell ref="AZ25:BB25"/>
    <mergeCell ref="AZ26:BB26"/>
    <mergeCell ref="AI29:AL29"/>
    <mergeCell ref="AM29:AR29"/>
    <mergeCell ref="AZ29:BC29"/>
    <mergeCell ref="BD29:BI29"/>
    <mergeCell ref="BU29:BZ29"/>
    <mergeCell ref="AZ30:BB30"/>
    <mergeCell ref="BQ30:BS30"/>
    <mergeCell ref="AI30:AK30"/>
    <mergeCell ref="AI31:AL31"/>
    <mergeCell ref="AM31:AR31"/>
    <mergeCell ref="AZ31:BC31"/>
    <mergeCell ref="BD31:BI31"/>
    <mergeCell ref="BU31:BZ31"/>
    <mergeCell ref="AZ32:BB32"/>
    <mergeCell ref="BQ32:BS32"/>
    <mergeCell ref="AM23:AR23"/>
    <mergeCell ref="AI24:AR24"/>
    <mergeCell ref="AI25:AK25"/>
    <mergeCell ref="AI26:AK26"/>
    <mergeCell ref="AI27:AL27"/>
    <mergeCell ref="AM27:AR27"/>
    <mergeCell ref="AI28:AK28"/>
    <mergeCell ref="AI32:AK32"/>
    <mergeCell ref="CH44:CJ44"/>
    <mergeCell ref="CH45:CK45"/>
    <mergeCell ref="CL45:CQ45"/>
    <mergeCell ref="CH46:CJ46"/>
    <mergeCell ref="CH47:CK47"/>
    <mergeCell ref="CL47:CQ47"/>
    <mergeCell ref="CH48:CJ48"/>
    <mergeCell ref="CH49:CK49"/>
    <mergeCell ref="CL49:CQ49"/>
    <mergeCell ref="CH50:CJ50"/>
    <mergeCell ref="CH51:CK51"/>
    <mergeCell ref="CL51:CQ51"/>
    <mergeCell ref="CH52:CJ52"/>
    <mergeCell ref="CL53:CQ53"/>
    <mergeCell ref="CH15:CJ15"/>
    <mergeCell ref="CH16:CJ16"/>
    <mergeCell ref="CH17:CK17"/>
    <mergeCell ref="CL17:CQ17"/>
    <mergeCell ref="CH18:CJ18"/>
    <mergeCell ref="CH19:CK19"/>
    <mergeCell ref="CL19:CQ19"/>
    <mergeCell ref="CH20:CJ20"/>
    <mergeCell ref="CH21:CK21"/>
    <mergeCell ref="CL21:CQ21"/>
    <mergeCell ref="CH22:CJ22"/>
    <mergeCell ref="CH23:CK23"/>
    <mergeCell ref="CL23:CQ23"/>
    <mergeCell ref="CH24:CQ24"/>
    <mergeCell ref="CH25:CJ25"/>
    <mergeCell ref="CH26:CJ26"/>
    <mergeCell ref="CH27:CK27"/>
    <mergeCell ref="CL27:CQ27"/>
    <mergeCell ref="CH28:CJ28"/>
    <mergeCell ref="CH29:CK29"/>
    <mergeCell ref="CL29:CQ29"/>
    <mergeCell ref="CH30:CJ30"/>
    <mergeCell ref="CH31:CK31"/>
    <mergeCell ref="CL31:CQ31"/>
    <mergeCell ref="CH32:CJ32"/>
    <mergeCell ref="CH33:CK33"/>
    <mergeCell ref="CL33:CQ33"/>
    <mergeCell ref="CH34:CJ34"/>
    <mergeCell ref="CH35:CK35"/>
    <mergeCell ref="CL35:CQ35"/>
    <mergeCell ref="CH36:CJ36"/>
    <mergeCell ref="CH37:CK37"/>
    <mergeCell ref="CL37:CQ37"/>
    <mergeCell ref="CH38:CJ38"/>
    <mergeCell ref="CL39:CQ39"/>
    <mergeCell ref="CH39:CK39"/>
    <mergeCell ref="CH40:CJ40"/>
    <mergeCell ref="CH41:CK41"/>
    <mergeCell ref="CL41:CQ41"/>
    <mergeCell ref="CH42:CJ42"/>
    <mergeCell ref="CH43:CK43"/>
    <mergeCell ref="CL43:CQ43"/>
    <mergeCell ref="CH53:CK53"/>
    <mergeCell ref="CH54:CJ54"/>
    <mergeCell ref="CH55:CK55"/>
    <mergeCell ref="CL55:CQ55"/>
    <mergeCell ref="CH56:CJ56"/>
    <mergeCell ref="CH57:CK57"/>
    <mergeCell ref="CL57:CQ57"/>
    <mergeCell ref="CY47:DB47"/>
    <mergeCell ref="DC47:DH47"/>
    <mergeCell ref="CY48:DA48"/>
    <mergeCell ref="CY49:DB49"/>
    <mergeCell ref="DC49:DH49"/>
    <mergeCell ref="CY50:DA50"/>
    <mergeCell ref="DC51:DH51"/>
    <mergeCell ref="CY51:DB51"/>
    <mergeCell ref="CY52:DA52"/>
    <mergeCell ref="CY53:DB53"/>
    <mergeCell ref="DC53:DH53"/>
    <mergeCell ref="CY54:DA54"/>
    <mergeCell ref="CY55:DB55"/>
    <mergeCell ref="DC55:DH55"/>
    <mergeCell ref="CY16:DA16"/>
    <mergeCell ref="CY17:DB17"/>
    <mergeCell ref="DC17:DH17"/>
    <mergeCell ref="CY18:DA18"/>
    <mergeCell ref="CY19:DB19"/>
    <mergeCell ref="DC19:DH19"/>
    <mergeCell ref="CY20:DA20"/>
    <mergeCell ref="CY21:DB21"/>
    <mergeCell ref="DC21:DH21"/>
    <mergeCell ref="CY22:DA22"/>
    <mergeCell ref="CY23:DB23"/>
    <mergeCell ref="DC23:DH23"/>
    <mergeCell ref="CY24:DH24"/>
    <mergeCell ref="CY25:DA25"/>
    <mergeCell ref="CY28:DA28"/>
    <mergeCell ref="CY29:DB29"/>
    <mergeCell ref="DC29:DH29"/>
    <mergeCell ref="CY30:DA30"/>
    <mergeCell ref="CY31:DB31"/>
    <mergeCell ref="DC31:DH31"/>
    <mergeCell ref="CY32:DA32"/>
    <mergeCell ref="CY33:DB33"/>
    <mergeCell ref="DC33:DH33"/>
    <mergeCell ref="CY34:DA34"/>
    <mergeCell ref="CY35:DB35"/>
    <mergeCell ref="DC35:DH35"/>
    <mergeCell ref="CY36:DA36"/>
    <mergeCell ref="DC37:DH37"/>
    <mergeCell ref="CY37:DB37"/>
    <mergeCell ref="CY38:DA38"/>
    <mergeCell ref="CY39:DB39"/>
    <mergeCell ref="DC39:DH39"/>
    <mergeCell ref="CY40:DA40"/>
    <mergeCell ref="CY41:DB41"/>
    <mergeCell ref="DC41:DH41"/>
    <mergeCell ref="CY42:DA42"/>
    <mergeCell ref="CY43:DB43"/>
    <mergeCell ref="DC43:DH43"/>
    <mergeCell ref="CY44:DA44"/>
    <mergeCell ref="CY45:DB45"/>
    <mergeCell ref="DC45:DH45"/>
    <mergeCell ref="CY46:DA46"/>
    <mergeCell ref="CY56:DA56"/>
    <mergeCell ref="CY57:DB57"/>
    <mergeCell ref="DC57:DH57"/>
    <mergeCell ref="A76:J76"/>
    <mergeCell ref="A77:J77"/>
    <mergeCell ref="A78:J78"/>
    <mergeCell ref="R72:T72"/>
    <mergeCell ref="R73:U73"/>
    <mergeCell ref="A74:J74"/>
    <mergeCell ref="R74:AA74"/>
    <mergeCell ref="A75:J75"/>
    <mergeCell ref="R75:AA75"/>
    <mergeCell ref="R76:AA76"/>
    <mergeCell ref="D80:J80"/>
    <mergeCell ref="A81:J81"/>
    <mergeCell ref="E82:F82"/>
    <mergeCell ref="G82:J82"/>
    <mergeCell ref="X82:AA82"/>
    <mergeCell ref="R77:AA77"/>
    <mergeCell ref="R78:AA78"/>
    <mergeCell ref="A79:J79"/>
    <mergeCell ref="R79:AA79"/>
    <mergeCell ref="A80:C80"/>
    <mergeCell ref="R80:T80"/>
    <mergeCell ref="U80:AA80"/>
    <mergeCell ref="A83:D83"/>
    <mergeCell ref="A84:B84"/>
    <mergeCell ref="A85:C85"/>
    <mergeCell ref="D85:J85"/>
    <mergeCell ref="R81:AA81"/>
    <mergeCell ref="V82:W82"/>
    <mergeCell ref="E83:F83"/>
    <mergeCell ref="G83:J83"/>
    <mergeCell ref="R83:U83"/>
    <mergeCell ref="V83:W83"/>
    <mergeCell ref="X83:AA83"/>
    <mergeCell ref="U85:AA85"/>
    <mergeCell ref="V86:W86"/>
    <mergeCell ref="V87:W87"/>
    <mergeCell ref="R84:S84"/>
    <mergeCell ref="R85:T85"/>
    <mergeCell ref="E86:F86"/>
    <mergeCell ref="G86:I86"/>
    <mergeCell ref="X86:Z86"/>
    <mergeCell ref="G87:I87"/>
    <mergeCell ref="X87:Z87"/>
    <mergeCell ref="E89:G89"/>
    <mergeCell ref="E90:G90"/>
    <mergeCell ref="R89:T89"/>
    <mergeCell ref="R90:T90"/>
    <mergeCell ref="V90:X90"/>
    <mergeCell ref="Y90:AA90"/>
    <mergeCell ref="R91:AA91"/>
    <mergeCell ref="E87:F87"/>
    <mergeCell ref="A88:B88"/>
    <mergeCell ref="R88:S88"/>
    <mergeCell ref="A89:C89"/>
    <mergeCell ref="H89:J89"/>
    <mergeCell ref="A90:C90"/>
    <mergeCell ref="H90:J90"/>
    <mergeCell ref="A91:J91"/>
    <mergeCell ref="R4:T4"/>
    <mergeCell ref="U4:AA4"/>
    <mergeCell ref="D6:E6"/>
    <mergeCell ref="F6:G6"/>
    <mergeCell ref="H6:J6"/>
    <mergeCell ref="U6:V6"/>
    <mergeCell ref="W6:X6"/>
    <mergeCell ref="A7:J7"/>
    <mergeCell ref="R7:AA7"/>
    <mergeCell ref="C8:D8"/>
    <mergeCell ref="F8:G8"/>
    <mergeCell ref="H8:J8"/>
    <mergeCell ref="T8:U8"/>
    <mergeCell ref="Y8:AA8"/>
    <mergeCell ref="A11:J11"/>
    <mergeCell ref="R11:AA11"/>
    <mergeCell ref="A12:J12"/>
    <mergeCell ref="R12:AA12"/>
    <mergeCell ref="A13:J13"/>
    <mergeCell ref="R13:AA13"/>
    <mergeCell ref="R14:AA14"/>
    <mergeCell ref="A14:J14"/>
    <mergeCell ref="A15:C15"/>
    <mergeCell ref="R15:T15"/>
    <mergeCell ref="A16:C16"/>
    <mergeCell ref="A17:D17"/>
    <mergeCell ref="E17:J17"/>
    <mergeCell ref="A18:C18"/>
    <mergeCell ref="R20:T20"/>
    <mergeCell ref="R22:T22"/>
    <mergeCell ref="E23:J23"/>
    <mergeCell ref="R23:U23"/>
    <mergeCell ref="V23:AA23"/>
    <mergeCell ref="A24:J24"/>
    <mergeCell ref="R24:AA24"/>
    <mergeCell ref="A34:C34"/>
    <mergeCell ref="R34:T34"/>
    <mergeCell ref="V89:X89"/>
    <mergeCell ref="Y89:AA89"/>
    <mergeCell ref="R17:U17"/>
    <mergeCell ref="V17:AA17"/>
    <mergeCell ref="R16:T16"/>
    <mergeCell ref="R18:T18"/>
    <mergeCell ref="R19:U19"/>
    <mergeCell ref="R25:T25"/>
    <mergeCell ref="R26:T26"/>
    <mergeCell ref="R27:U27"/>
    <mergeCell ref="V27:AA27"/>
    <mergeCell ref="R54:T54"/>
    <mergeCell ref="R55:U55"/>
    <mergeCell ref="A53:D53"/>
    <mergeCell ref="E53:J53"/>
    <mergeCell ref="R53:U53"/>
    <mergeCell ref="V53:AA53"/>
    <mergeCell ref="A54:C54"/>
    <mergeCell ref="E55:J55"/>
    <mergeCell ref="V55:AA55"/>
    <mergeCell ref="R57:U57"/>
    <mergeCell ref="R58:T58"/>
    <mergeCell ref="A55:D55"/>
    <mergeCell ref="A56:C56"/>
    <mergeCell ref="R56:T56"/>
    <mergeCell ref="A57:D57"/>
    <mergeCell ref="E57:J57"/>
    <mergeCell ref="V57:AA57"/>
    <mergeCell ref="A58:C58"/>
    <mergeCell ref="R60:T60"/>
    <mergeCell ref="R61:U61"/>
    <mergeCell ref="A59:D59"/>
    <mergeCell ref="E59:J59"/>
    <mergeCell ref="R59:U59"/>
    <mergeCell ref="V59:AA59"/>
    <mergeCell ref="A60:C60"/>
    <mergeCell ref="E61:J61"/>
    <mergeCell ref="V61:AA61"/>
    <mergeCell ref="R63:U63"/>
    <mergeCell ref="R64:T64"/>
    <mergeCell ref="A61:D61"/>
    <mergeCell ref="A62:C62"/>
    <mergeCell ref="R62:T62"/>
    <mergeCell ref="A63:D63"/>
    <mergeCell ref="E63:J63"/>
    <mergeCell ref="V63:AA63"/>
    <mergeCell ref="A64:C64"/>
    <mergeCell ref="A67:C67"/>
    <mergeCell ref="A68:C68"/>
    <mergeCell ref="A69:D69"/>
    <mergeCell ref="E69:J69"/>
    <mergeCell ref="V69:AA69"/>
    <mergeCell ref="A65:D65"/>
    <mergeCell ref="E65:J65"/>
    <mergeCell ref="R65:U65"/>
    <mergeCell ref="V65:AA65"/>
    <mergeCell ref="A66:J66"/>
    <mergeCell ref="R66:AA66"/>
    <mergeCell ref="R67:T67"/>
    <mergeCell ref="A71:D71"/>
    <mergeCell ref="A72:C72"/>
    <mergeCell ref="A73:D73"/>
    <mergeCell ref="E73:J73"/>
    <mergeCell ref="V73:AA73"/>
    <mergeCell ref="R68:T68"/>
    <mergeCell ref="R69:U69"/>
    <mergeCell ref="A70:C70"/>
    <mergeCell ref="R70:T70"/>
    <mergeCell ref="E71:J71"/>
    <mergeCell ref="R71:U71"/>
    <mergeCell ref="V71:AA71"/>
    <mergeCell ref="DC86:DD86"/>
    <mergeCell ref="DC87:DD87"/>
    <mergeCell ref="DE87:DG87"/>
    <mergeCell ref="DC82:DD82"/>
    <mergeCell ref="CY83:DB83"/>
    <mergeCell ref="DC83:DD83"/>
    <mergeCell ref="CY84:CZ84"/>
    <mergeCell ref="CY85:DA85"/>
    <mergeCell ref="DB85:DH85"/>
    <mergeCell ref="DE86:DG86"/>
    <mergeCell ref="CH78:CQ78"/>
    <mergeCell ref="CH79:CQ79"/>
    <mergeCell ref="BQ75:BZ75"/>
    <mergeCell ref="BQ76:BZ76"/>
    <mergeCell ref="CH76:CQ76"/>
    <mergeCell ref="BQ77:BZ77"/>
    <mergeCell ref="CH77:CQ77"/>
    <mergeCell ref="BQ78:BZ78"/>
    <mergeCell ref="BQ79:BZ79"/>
    <mergeCell ref="BU82:BV82"/>
    <mergeCell ref="BW82:BZ82"/>
    <mergeCell ref="CL82:CM82"/>
    <mergeCell ref="CN82:CQ82"/>
    <mergeCell ref="DE82:DH82"/>
    <mergeCell ref="BQ83:BT83"/>
    <mergeCell ref="CN83:CQ83"/>
    <mergeCell ref="DE83:DH83"/>
    <mergeCell ref="BU83:BV83"/>
    <mergeCell ref="BW83:BZ83"/>
    <mergeCell ref="BQ84:BR84"/>
    <mergeCell ref="BQ85:BS85"/>
    <mergeCell ref="BT85:BZ85"/>
    <mergeCell ref="BU86:BV86"/>
    <mergeCell ref="BW86:BY86"/>
    <mergeCell ref="CH83:CK83"/>
    <mergeCell ref="CL83:CM83"/>
    <mergeCell ref="CH84:CI84"/>
    <mergeCell ref="CH85:CJ85"/>
    <mergeCell ref="CK85:CQ85"/>
    <mergeCell ref="CL86:CM86"/>
    <mergeCell ref="CN86:CP86"/>
    <mergeCell ref="CY89:DA89"/>
    <mergeCell ref="DC89:DE89"/>
    <mergeCell ref="DF89:DH89"/>
    <mergeCell ref="AI91:AR91"/>
    <mergeCell ref="AZ91:BI91"/>
    <mergeCell ref="BQ91:BZ91"/>
    <mergeCell ref="CH91:CQ91"/>
    <mergeCell ref="CY91:DH91"/>
    <mergeCell ref="CL87:CM87"/>
    <mergeCell ref="CN87:CP87"/>
    <mergeCell ref="CH88:CI88"/>
    <mergeCell ref="CY88:CZ88"/>
    <mergeCell ref="CH89:CJ89"/>
    <mergeCell ref="CL89:CN89"/>
    <mergeCell ref="CO89:CQ89"/>
  </mergeCells>
  <conditionalFormatting sqref="A7 R7 AI7 AZ7 BQ7 CH7 CY7">
    <cfRule type="expression" dxfId="0" priority="1">
      <formula>G9=10</formula>
    </cfRule>
  </conditionalFormatting>
  <conditionalFormatting sqref="CY4:DH4 CY6:DH90">
    <cfRule type="expression" dxfId="1" priority="2">
      <formula>$DE$9=10</formula>
    </cfRule>
  </conditionalFormatting>
  <conditionalFormatting sqref="CY16:DG23 CY26:DG65 CY68:DG73">
    <cfRule type="expression" dxfId="2" priority="3">
      <formula>ISEVEN($DI16)</formula>
    </cfRule>
  </conditionalFormatting>
  <conditionalFormatting sqref="CY16:DG23 CY26:DG65 CY68:DG73">
    <cfRule type="expression" dxfId="3" priority="4">
      <formula>ISODD($DI16)</formula>
    </cfRule>
  </conditionalFormatting>
  <conditionalFormatting sqref="CH4:CQ4 CH6:CQ90">
    <cfRule type="expression" dxfId="1" priority="5">
      <formula>$CN$9=10</formula>
    </cfRule>
  </conditionalFormatting>
  <conditionalFormatting sqref="CH16:CP23 CH26:CP65 CH68:CP73">
    <cfRule type="expression" dxfId="3" priority="6">
      <formula>ISODD($CR16)</formula>
    </cfRule>
  </conditionalFormatting>
  <conditionalFormatting sqref="CH16:CP23 CH26:CP65 CH68:CP73">
    <cfRule type="expression" dxfId="2" priority="7">
      <formula>ISEVEN($CR16)</formula>
    </cfRule>
  </conditionalFormatting>
  <conditionalFormatting sqref="BQ4:BZ4 BQ6:BZ90">
    <cfRule type="expression" dxfId="1" priority="8">
      <formula>$BW$9=10</formula>
    </cfRule>
  </conditionalFormatting>
  <conditionalFormatting sqref="BQ16:BY23 BQ26:BY65 BQ68:BY73">
    <cfRule type="expression" dxfId="3" priority="9">
      <formula>ISODD($CA16)</formula>
    </cfRule>
  </conditionalFormatting>
  <conditionalFormatting sqref="BQ16:BY23 BQ26:BY65 BQ68:BY73">
    <cfRule type="expression" dxfId="2" priority="10">
      <formula>ISEVEN($CA16)</formula>
    </cfRule>
  </conditionalFormatting>
  <conditionalFormatting sqref="AZ4:BI4 AZ6:BI90">
    <cfRule type="expression" dxfId="1" priority="11">
      <formula>$BF$9=10</formula>
    </cfRule>
  </conditionalFormatting>
  <conditionalFormatting sqref="AZ16:BH23 AZ26:BH65 AZ68:BH73">
    <cfRule type="expression" dxfId="3" priority="12">
      <formula>ISODD($BJ16)</formula>
    </cfRule>
  </conditionalFormatting>
  <conditionalFormatting sqref="AZ16:BH23 AZ26:BH65 AZ68:BH73">
    <cfRule type="expression" dxfId="2" priority="13">
      <formula>ISEVEN($BJ16)</formula>
    </cfRule>
  </conditionalFormatting>
  <conditionalFormatting sqref="AI4:AS4 AI6:AR90 AU80">
    <cfRule type="expression" dxfId="1" priority="14">
      <formula>$AO$9=10</formula>
    </cfRule>
  </conditionalFormatting>
  <conditionalFormatting sqref="AI16:AQ23 AI26:AQ65 AI68:AQ73">
    <cfRule type="expression" dxfId="3" priority="15">
      <formula>ISODD($AS16)</formula>
    </cfRule>
  </conditionalFormatting>
  <conditionalFormatting sqref="AI16:AQ23 AI26:AQ65 AI68:AQ73">
    <cfRule type="expression" dxfId="2" priority="16">
      <formula>ISEVEN($AS16)</formula>
    </cfRule>
  </conditionalFormatting>
  <conditionalFormatting sqref="R4:AA4 R6:AA6 R8:AA90">
    <cfRule type="expression" dxfId="1" priority="17">
      <formula>$X$9=10</formula>
    </cfRule>
  </conditionalFormatting>
  <conditionalFormatting sqref="R16:Z23 R26:Z65 R68:Z73">
    <cfRule type="expression" dxfId="3" priority="18">
      <formula>ISODD($AB16)</formula>
    </cfRule>
  </conditionalFormatting>
  <conditionalFormatting sqref="R16:Z23 R26:Z65 R68:Z73">
    <cfRule type="expression" dxfId="2" priority="19">
      <formula>ISEVEN($AB16)</formula>
    </cfRule>
  </conditionalFormatting>
  <conditionalFormatting sqref="A4:J4 A6:J6 A8:J90">
    <cfRule type="expression" dxfId="1" priority="20">
      <formula>$G$9=10</formula>
    </cfRule>
  </conditionalFormatting>
  <conditionalFormatting sqref="A16:I23 A26:I65 A68:I73">
    <cfRule type="expression" dxfId="3" priority="21">
      <formula>ISODD($K16)</formula>
    </cfRule>
  </conditionalFormatting>
  <conditionalFormatting sqref="A16:I23 A26:I65 A68:I73">
    <cfRule type="expression" dxfId="2" priority="22">
      <formula>ISEVEN($K16)</formula>
    </cfRule>
  </conditionalFormatting>
  <conditionalFormatting sqref="A83:J90">
    <cfRule type="expression" dxfId="4" priority="23">
      <formula>$L$80=0</formula>
    </cfRule>
  </conditionalFormatting>
  <conditionalFormatting sqref="R83:AA90">
    <cfRule type="expression" dxfId="4" priority="24">
      <formula>$AC$80=0</formula>
    </cfRule>
  </conditionalFormatting>
  <conditionalFormatting sqref="AI83:AR90">
    <cfRule type="expression" dxfId="4" priority="25">
      <formula>$AT$80=0</formula>
    </cfRule>
  </conditionalFormatting>
  <conditionalFormatting sqref="AZ83:BI90">
    <cfRule type="expression" dxfId="4" priority="26">
      <formula>$BK$80=0</formula>
    </cfRule>
  </conditionalFormatting>
  <conditionalFormatting sqref="BQ83:BZ90">
    <cfRule type="expression" dxfId="4" priority="27">
      <formula>$CB$80=0</formula>
    </cfRule>
  </conditionalFormatting>
  <conditionalFormatting sqref="CH83:CQ90">
    <cfRule type="expression" dxfId="4" priority="28">
      <formula>$CS$80=0</formula>
    </cfRule>
  </conditionalFormatting>
  <conditionalFormatting sqref="CY83:DH90">
    <cfRule type="expression" dxfId="4" priority="29">
      <formula>$DJ$80=0</formula>
    </cfRule>
  </conditionalFormatting>
  <conditionalFormatting sqref="A86">
    <cfRule type="expression" dxfId="5" priority="30">
      <formula>DQ18&gt;0</formula>
    </cfRule>
  </conditionalFormatting>
  <conditionalFormatting sqref="B86">
    <cfRule type="expression" dxfId="6" priority="31">
      <formula>DP55=1</formula>
    </cfRule>
  </conditionalFormatting>
  <conditionalFormatting sqref="S86:AA86">
    <cfRule type="expression" dxfId="6" priority="32">
      <formula>DP55=1</formula>
    </cfRule>
  </conditionalFormatting>
  <conditionalFormatting sqref="B86">
    <cfRule type="expression" dxfId="5" priority="33">
      <formula>DP56=1</formula>
    </cfRule>
  </conditionalFormatting>
  <conditionalFormatting sqref="C86">
    <cfRule type="expression" dxfId="6" priority="34">
      <formula>DQ55=1</formula>
    </cfRule>
  </conditionalFormatting>
  <conditionalFormatting sqref="D86">
    <cfRule type="expression" dxfId="6" priority="35">
      <formula>DR55=1</formula>
    </cfRule>
  </conditionalFormatting>
  <conditionalFormatting sqref="E86">
    <cfRule type="expression" dxfId="6" priority="36">
      <formula>DS55=1</formula>
    </cfRule>
  </conditionalFormatting>
  <conditionalFormatting sqref="G86">
    <cfRule type="expression" dxfId="6" priority="37">
      <formula>DU55=1</formula>
    </cfRule>
  </conditionalFormatting>
  <conditionalFormatting sqref="J86">
    <cfRule type="expression" dxfId="6" priority="38">
      <formula>DX55=1</formula>
    </cfRule>
  </conditionalFormatting>
  <conditionalFormatting sqref="C86">
    <cfRule type="expression" dxfId="5" priority="39">
      <formula>DQ56=1</formula>
    </cfRule>
  </conditionalFormatting>
  <conditionalFormatting sqref="D86">
    <cfRule type="expression" dxfId="5" priority="40">
      <formula>DR56=1</formula>
    </cfRule>
  </conditionalFormatting>
  <conditionalFormatting sqref="E86">
    <cfRule type="expression" dxfId="5" priority="41">
      <formula>DS56=1</formula>
    </cfRule>
  </conditionalFormatting>
  <conditionalFormatting sqref="G86">
    <cfRule type="expression" dxfId="5" priority="42">
      <formula>DU56=1</formula>
    </cfRule>
  </conditionalFormatting>
  <conditionalFormatting sqref="J86">
    <cfRule type="expression" dxfId="5" priority="43">
      <formula>DX56=1</formula>
    </cfRule>
  </conditionalFormatting>
  <conditionalFormatting sqref="A5:J5 R5 AI5 AZ5 BQ5 CH5 CY5">
    <cfRule type="expression" dxfId="7" priority="44">
      <formula>G9=10</formula>
    </cfRule>
  </conditionalFormatting>
  <conditionalFormatting sqref="R86">
    <cfRule type="expression" dxfId="5" priority="45">
      <formula>DQ18&gt;0</formula>
    </cfRule>
  </conditionalFormatting>
  <conditionalFormatting sqref="AI86">
    <cfRule type="expression" dxfId="5" priority="46">
      <formula>DQ18&gt;0</formula>
    </cfRule>
  </conditionalFormatting>
  <conditionalFormatting sqref="CY86">
    <cfRule type="expression" dxfId="5" priority="47">
      <formula>DQ18&gt;0</formula>
    </cfRule>
  </conditionalFormatting>
  <conditionalFormatting sqref="CH86">
    <cfRule type="expression" dxfId="5" priority="48">
      <formula>DQ18&gt;0</formula>
    </cfRule>
  </conditionalFormatting>
  <conditionalFormatting sqref="BQ86">
    <cfRule type="expression" dxfId="5" priority="49">
      <formula>DQ18&gt;0</formula>
    </cfRule>
  </conditionalFormatting>
  <conditionalFormatting sqref="AZ86">
    <cfRule type="expression" dxfId="5" priority="50">
      <formula>DQ18&gt;0</formula>
    </cfRule>
  </conditionalFormatting>
  <conditionalFormatting sqref="AJ86:AR86">
    <cfRule type="expression" dxfId="6" priority="51">
      <formula>DP55=1</formula>
    </cfRule>
  </conditionalFormatting>
  <conditionalFormatting sqref="BA86:BI86">
    <cfRule type="expression" dxfId="6" priority="52">
      <formula>DP55=1</formula>
    </cfRule>
  </conditionalFormatting>
  <conditionalFormatting sqref="BR86:BZ86">
    <cfRule type="expression" dxfId="6" priority="53">
      <formula>DP55=1</formula>
    </cfRule>
  </conditionalFormatting>
  <conditionalFormatting sqref="CI86:CQ86">
    <cfRule type="expression" dxfId="6" priority="54">
      <formula>DP55=1</formula>
    </cfRule>
  </conditionalFormatting>
  <conditionalFormatting sqref="CZ86:DH86">
    <cfRule type="expression" dxfId="6" priority="55">
      <formula>DP55=1</formula>
    </cfRule>
  </conditionalFormatting>
  <conditionalFormatting sqref="S86:AA86">
    <cfRule type="expression" dxfId="5" priority="56">
      <formula>DP56=1</formula>
    </cfRule>
  </conditionalFormatting>
  <conditionalFormatting sqref="AJ86:AR86">
    <cfRule type="expression" dxfId="5" priority="57">
      <formula>DP56=1</formula>
    </cfRule>
  </conditionalFormatting>
  <conditionalFormatting sqref="BA86:BI86">
    <cfRule type="expression" dxfId="5" priority="58">
      <formula>DP56=1</formula>
    </cfRule>
  </conditionalFormatting>
  <conditionalFormatting sqref="BR86:BZ86">
    <cfRule type="expression" dxfId="5" priority="59">
      <formula>DP56=1</formula>
    </cfRule>
  </conditionalFormatting>
  <conditionalFormatting sqref="CI86:CQ86">
    <cfRule type="expression" dxfId="5" priority="60">
      <formula>DP56=1</formula>
    </cfRule>
  </conditionalFormatting>
  <conditionalFormatting sqref="CZ86:DH86">
    <cfRule type="expression" dxfId="5" priority="61">
      <formula>DP56=1</formula>
    </cfRule>
  </conditionalFormatting>
  <conditionalFormatting sqref="J16 J18 J20 J22 J25:J26 J28 J30 J32 J34 J36 J38 J40 J42 J44 J46 J48 J50 J52 J54 J56 J58 J60 J62 J64 J67:J68 J70 J72">
    <cfRule type="expression" dxfId="6" priority="62">
      <formula>OR(L17="C",L17="E")</formula>
    </cfRule>
  </conditionalFormatting>
  <conditionalFormatting sqref="AA16 AA18 AA20 AA22 AA25:AA26 AA28 AA30 AA32 AA34 AA36 AA38 AA40 AA42 AA44 AA46 AA48 AA50 AA52 AA54 AA56 AA58 AA60 AA62 AA64 AA67:AA68 AA70 AA72">
    <cfRule type="expression" dxfId="6" priority="63">
      <formula>OR(AC17="C",AC17="E")</formula>
    </cfRule>
  </conditionalFormatting>
  <conditionalFormatting sqref="AR16 AR18 AR20 AR22 AR25:AR26 AR28 AR30 AR32 AR34 AR36 AR38 AR40 AR42 AR44 AR46 AR48 AR50 AR52 AR54 AR56 AR58 AR60 AR62 AR64 AR67:AR68 AR70 AR72">
    <cfRule type="expression" dxfId="6" priority="64">
      <formula>OR(AT17="C",AT17="E")</formula>
    </cfRule>
  </conditionalFormatting>
  <conditionalFormatting sqref="BI16 BI18 BI20 BI22 BI25:BI26 BI28 BI30 BI32 BI34 BI36 BI38 BI40 BI42 BI44 BI46 BI48 BI50 BI52 BI54 BI56 BI58 BI60 BI62 BI64 BI67:BI68 BI70 BI72">
    <cfRule type="expression" dxfId="6" priority="65">
      <formula>OR(BK17="C",BK17="E")</formula>
    </cfRule>
  </conditionalFormatting>
  <conditionalFormatting sqref="BZ16 BZ18 BZ20 BZ22 BZ25:BZ26 BZ28 BZ30 BZ32 BZ34 BZ36 BZ38 BZ40 BZ42 BZ44 BZ46 BZ48 BZ50 BZ52 BZ54 BZ56 BZ58 BZ60 BZ62 BZ64 BZ67:BZ68 BZ70 BZ72">
    <cfRule type="expression" dxfId="6" priority="66">
      <formula>OR(CB17="C",CB17="E")</formula>
    </cfRule>
  </conditionalFormatting>
  <conditionalFormatting sqref="CQ16 CQ18 CQ20 CQ22 CQ25:CQ26 CQ28 CQ30 CQ32 CQ34 CQ36 CQ38 CQ40 CQ42 CQ44 CQ46 CQ48 CQ50 CQ52 CQ54 CQ56 CQ58 CQ60 CQ62 CQ64 CQ67:CQ68 CQ70 CQ72">
    <cfRule type="expression" dxfId="6" priority="67">
      <formula>OR(CS17="C",CS17="E")</formula>
    </cfRule>
  </conditionalFormatting>
  <conditionalFormatting sqref="DH16 DH18 DH20 DH22 DH25:DH26 DH28 DH30 DH32 DH34 DH36 DH38 DH40 DH42 DH44 DH46 DH48 DH50 DH52 DH54 DH56 DH58 DH60 DH62 DH64 DH67:DH68 DH70 DH72">
    <cfRule type="expression" dxfId="6" priority="68">
      <formula>OR(DJ17="C",DJ17="E")</formula>
    </cfRule>
  </conditionalFormatting>
  <dataValidations>
    <dataValidation type="list" allowBlank="1" showErrorMessage="1" sqref="D4 U4 AL4 BC4 BT4 CK4 DB4">
      <formula1>"0 - Muito Mal Recuperado,1 - Muito Pouca Recuperação,2 - Pouca Recuperação,3 - Recuperação Moderada,4 - Boa Recuperação,5 - Muito Boa Recuperação,6 - ,7 - Muito, Muito Boa Recuperação,8 - ,9 - ,10 - Totalmente Recuperado"</formula1>
    </dataValidation>
    <dataValidation type="list" allowBlank="1" showErrorMessage="1" sqref="D80 U80 AL80 BC80 BT80 CK80 DB80">
      <formula1>"0 - Repouso,1 - Muito Fácil,2 -,3 - Razoavelmente Fácil,4 - Um Pouco Difícil,5 - Difícil,6 -,7 - Muito Difícil,8 -,9 - Muito, Muito Difícil,10 - Esforço Máximo"</formula1>
    </dataValidation>
  </dataValidations>
  <hyperlinks>
    <hyperlink display="Ver Progresso Completo" location="'Relatório Semanal'!A1" ref="A91"/>
    <hyperlink display="Ver Progresso Completo" location="'Relatório Semanal'!A1" ref="R91"/>
    <hyperlink display="Ver Progresso Completo" location="'Relatório Semanal'!A1" ref="AI91"/>
    <hyperlink display="Ver Progresso Completo" location="'Relatório Semanal'!A1" ref="AZ91"/>
    <hyperlink display="Ver Progresso Completo" location="'Relatório Semanal'!A1" ref="BQ91"/>
    <hyperlink display="Ver Progresso Completo" location="'Relatório Semanal'!A1" ref="CH91"/>
    <hyperlink display="Ver Progresso Completo" location="'Relatório Semanal'!A1" ref="CY91"/>
  </hyperlink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86"/>
    <col customWidth="1" min="3" max="3" width="11.14"/>
    <col customWidth="1" min="4" max="4" width="10.29"/>
    <col customWidth="1" min="5" max="6" width="4.86"/>
    <col customWidth="1" min="7" max="7" width="4.57"/>
    <col customWidth="1" min="8" max="9" width="1.86"/>
    <col customWidth="1" min="10" max="10" width="5.57"/>
    <col customWidth="1" hidden="1" min="11" max="11" width="4.14"/>
    <col customWidth="1" hidden="1" min="12" max="14" width="3.57"/>
    <col customWidth="1" hidden="1" min="15" max="15" width="4.86"/>
    <col customWidth="1" hidden="1" min="16" max="16" width="3.57"/>
    <col customWidth="1" min="17" max="17" width="0.43"/>
    <col customWidth="1" min="18" max="19" width="9.86"/>
    <col customWidth="1" min="20" max="20" width="11.14"/>
    <col customWidth="1" min="21" max="21" width="10.29"/>
    <col customWidth="1" min="22" max="23" width="4.86"/>
    <col customWidth="1" min="24" max="24" width="4.57"/>
    <col customWidth="1" min="25" max="26" width="1.86"/>
    <col customWidth="1" min="27" max="27" width="5.57"/>
    <col customWidth="1" hidden="1" min="28" max="31" width="3.57"/>
    <col customWidth="1" hidden="1" min="32" max="32" width="4.86"/>
    <col customWidth="1" hidden="1" min="33" max="33" width="3.57"/>
    <col customWidth="1" min="34" max="34" width="0.43"/>
    <col customWidth="1" min="35" max="36" width="9.86"/>
    <col customWidth="1" min="37" max="37" width="11.14"/>
    <col customWidth="1" min="38" max="38" width="10.29"/>
    <col customWidth="1" min="39" max="40" width="4.86"/>
    <col customWidth="1" min="41" max="41" width="4.57"/>
    <col customWidth="1" min="42" max="43" width="1.86"/>
    <col customWidth="1" min="44" max="44" width="5.57"/>
    <col customWidth="1" hidden="1" min="45" max="48" width="3.57"/>
    <col customWidth="1" hidden="1" min="49" max="49" width="4.86"/>
    <col customWidth="1" hidden="1" min="50" max="50" width="3.57"/>
    <col customWidth="1" min="51" max="51" width="0.43"/>
    <col customWidth="1" min="52" max="53" width="9.86"/>
    <col customWidth="1" min="54" max="54" width="11.14"/>
    <col customWidth="1" min="55" max="55" width="10.29"/>
    <col customWidth="1" min="56" max="57" width="4.86"/>
    <col customWidth="1" min="58" max="58" width="4.57"/>
    <col customWidth="1" min="59" max="60" width="1.86"/>
    <col customWidth="1" min="61" max="61" width="5.57"/>
    <col customWidth="1" hidden="1" min="62" max="65" width="3.57"/>
    <col customWidth="1" hidden="1" min="66" max="66" width="5.14"/>
    <col customWidth="1" hidden="1" min="67" max="67" width="3.57"/>
    <col customWidth="1" min="68" max="68" width="0.43"/>
    <col customWidth="1" min="69" max="70" width="9.86"/>
    <col customWidth="1" min="71" max="71" width="11.14"/>
    <col customWidth="1" min="72" max="72" width="10.29"/>
    <col customWidth="1" min="73" max="74" width="4.86"/>
    <col customWidth="1" min="75" max="75" width="4.57"/>
    <col customWidth="1" min="76" max="77" width="1.86"/>
    <col customWidth="1" min="78" max="78" width="5.57"/>
    <col customWidth="1" hidden="1" min="79" max="82" width="3.57"/>
    <col customWidth="1" hidden="1" min="83" max="83" width="5.14"/>
    <col customWidth="1" hidden="1" min="84" max="84" width="3.57"/>
    <col customWidth="1" min="85" max="85" width="0.43"/>
    <col customWidth="1" min="86" max="87" width="9.86"/>
    <col customWidth="1" min="88" max="88" width="11.14"/>
    <col customWidth="1" min="89" max="89" width="10.29"/>
    <col customWidth="1" min="90" max="91" width="4.86"/>
    <col customWidth="1" min="92" max="92" width="4.57"/>
    <col customWidth="1" min="93" max="94" width="1.86"/>
    <col customWidth="1" min="95" max="95" width="5.57"/>
    <col customWidth="1" hidden="1" min="96" max="99" width="3.57"/>
    <col customWidth="1" hidden="1" min="100" max="100" width="5.14"/>
    <col customWidth="1" hidden="1" min="101" max="101" width="3.57"/>
    <col customWidth="1" min="102" max="102" width="0.43"/>
    <col customWidth="1" min="103" max="104" width="9.86"/>
    <col customWidth="1" min="105" max="105" width="11.14"/>
    <col customWidth="1" min="106" max="106" width="10.29"/>
    <col customWidth="1" min="107" max="108" width="4.86"/>
    <col customWidth="1" min="109" max="109" width="4.57"/>
    <col customWidth="1" min="110" max="111" width="1.86"/>
    <col customWidth="1" min="112" max="112" width="5.57"/>
    <col customWidth="1" hidden="1" min="113" max="116" width="3.57"/>
    <col customWidth="1" hidden="1" min="117" max="117" width="4.86"/>
    <col customWidth="1" hidden="1" min="118" max="118" width="3.57"/>
    <col customWidth="1" hidden="1" min="119" max="119" width="1.0"/>
    <col customWidth="1" hidden="1" min="120" max="120" width="42.43"/>
    <col customWidth="1" hidden="1" min="121" max="129" width="6.86"/>
  </cols>
  <sheetData>
    <row r="1" ht="7.5" customHeight="1">
      <c r="A1" s="35" t="str">
        <f>'Periodização Macrociclo'!$N$1</f>
        <v>Claudinei Gasparoto</v>
      </c>
      <c r="B1" s="36"/>
      <c r="C1" s="36"/>
      <c r="D1" s="36"/>
      <c r="E1" s="36"/>
      <c r="F1" s="36"/>
      <c r="G1" s="36"/>
      <c r="H1" s="36"/>
      <c r="I1" s="36"/>
      <c r="J1" s="37"/>
      <c r="K1" s="38"/>
      <c r="L1" s="38"/>
      <c r="M1" s="38"/>
      <c r="N1" s="38"/>
      <c r="O1" s="38"/>
      <c r="P1" s="38"/>
      <c r="Q1" s="39"/>
      <c r="R1" s="35" t="str">
        <f>$A1</f>
        <v>Claudinei Gasparoto</v>
      </c>
      <c r="S1" s="36"/>
      <c r="T1" s="36"/>
      <c r="U1" s="36"/>
      <c r="V1" s="36"/>
      <c r="W1" s="36"/>
      <c r="X1" s="36"/>
      <c r="Y1" s="36"/>
      <c r="Z1" s="36"/>
      <c r="AA1" s="37"/>
      <c r="AB1" s="38"/>
      <c r="AC1" s="40"/>
      <c r="AD1" s="40"/>
      <c r="AE1" s="40"/>
      <c r="AF1" s="40"/>
      <c r="AG1" s="40"/>
      <c r="AH1" s="39"/>
      <c r="AI1" s="35" t="str">
        <f>$A1</f>
        <v>Claudinei Gasparoto</v>
      </c>
      <c r="AJ1" s="36"/>
      <c r="AK1" s="36"/>
      <c r="AL1" s="36"/>
      <c r="AM1" s="36"/>
      <c r="AN1" s="36"/>
      <c r="AO1" s="36"/>
      <c r="AP1" s="36"/>
      <c r="AQ1" s="36"/>
      <c r="AR1" s="37"/>
      <c r="AS1" s="38"/>
      <c r="AT1" s="40"/>
      <c r="AU1" s="40"/>
      <c r="AV1" s="40"/>
      <c r="AW1" s="40"/>
      <c r="AX1" s="40"/>
      <c r="AY1" s="39"/>
      <c r="AZ1" s="35" t="str">
        <f>$A1</f>
        <v>Claudinei Gasparoto</v>
      </c>
      <c r="BA1" s="36"/>
      <c r="BB1" s="36"/>
      <c r="BC1" s="36"/>
      <c r="BD1" s="36"/>
      <c r="BE1" s="36"/>
      <c r="BF1" s="36"/>
      <c r="BG1" s="36"/>
      <c r="BH1" s="36"/>
      <c r="BI1" s="37"/>
      <c r="BJ1" s="38"/>
      <c r="BK1" s="40"/>
      <c r="BL1" s="40"/>
      <c r="BM1" s="40"/>
      <c r="BN1" s="40"/>
      <c r="BO1" s="40"/>
      <c r="BP1" s="39"/>
      <c r="BQ1" s="35" t="str">
        <f>$A1</f>
        <v>Claudinei Gasparoto</v>
      </c>
      <c r="BR1" s="36"/>
      <c r="BS1" s="36"/>
      <c r="BT1" s="36"/>
      <c r="BU1" s="36"/>
      <c r="BV1" s="36"/>
      <c r="BW1" s="36"/>
      <c r="BX1" s="36"/>
      <c r="BY1" s="36"/>
      <c r="BZ1" s="37"/>
      <c r="CA1" s="38"/>
      <c r="CB1" s="40"/>
      <c r="CC1" s="40"/>
      <c r="CD1" s="40"/>
      <c r="CE1" s="40"/>
      <c r="CF1" s="40"/>
      <c r="CG1" s="39"/>
      <c r="CH1" s="35" t="str">
        <f>$A1</f>
        <v>Claudinei Gasparoto</v>
      </c>
      <c r="CI1" s="36"/>
      <c r="CJ1" s="36"/>
      <c r="CK1" s="36"/>
      <c r="CL1" s="36"/>
      <c r="CM1" s="36"/>
      <c r="CN1" s="36"/>
      <c r="CO1" s="36"/>
      <c r="CP1" s="36"/>
      <c r="CQ1" s="37"/>
      <c r="CR1" s="38"/>
      <c r="CS1" s="40"/>
      <c r="CT1" s="40"/>
      <c r="CU1" s="40"/>
      <c r="CV1" s="40"/>
      <c r="CW1" s="40"/>
      <c r="CX1" s="39"/>
      <c r="CY1" s="35" t="str">
        <f>$A1</f>
        <v>Claudinei Gasparoto</v>
      </c>
      <c r="CZ1" s="36"/>
      <c r="DA1" s="36"/>
      <c r="DB1" s="36"/>
      <c r="DC1" s="36"/>
      <c r="DD1" s="36"/>
      <c r="DE1" s="36"/>
      <c r="DF1" s="36"/>
      <c r="DG1" s="36"/>
      <c r="DH1" s="37"/>
      <c r="DI1" s="38"/>
      <c r="DJ1" s="40"/>
      <c r="DK1" s="40"/>
      <c r="DL1" s="40"/>
      <c r="DM1" s="40"/>
      <c r="DN1" s="40"/>
      <c r="DO1" s="39"/>
      <c r="DP1" s="40"/>
      <c r="DQ1" s="41"/>
      <c r="DR1" s="41"/>
      <c r="DS1" s="41"/>
      <c r="DT1" s="41"/>
      <c r="DU1" s="41"/>
      <c r="DV1" s="41"/>
      <c r="DW1" s="41"/>
      <c r="DX1" s="41"/>
      <c r="DY1" s="41"/>
    </row>
    <row r="2" ht="7.5" customHeight="1">
      <c r="A2" s="42" t="s">
        <v>5</v>
      </c>
      <c r="B2" s="43">
        <f>Montagem!C152</f>
        <v>8</v>
      </c>
      <c r="C2" s="43" t="s">
        <v>6</v>
      </c>
      <c r="D2" s="44">
        <f>Montagem!F152</f>
        <v>32</v>
      </c>
      <c r="E2" s="45" t="s">
        <v>7</v>
      </c>
      <c r="F2" s="46"/>
      <c r="G2" s="46"/>
      <c r="H2" s="46"/>
      <c r="I2" s="47"/>
      <c r="J2" s="48">
        <f>Montagem!B193</f>
        <v>6</v>
      </c>
      <c r="K2" s="38" t="str">
        <f>IF(L2=0,0,L2-2&amp;" a "&amp;L2)</f>
        <v>0 a 2</v>
      </c>
      <c r="L2" s="38">
        <f>Montagem!O155</f>
        <v>2</v>
      </c>
      <c r="M2" s="38"/>
      <c r="N2" s="38"/>
      <c r="O2" s="38"/>
      <c r="P2" s="38"/>
      <c r="Q2" s="39"/>
      <c r="R2" s="42" t="s">
        <v>5</v>
      </c>
      <c r="S2" s="43">
        <f>B2</f>
        <v>8</v>
      </c>
      <c r="T2" s="43" t="s">
        <v>6</v>
      </c>
      <c r="U2" s="44">
        <f>D2</f>
        <v>32</v>
      </c>
      <c r="V2" s="45" t="s">
        <v>7</v>
      </c>
      <c r="W2" s="46"/>
      <c r="X2" s="46"/>
      <c r="Y2" s="46"/>
      <c r="Z2" s="47"/>
      <c r="AA2" s="48">
        <f>J2</f>
        <v>6</v>
      </c>
      <c r="AB2" s="38"/>
      <c r="AC2" s="49"/>
      <c r="AD2" s="49"/>
      <c r="AE2" s="49"/>
      <c r="AF2" s="49"/>
      <c r="AG2" s="49"/>
      <c r="AH2" s="39"/>
      <c r="AI2" s="42" t="s">
        <v>5</v>
      </c>
      <c r="AJ2" s="43">
        <f>B2</f>
        <v>8</v>
      </c>
      <c r="AK2" s="43" t="s">
        <v>6</v>
      </c>
      <c r="AL2" s="44">
        <f>D2</f>
        <v>32</v>
      </c>
      <c r="AM2" s="45" t="s">
        <v>7</v>
      </c>
      <c r="AN2" s="46"/>
      <c r="AO2" s="46"/>
      <c r="AP2" s="46"/>
      <c r="AQ2" s="47"/>
      <c r="AR2" s="48">
        <f>J2</f>
        <v>6</v>
      </c>
      <c r="AS2" s="38"/>
      <c r="AT2" s="49"/>
      <c r="AU2" s="49"/>
      <c r="AV2" s="49"/>
      <c r="AW2" s="49"/>
      <c r="AX2" s="49"/>
      <c r="AY2" s="39"/>
      <c r="AZ2" s="42" t="s">
        <v>5</v>
      </c>
      <c r="BA2" s="43">
        <f>B2</f>
        <v>8</v>
      </c>
      <c r="BB2" s="43" t="s">
        <v>6</v>
      </c>
      <c r="BC2" s="44">
        <f>D2</f>
        <v>32</v>
      </c>
      <c r="BD2" s="45" t="s">
        <v>7</v>
      </c>
      <c r="BE2" s="46"/>
      <c r="BF2" s="46"/>
      <c r="BG2" s="46"/>
      <c r="BH2" s="47"/>
      <c r="BI2" s="48">
        <f>J2</f>
        <v>6</v>
      </c>
      <c r="BJ2" s="38"/>
      <c r="BK2" s="49"/>
      <c r="BL2" s="49"/>
      <c r="BM2" s="49"/>
      <c r="BN2" s="49"/>
      <c r="BO2" s="49"/>
      <c r="BP2" s="39"/>
      <c r="BQ2" s="42" t="s">
        <v>5</v>
      </c>
      <c r="BR2" s="43">
        <f>B2</f>
        <v>8</v>
      </c>
      <c r="BS2" s="43" t="s">
        <v>6</v>
      </c>
      <c r="BT2" s="44">
        <f>D2</f>
        <v>32</v>
      </c>
      <c r="BU2" s="45" t="s">
        <v>7</v>
      </c>
      <c r="BV2" s="46"/>
      <c r="BW2" s="46"/>
      <c r="BX2" s="46"/>
      <c r="BY2" s="47"/>
      <c r="BZ2" s="48">
        <f>J2</f>
        <v>6</v>
      </c>
      <c r="CA2" s="38"/>
      <c r="CB2" s="49"/>
      <c r="CC2" s="49"/>
      <c r="CD2" s="49"/>
      <c r="CE2" s="49"/>
      <c r="CF2" s="49"/>
      <c r="CG2" s="39"/>
      <c r="CH2" s="42" t="s">
        <v>5</v>
      </c>
      <c r="CI2" s="43">
        <f>B2</f>
        <v>8</v>
      </c>
      <c r="CJ2" s="43" t="s">
        <v>6</v>
      </c>
      <c r="CK2" s="44">
        <f>D2</f>
        <v>32</v>
      </c>
      <c r="CL2" s="45" t="s">
        <v>7</v>
      </c>
      <c r="CM2" s="46"/>
      <c r="CN2" s="46"/>
      <c r="CO2" s="46"/>
      <c r="CP2" s="47"/>
      <c r="CQ2" s="48">
        <f>J2</f>
        <v>6</v>
      </c>
      <c r="CR2" s="38"/>
      <c r="CS2" s="49"/>
      <c r="CT2" s="49"/>
      <c r="CU2" s="49"/>
      <c r="CV2" s="49"/>
      <c r="CW2" s="49"/>
      <c r="CX2" s="39"/>
      <c r="CY2" s="42" t="s">
        <v>5</v>
      </c>
      <c r="CZ2" s="43">
        <f>B2</f>
        <v>8</v>
      </c>
      <c r="DA2" s="43" t="s">
        <v>6</v>
      </c>
      <c r="DB2" s="44">
        <f>D2</f>
        <v>32</v>
      </c>
      <c r="DC2" s="45" t="s">
        <v>7</v>
      </c>
      <c r="DD2" s="46"/>
      <c r="DE2" s="46"/>
      <c r="DF2" s="46"/>
      <c r="DG2" s="47"/>
      <c r="DH2" s="48">
        <f>J2</f>
        <v>6</v>
      </c>
      <c r="DI2" s="38"/>
      <c r="DJ2" s="49"/>
      <c r="DK2" s="49"/>
      <c r="DL2" s="49"/>
      <c r="DM2" s="49"/>
      <c r="DN2" s="49"/>
      <c r="DO2" s="39"/>
      <c r="DP2" s="49" t="s">
        <v>8</v>
      </c>
      <c r="DQ2" s="50">
        <f>IF(L80&gt;0,G9,0)+IF(AC80&gt;0,X9,0)+IF(AT80&gt;0,AO9,0)+IF(BK80&gt;0,BF9,0)+IF(CB80&gt;0,BW9,0)+IF(CS80&gt;0,CN9,0)+IF(DJ80&gt;0,DE9,0)</f>
        <v>0</v>
      </c>
      <c r="DR2" s="51"/>
      <c r="DS2" s="51"/>
      <c r="DT2" s="51"/>
      <c r="DU2" s="51"/>
      <c r="DV2" s="51"/>
      <c r="DW2" s="51"/>
      <c r="DX2" s="51"/>
      <c r="DY2" s="51"/>
    </row>
    <row r="3">
      <c r="A3" s="52">
        <f>Montagem!K158</f>
        <v>46055</v>
      </c>
      <c r="B3" s="53" t="str">
        <f>Montagem!K159</f>
        <v>Segunda-Feira</v>
      </c>
      <c r="C3" s="54"/>
      <c r="D3" s="54"/>
      <c r="E3" s="54"/>
      <c r="F3" s="54"/>
      <c r="G3" s="54"/>
      <c r="H3" s="54"/>
      <c r="I3" s="54"/>
      <c r="J3" s="55"/>
      <c r="K3" s="56">
        <f>DQ17-DQ18</f>
        <v>6</v>
      </c>
      <c r="L3" s="57"/>
      <c r="M3" s="57"/>
      <c r="N3" s="57"/>
      <c r="O3" s="57"/>
      <c r="P3" s="57"/>
      <c r="Q3" s="58"/>
      <c r="R3" s="52">
        <f>Montagem!Z158</f>
        <v>46056</v>
      </c>
      <c r="S3" s="53" t="str">
        <f>Montagem!Z159</f>
        <v>Terça-Feira</v>
      </c>
      <c r="T3" s="54"/>
      <c r="U3" s="54"/>
      <c r="V3" s="54"/>
      <c r="W3" s="54"/>
      <c r="X3" s="54"/>
      <c r="Y3" s="54"/>
      <c r="Z3" s="54"/>
      <c r="AA3" s="55"/>
      <c r="AB3" s="57"/>
      <c r="AC3" s="57"/>
      <c r="AD3" s="57"/>
      <c r="AE3" s="57"/>
      <c r="AF3" s="57"/>
      <c r="AG3" s="57"/>
      <c r="AH3" s="58"/>
      <c r="AI3" s="52">
        <f>Montagem!AO158</f>
        <v>46057</v>
      </c>
      <c r="AJ3" s="53" t="str">
        <f>Montagem!AO159</f>
        <v>Quarta-Feira</v>
      </c>
      <c r="AK3" s="54"/>
      <c r="AL3" s="54"/>
      <c r="AM3" s="54"/>
      <c r="AN3" s="54"/>
      <c r="AO3" s="54"/>
      <c r="AP3" s="54"/>
      <c r="AQ3" s="54"/>
      <c r="AR3" s="55"/>
      <c r="AS3" s="57"/>
      <c r="AT3" s="57"/>
      <c r="AU3" s="57"/>
      <c r="AV3" s="57"/>
      <c r="AW3" s="57"/>
      <c r="AX3" s="57"/>
      <c r="AY3" s="58"/>
      <c r="AZ3" s="52">
        <f>Montagem!BD158</f>
        <v>46058</v>
      </c>
      <c r="BA3" s="53" t="str">
        <f>Montagem!BD159</f>
        <v>Quinta Feira</v>
      </c>
      <c r="BB3" s="54"/>
      <c r="BC3" s="54"/>
      <c r="BD3" s="54"/>
      <c r="BE3" s="54"/>
      <c r="BF3" s="54"/>
      <c r="BG3" s="54"/>
      <c r="BH3" s="54"/>
      <c r="BI3" s="55"/>
      <c r="BJ3" s="57"/>
      <c r="BK3" s="57"/>
      <c r="BL3" s="57"/>
      <c r="BM3" s="57"/>
      <c r="BN3" s="57"/>
      <c r="BO3" s="57"/>
      <c r="BP3" s="58"/>
      <c r="BQ3" s="52">
        <f>Montagem!BS158</f>
        <v>46059</v>
      </c>
      <c r="BR3" s="53" t="str">
        <f>Montagem!BS159</f>
        <v>Sexta-Feira</v>
      </c>
      <c r="BS3" s="54"/>
      <c r="BT3" s="54"/>
      <c r="BU3" s="54"/>
      <c r="BV3" s="54"/>
      <c r="BW3" s="54"/>
      <c r="BX3" s="54"/>
      <c r="BY3" s="54"/>
      <c r="BZ3" s="55"/>
      <c r="CA3" s="57"/>
      <c r="CB3" s="57"/>
      <c r="CC3" s="57"/>
      <c r="CD3" s="57"/>
      <c r="CE3" s="57"/>
      <c r="CF3" s="57"/>
      <c r="CG3" s="58"/>
      <c r="CH3" s="52">
        <f>Montagem!CH158</f>
        <v>46060</v>
      </c>
      <c r="CI3" s="53" t="str">
        <f>Montagem!CH159</f>
        <v>Sábado</v>
      </c>
      <c r="CJ3" s="54"/>
      <c r="CK3" s="54"/>
      <c r="CL3" s="54"/>
      <c r="CM3" s="54"/>
      <c r="CN3" s="54"/>
      <c r="CO3" s="54"/>
      <c r="CP3" s="54"/>
      <c r="CQ3" s="55"/>
      <c r="CR3" s="57"/>
      <c r="CS3" s="57"/>
      <c r="CT3" s="57"/>
      <c r="CU3" s="57"/>
      <c r="CV3" s="57"/>
      <c r="CW3" s="57"/>
      <c r="CX3" s="58"/>
      <c r="CY3" s="52">
        <f>Montagem!CW158</f>
        <v>46061</v>
      </c>
      <c r="CZ3" s="53" t="str">
        <f>Montagem!CW159</f>
        <v>Domingo</v>
      </c>
      <c r="DA3" s="54"/>
      <c r="DB3" s="54"/>
      <c r="DC3" s="54"/>
      <c r="DD3" s="54"/>
      <c r="DE3" s="54"/>
      <c r="DF3" s="54"/>
      <c r="DG3" s="54"/>
      <c r="DH3" s="55"/>
      <c r="DI3" s="57"/>
      <c r="DJ3" s="57"/>
      <c r="DK3" s="57"/>
      <c r="DL3" s="57"/>
      <c r="DM3" s="57"/>
      <c r="DN3" s="57"/>
      <c r="DO3" s="58"/>
      <c r="DP3" s="57" t="s">
        <v>9</v>
      </c>
      <c r="DQ3" s="56">
        <f>IF(L80&gt;0,IF(ISNUMBER(B82),B82,B6),0)+IF(AC80&gt;0,IF(ISNUMBER(S82),S82,S6),0)+IF(AT80&gt;0,IF(ISNUMBER(AJ82),AJ82,AJ6),0)+IF(BK80&gt;0,IF(ISNUMBER(BA82),BA82,BA6),0)+IF(CB80&gt;0,IF(ISNUMBER(BR82),BR82,BR6),0)+IF(CS80&gt;0,IF(ISNUMBER(CI82),CI82,CI6),0)+IF(DJ80&gt;0,IF(ISNUMBER(CZ82),CZ82,CZ6),0)</f>
        <v>0</v>
      </c>
      <c r="DR3" s="56"/>
      <c r="DS3" s="56"/>
      <c r="DT3" s="56"/>
      <c r="DU3" s="56"/>
      <c r="DV3" s="56"/>
      <c r="DW3" s="56"/>
      <c r="DX3" s="56"/>
      <c r="DY3" s="56"/>
    </row>
    <row r="4">
      <c r="A4" s="59" t="s">
        <v>10</v>
      </c>
      <c r="B4" s="60"/>
      <c r="C4" s="61"/>
      <c r="D4" s="62"/>
      <c r="E4" s="60"/>
      <c r="F4" s="60"/>
      <c r="G4" s="60"/>
      <c r="H4" s="60"/>
      <c r="I4" s="60"/>
      <c r="J4" s="63"/>
      <c r="K4" s="64" t="str">
        <f>IF(D4="","",LEFT(D4,2)+0)</f>
        <v/>
      </c>
      <c r="L4" s="57"/>
      <c r="M4" s="57"/>
      <c r="N4" s="57"/>
      <c r="O4" s="57"/>
      <c r="P4" s="57"/>
      <c r="Q4" s="58"/>
      <c r="R4" s="59" t="s">
        <v>10</v>
      </c>
      <c r="S4" s="60"/>
      <c r="T4" s="61"/>
      <c r="U4" s="62"/>
      <c r="V4" s="60"/>
      <c r="W4" s="60"/>
      <c r="X4" s="60"/>
      <c r="Y4" s="60"/>
      <c r="Z4" s="60"/>
      <c r="AA4" s="63"/>
      <c r="AB4" s="64" t="str">
        <f>IF(U4="","",LEFT(U4,2)+0)</f>
        <v/>
      </c>
      <c r="AC4" s="57"/>
      <c r="AD4" s="57"/>
      <c r="AE4" s="57"/>
      <c r="AF4" s="57"/>
      <c r="AG4" s="57"/>
      <c r="AH4" s="58"/>
      <c r="AI4" s="59" t="s">
        <v>10</v>
      </c>
      <c r="AJ4" s="60"/>
      <c r="AK4" s="61"/>
      <c r="AL4" s="62"/>
      <c r="AM4" s="60"/>
      <c r="AN4" s="60"/>
      <c r="AO4" s="60"/>
      <c r="AP4" s="60"/>
      <c r="AQ4" s="60"/>
      <c r="AR4" s="63"/>
      <c r="AS4" s="64" t="str">
        <f>IF(AL4="","",LEFT(AL4,2)+0)</f>
        <v/>
      </c>
      <c r="AT4" s="57"/>
      <c r="AU4" s="57"/>
      <c r="AV4" s="57"/>
      <c r="AW4" s="57"/>
      <c r="AX4" s="57"/>
      <c r="AY4" s="58"/>
      <c r="AZ4" s="59" t="s">
        <v>10</v>
      </c>
      <c r="BA4" s="60"/>
      <c r="BB4" s="61"/>
      <c r="BC4" s="62"/>
      <c r="BD4" s="60"/>
      <c r="BE4" s="60"/>
      <c r="BF4" s="60"/>
      <c r="BG4" s="60"/>
      <c r="BH4" s="60"/>
      <c r="BI4" s="63"/>
      <c r="BJ4" s="64" t="str">
        <f>IF(BC4="","",LEFT(BC4,2)+0)</f>
        <v/>
      </c>
      <c r="BK4" s="57"/>
      <c r="BL4" s="57"/>
      <c r="BM4" s="57"/>
      <c r="BN4" s="57"/>
      <c r="BO4" s="57"/>
      <c r="BP4" s="58"/>
      <c r="BQ4" s="59" t="s">
        <v>10</v>
      </c>
      <c r="BR4" s="60"/>
      <c r="BS4" s="61"/>
      <c r="BT4" s="62"/>
      <c r="BU4" s="60"/>
      <c r="BV4" s="60"/>
      <c r="BW4" s="60"/>
      <c r="BX4" s="60"/>
      <c r="BY4" s="60"/>
      <c r="BZ4" s="63"/>
      <c r="CA4" s="64" t="str">
        <f>IF(BT4="","",LEFT(BT4,2)+0)</f>
        <v/>
      </c>
      <c r="CB4" s="57"/>
      <c r="CC4" s="57"/>
      <c r="CD4" s="57"/>
      <c r="CE4" s="57"/>
      <c r="CF4" s="57"/>
      <c r="CG4" s="58"/>
      <c r="CH4" s="59" t="s">
        <v>10</v>
      </c>
      <c r="CI4" s="60"/>
      <c r="CJ4" s="61"/>
      <c r="CK4" s="62"/>
      <c r="CL4" s="60"/>
      <c r="CM4" s="60"/>
      <c r="CN4" s="60"/>
      <c r="CO4" s="60"/>
      <c r="CP4" s="60"/>
      <c r="CQ4" s="63"/>
      <c r="CR4" s="64" t="str">
        <f>IF(CK4="","",LEFT(CK4,2)+0)</f>
        <v/>
      </c>
      <c r="CS4" s="57"/>
      <c r="CT4" s="57"/>
      <c r="CU4" s="57"/>
      <c r="CV4" s="57"/>
      <c r="CW4" s="57"/>
      <c r="CX4" s="58"/>
      <c r="CY4" s="59" t="s">
        <v>10</v>
      </c>
      <c r="CZ4" s="60"/>
      <c r="DA4" s="61"/>
      <c r="DB4" s="62"/>
      <c r="DC4" s="60"/>
      <c r="DD4" s="60"/>
      <c r="DE4" s="60"/>
      <c r="DF4" s="60"/>
      <c r="DG4" s="60"/>
      <c r="DH4" s="63"/>
      <c r="DI4" s="64" t="str">
        <f>IF(DB4="","",LEFT(DB4,2)+0)</f>
        <v/>
      </c>
      <c r="DJ4" s="57"/>
      <c r="DK4" s="57"/>
      <c r="DL4" s="57"/>
      <c r="DM4" s="57"/>
      <c r="DN4" s="57"/>
      <c r="DO4" s="58"/>
      <c r="DP4" s="57" t="s">
        <v>12</v>
      </c>
      <c r="DQ4" s="56">
        <f>IF(L80&gt;0,D82,0)+IF(AC80&gt;0,U82,0)+IF(AT80&gt;0,AL82,0)+IF(BK80&gt;0,BC82,0)+IF(CB80&gt;0,BT82,0)+IF(CS80&gt;0,CK82,0)+IF(DJ80&gt;0,DB82,0)</f>
        <v>0</v>
      </c>
      <c r="DR4" s="56"/>
      <c r="DS4" s="56"/>
      <c r="DT4" s="56"/>
      <c r="DU4" s="56"/>
      <c r="DV4" s="56"/>
      <c r="DW4" s="56"/>
      <c r="DX4" s="56"/>
      <c r="DY4" s="56"/>
    </row>
    <row r="5">
      <c r="A5" s="65" t="str">
        <f>IF(G9=10,"Tenha um bom descanso!😉💤","TREINAMENTO CÍCLICO")</f>
        <v>TREINAMENTO CÍCLICO</v>
      </c>
      <c r="J5" s="66"/>
      <c r="K5" s="57"/>
      <c r="L5" s="57"/>
      <c r="M5" s="57"/>
      <c r="N5" s="57"/>
      <c r="O5" s="57"/>
      <c r="P5" s="57"/>
      <c r="Q5" s="58"/>
      <c r="R5" s="65" t="str">
        <f>IF(X9=10,"Tenha um bom descanso!😉💤","TREINAMENTO CÍCLICO")</f>
        <v>TREINAMENTO CÍCLICO</v>
      </c>
      <c r="AA5" s="66"/>
      <c r="AB5" s="57"/>
      <c r="AC5" s="57"/>
      <c r="AD5" s="57"/>
      <c r="AE5" s="57"/>
      <c r="AF5" s="57"/>
      <c r="AG5" s="57"/>
      <c r="AH5" s="58"/>
      <c r="AI5" s="65" t="str">
        <f>IF(AO9=10,"Tenha um bom descanso!😉💤","TREINAMENTO CÍCLICO")</f>
        <v>TREINAMENTO CÍCLICO</v>
      </c>
      <c r="AR5" s="66"/>
      <c r="AS5" s="57"/>
      <c r="AT5" s="57"/>
      <c r="AU5" s="57"/>
      <c r="AV5" s="57"/>
      <c r="AW5" s="57"/>
      <c r="AX5" s="57"/>
      <c r="AY5" s="58"/>
      <c r="AZ5" s="65" t="str">
        <f>IF(BF9=10,"Tenha um bom descanso!😉💤","TREINAMENTO CÍCLICO")</f>
        <v>TREINAMENTO CÍCLICO</v>
      </c>
      <c r="BI5" s="66"/>
      <c r="BJ5" s="57"/>
      <c r="BK5" s="57"/>
      <c r="BL5" s="57"/>
      <c r="BM5" s="57"/>
      <c r="BN5" s="57"/>
      <c r="BO5" s="57"/>
      <c r="BP5" s="58"/>
      <c r="BQ5" s="65" t="str">
        <f>IF(BW9=10,"Tenha um bom descanso!😉💤","TREINAMENTO CÍCLICO")</f>
        <v>TREINAMENTO CÍCLICO</v>
      </c>
      <c r="BZ5" s="66"/>
      <c r="CA5" s="57"/>
      <c r="CB5" s="57"/>
      <c r="CC5" s="57"/>
      <c r="CD5" s="57"/>
      <c r="CE5" s="57"/>
      <c r="CF5" s="57"/>
      <c r="CG5" s="58"/>
      <c r="CH5" s="65" t="str">
        <f>IF(CN9=10,"Tenha um bom descanso!😉💤","TREINAMENTO CÍCLICO")</f>
        <v>TREINAMENTO CÍCLICO</v>
      </c>
      <c r="CQ5" s="66"/>
      <c r="CR5" s="57"/>
      <c r="CS5" s="57"/>
      <c r="CT5" s="57"/>
      <c r="CU5" s="57"/>
      <c r="CV5" s="57"/>
      <c r="CW5" s="57"/>
      <c r="CX5" s="58"/>
      <c r="CY5" s="65" t="str">
        <f>IF(DE9=10,"Tenha um bom descanso!😉💤","TREINAMENTO CÍCLICO")</f>
        <v>Tenha um bom descanso!😉💤</v>
      </c>
      <c r="DH5" s="66"/>
      <c r="DI5" s="57"/>
      <c r="DJ5" s="57"/>
      <c r="DK5" s="57"/>
      <c r="DL5" s="57"/>
      <c r="DM5" s="57"/>
      <c r="DN5" s="57"/>
      <c r="DO5" s="58"/>
      <c r="DP5" s="57" t="s">
        <v>13</v>
      </c>
      <c r="DQ5" s="56">
        <f>IF(L80&gt;0,B8,0)+IF(AC80&gt;0,S8,0)+IF(AT80&gt;0,AJ8,0)+IF(BK80&gt;0,BA8,0)+IF(CB80&gt;0,BR8,0)+IF(CS80&gt;0,CI8,0)+IF(DJ80&gt;0,CZ8,0)</f>
        <v>0</v>
      </c>
      <c r="DR5" s="56"/>
      <c r="DS5" s="56"/>
      <c r="DT5" s="56"/>
      <c r="DU5" s="56"/>
      <c r="DV5" s="56"/>
      <c r="DW5" s="56"/>
      <c r="DX5" s="56"/>
      <c r="DY5" s="56"/>
    </row>
    <row r="6">
      <c r="A6" s="67" t="s">
        <v>14</v>
      </c>
      <c r="B6" s="68">
        <f>Montagem!C165</f>
        <v>15</v>
      </c>
      <c r="C6" s="69" t="s">
        <v>15</v>
      </c>
      <c r="D6" s="70" t="str">
        <f>Montagem!C167</f>
        <v>IEXT</v>
      </c>
      <c r="E6" s="61"/>
      <c r="F6" s="71" t="s">
        <v>16</v>
      </c>
      <c r="G6" s="61"/>
      <c r="H6" s="72">
        <f>0.0175*IF(ISNUMBER(B82),B82,B6)*'Dados de Base'!$D$5*('Dados de Base'!$D$7*IF(ISNUMBER(G82),(G82-'Dados de Base'!$F$6)/('Dados de Base'!$E$20-'Dados de Base'!$F$6),Montagem!C177))</f>
        <v>237.313125</v>
      </c>
      <c r="I6" s="60"/>
      <c r="J6" s="63"/>
      <c r="K6" s="57"/>
      <c r="L6" s="57"/>
      <c r="M6" s="57"/>
      <c r="N6" s="57"/>
      <c r="O6" s="57"/>
      <c r="P6" s="57"/>
      <c r="Q6" s="58"/>
      <c r="R6" s="67" t="s">
        <v>14</v>
      </c>
      <c r="S6" s="68">
        <f>Montagem!D165</f>
        <v>15</v>
      </c>
      <c r="T6" s="69" t="s">
        <v>15</v>
      </c>
      <c r="U6" s="70" t="str">
        <f>Montagem!D167</f>
        <v>IEXT</v>
      </c>
      <c r="V6" s="61"/>
      <c r="W6" s="71" t="s">
        <v>16</v>
      </c>
      <c r="X6" s="61"/>
      <c r="Y6" s="72">
        <f>0.0175*IF(ISNUMBER(S82),S82,S6)*'Dados de Base'!$D$5*('Dados de Base'!$D$7*IF(ISNUMBER(X82),(X82-'Dados de Base'!$F$6)/('Dados de Base'!$E$20-'Dados de Base'!$F$6),Montagem!D177))</f>
        <v>0</v>
      </c>
      <c r="Z6" s="60"/>
      <c r="AA6" s="63"/>
      <c r="AB6" s="57"/>
      <c r="AC6" s="57"/>
      <c r="AD6" s="57"/>
      <c r="AE6" s="57"/>
      <c r="AF6" s="57"/>
      <c r="AG6" s="57"/>
      <c r="AH6" s="58"/>
      <c r="AI6" s="67" t="s">
        <v>14</v>
      </c>
      <c r="AJ6" s="68" t="str">
        <f>Montagem!E165</f>
        <v/>
      </c>
      <c r="AK6" s="69" t="s">
        <v>15</v>
      </c>
      <c r="AL6" s="70" t="str">
        <f>Montagem!E167</f>
        <v/>
      </c>
      <c r="AM6" s="61"/>
      <c r="AN6" s="71" t="s">
        <v>16</v>
      </c>
      <c r="AO6" s="61"/>
      <c r="AP6" s="72">
        <f>0.0175*IF(ISNUMBER(AJ82),AJ82,AJ6)*'Dados de Base'!$D$5*('Dados de Base'!$D$7*IF(ISNUMBER(AO82),(AO82-'Dados de Base'!$F$6)/('Dados de Base'!$E$20-'Dados de Base'!$F$6),Montagem!E177))</f>
        <v>0</v>
      </c>
      <c r="AQ6" s="60"/>
      <c r="AR6" s="63"/>
      <c r="AS6" s="57"/>
      <c r="AT6" s="57"/>
      <c r="AU6" s="57"/>
      <c r="AV6" s="57"/>
      <c r="AW6" s="57"/>
      <c r="AX6" s="57"/>
      <c r="AY6" s="58"/>
      <c r="AZ6" s="67" t="s">
        <v>14</v>
      </c>
      <c r="BA6" s="68">
        <f>Montagem!F165</f>
        <v>40</v>
      </c>
      <c r="BB6" s="69" t="s">
        <v>15</v>
      </c>
      <c r="BC6" s="70" t="str">
        <f>Montagem!F167</f>
        <v>CEXT</v>
      </c>
      <c r="BD6" s="61"/>
      <c r="BE6" s="71" t="s">
        <v>16</v>
      </c>
      <c r="BF6" s="61"/>
      <c r="BG6" s="72">
        <f>0.0175*IF(ISNUMBER(BA82),BA82,BA6)*'Dados de Base'!$D$5*('Dados de Base'!$D$7*IF(ISNUMBER(BF82),(BF82-'Dados de Base'!$F$6)/('Dados de Base'!$E$20-'Dados de Base'!$F$6),Montagem!F177))</f>
        <v>397.782</v>
      </c>
      <c r="BH6" s="60"/>
      <c r="BI6" s="63"/>
      <c r="BJ6" s="57"/>
      <c r="BK6" s="57"/>
      <c r="BL6" s="57"/>
      <c r="BM6" s="57"/>
      <c r="BN6" s="57"/>
      <c r="BO6" s="57"/>
      <c r="BP6" s="58"/>
      <c r="BQ6" s="67" t="s">
        <v>14</v>
      </c>
      <c r="BR6" s="68">
        <f>Montagem!G165</f>
        <v>10</v>
      </c>
      <c r="BS6" s="69" t="s">
        <v>15</v>
      </c>
      <c r="BT6" s="70" t="str">
        <f>Montagem!G167</f>
        <v>IEXT</v>
      </c>
      <c r="BU6" s="61"/>
      <c r="BV6" s="71" t="s">
        <v>16</v>
      </c>
      <c r="BW6" s="61"/>
      <c r="BX6" s="72">
        <f>0.0175*IF(ISNUMBER(BR82),BR82,BR6)*'Dados de Base'!$D$5*('Dados de Base'!$D$7*IF(ISNUMBER(BW82),(BW82-'Dados de Base'!$F$6)/('Dados de Base'!$E$20-'Dados de Base'!$F$6),Montagem!G177))</f>
        <v>0</v>
      </c>
      <c r="BY6" s="60"/>
      <c r="BZ6" s="63"/>
      <c r="CA6" s="57"/>
      <c r="CB6" s="57"/>
      <c r="CC6" s="57"/>
      <c r="CD6" s="57"/>
      <c r="CE6" s="57"/>
      <c r="CF6" s="57"/>
      <c r="CG6" s="58"/>
      <c r="CH6" s="67" t="s">
        <v>14</v>
      </c>
      <c r="CI6" s="68" t="str">
        <f>Montagem!H165</f>
        <v/>
      </c>
      <c r="CJ6" s="69" t="s">
        <v>15</v>
      </c>
      <c r="CK6" s="70" t="str">
        <f>Montagem!H167</f>
        <v/>
      </c>
      <c r="CL6" s="61"/>
      <c r="CM6" s="71" t="s">
        <v>16</v>
      </c>
      <c r="CN6" s="61"/>
      <c r="CO6" s="72">
        <f>0.0175*IF(ISNUMBER(CI82),CI82,CI6)*'Dados de Base'!$D$5*('Dados de Base'!$D$7*IF(ISNUMBER(CN82),(CN82-'Dados de Base'!$F$6)/('Dados de Base'!$E$20-'Dados de Base'!$F$6),Montagem!H177))</f>
        <v>0</v>
      </c>
      <c r="CP6" s="60"/>
      <c r="CQ6" s="63"/>
      <c r="CR6" s="57"/>
      <c r="CS6" s="57"/>
      <c r="CT6" s="57"/>
      <c r="CU6" s="57"/>
      <c r="CV6" s="57"/>
      <c r="CW6" s="57"/>
      <c r="CX6" s="58"/>
      <c r="CY6" s="67" t="s">
        <v>14</v>
      </c>
      <c r="CZ6" s="68" t="str">
        <f>Montagem!I165</f>
        <v/>
      </c>
      <c r="DA6" s="69" t="s">
        <v>15</v>
      </c>
      <c r="DB6" s="70" t="str">
        <f>Montagem!I167</f>
        <v/>
      </c>
      <c r="DC6" s="61"/>
      <c r="DD6" s="71" t="s">
        <v>16</v>
      </c>
      <c r="DE6" s="61"/>
      <c r="DF6" s="72">
        <f>0.0175*IF(ISNUMBER(CZ82),CZ82,CZ6)*'Dados de Base'!$D$5*('Dados de Base'!$D$7*IF(ISNUMBER(DE82),(DE82-'Dados de Base'!$F$6)/('Dados de Base'!$E$20-'Dados de Base'!$F$6),Montagem!I177))</f>
        <v>0</v>
      </c>
      <c r="DG6" s="60"/>
      <c r="DH6" s="63"/>
      <c r="DI6" s="57"/>
      <c r="DJ6" s="57"/>
      <c r="DK6" s="57"/>
      <c r="DL6" s="57"/>
      <c r="DM6" s="57"/>
      <c r="DN6" s="57"/>
      <c r="DO6" s="58"/>
      <c r="DP6" s="73" t="s">
        <v>17</v>
      </c>
      <c r="DQ6" s="74">
        <f>IF(L80&gt;0,E8,0)+IF(AC80&gt;0,V8,0)+IF(AT80&gt;0,AM8,0)+IF(BK80&gt;0,BD8,0)+IF(CB80&gt;0,BU8,0)+IF(CS80&gt;0,CL8,0)+IF(DJ80&gt;0,DC8,0)</f>
        <v>0</v>
      </c>
      <c r="DR6" s="74"/>
      <c r="DS6" s="74"/>
      <c r="DT6" s="74"/>
      <c r="DU6" s="74"/>
      <c r="DV6" s="74"/>
      <c r="DW6" s="74"/>
      <c r="DX6" s="74"/>
      <c r="DY6" s="74"/>
    </row>
    <row r="7">
      <c r="A7" s="75" t="str">
        <f>IF(G9=10,"Se você tem treino programado nesta data, entre em contato com a equipe para atualizarmos a sessão!","TREINAMENTO RESISTIDO")</f>
        <v>TREINAMENTO RESISTIDO</v>
      </c>
      <c r="B7" s="60"/>
      <c r="C7" s="60"/>
      <c r="D7" s="60"/>
      <c r="E7" s="60"/>
      <c r="F7" s="60"/>
      <c r="G7" s="60"/>
      <c r="H7" s="60"/>
      <c r="I7" s="60"/>
      <c r="J7" s="63"/>
      <c r="K7" s="76"/>
      <c r="L7" s="76"/>
      <c r="M7" s="76"/>
      <c r="N7" s="76"/>
      <c r="O7" s="76"/>
      <c r="P7" s="76"/>
      <c r="Q7" s="77"/>
      <c r="R7" s="75" t="str">
        <f>IF(X9=10,"Se você tem treino programado nesta data, entre em contato com a equipe para atualizarmos a sessão!","TREINAMENTO RESISTIDO")</f>
        <v>TREINAMENTO RESISTIDO</v>
      </c>
      <c r="S7" s="60"/>
      <c r="T7" s="60"/>
      <c r="U7" s="60"/>
      <c r="V7" s="60"/>
      <c r="W7" s="60"/>
      <c r="X7" s="60"/>
      <c r="Y7" s="60"/>
      <c r="Z7" s="60"/>
      <c r="AA7" s="63"/>
      <c r="AB7" s="76"/>
      <c r="AC7" s="76"/>
      <c r="AD7" s="76"/>
      <c r="AE7" s="76"/>
      <c r="AF7" s="76"/>
      <c r="AG7" s="76"/>
      <c r="AH7" s="77"/>
      <c r="AI7" s="75" t="str">
        <f>IF(AO9=10,"Se você tem treino programado nesta data, entre em contato com a equipe para atualizarmos a sessão!","TREINAMENTO RESISTIDO")</f>
        <v>TREINAMENTO RESISTIDO</v>
      </c>
      <c r="AJ7" s="60"/>
      <c r="AK7" s="60"/>
      <c r="AL7" s="60"/>
      <c r="AM7" s="60"/>
      <c r="AN7" s="60"/>
      <c r="AO7" s="60"/>
      <c r="AP7" s="60"/>
      <c r="AQ7" s="60"/>
      <c r="AR7" s="63"/>
      <c r="AS7" s="76"/>
      <c r="AT7" s="76"/>
      <c r="AU7" s="76"/>
      <c r="AV7" s="76"/>
      <c r="AW7" s="76"/>
      <c r="AX7" s="76"/>
      <c r="AY7" s="77"/>
      <c r="AZ7" s="75" t="str">
        <f>IF(BF9=10,"Se você tem treino programado nesta data, entre em contato com a equipe para atualizarmos a sessão!","TREINAMENTO RESISTIDO")</f>
        <v>TREINAMENTO RESISTIDO</v>
      </c>
      <c r="BA7" s="60"/>
      <c r="BB7" s="60"/>
      <c r="BC7" s="60"/>
      <c r="BD7" s="60"/>
      <c r="BE7" s="60"/>
      <c r="BF7" s="60"/>
      <c r="BG7" s="60"/>
      <c r="BH7" s="60"/>
      <c r="BI7" s="63"/>
      <c r="BJ7" s="76"/>
      <c r="BK7" s="76"/>
      <c r="BL7" s="76"/>
      <c r="BM7" s="76"/>
      <c r="BN7" s="76"/>
      <c r="BO7" s="76"/>
      <c r="BP7" s="77"/>
      <c r="BQ7" s="75" t="str">
        <f>IF(BW9=10,"Se você tem treino programado nesta data, entre em contato com a equipe para atualizarmos a sessão!","TREINAMENTO RESISTIDO")</f>
        <v>TREINAMENTO RESISTIDO</v>
      </c>
      <c r="BR7" s="60"/>
      <c r="BS7" s="60"/>
      <c r="BT7" s="60"/>
      <c r="BU7" s="60"/>
      <c r="BV7" s="60"/>
      <c r="BW7" s="60"/>
      <c r="BX7" s="60"/>
      <c r="BY7" s="60"/>
      <c r="BZ7" s="63"/>
      <c r="CA7" s="76"/>
      <c r="CB7" s="76"/>
      <c r="CC7" s="76"/>
      <c r="CD7" s="76"/>
      <c r="CE7" s="76"/>
      <c r="CF7" s="76"/>
      <c r="CG7" s="77"/>
      <c r="CH7" s="75" t="str">
        <f>IF(CN9=10,"Se você tem treino programado nesta data, entre em contato com a equipe para atualizarmos a sessão!","TREINAMENTO RESISTIDO")</f>
        <v>TREINAMENTO RESISTIDO</v>
      </c>
      <c r="CI7" s="60"/>
      <c r="CJ7" s="60"/>
      <c r="CK7" s="60"/>
      <c r="CL7" s="60"/>
      <c r="CM7" s="60"/>
      <c r="CN7" s="60"/>
      <c r="CO7" s="60"/>
      <c r="CP7" s="60"/>
      <c r="CQ7" s="63"/>
      <c r="CR7" s="76"/>
      <c r="CS7" s="76"/>
      <c r="CT7" s="76"/>
      <c r="CU7" s="76"/>
      <c r="CV7" s="76"/>
      <c r="CW7" s="76"/>
      <c r="CX7" s="77"/>
      <c r="CY7" s="75" t="str">
        <f>IF(DE9=10,"Se você tem treino programado nesta data, entre em contato com a equipe para atualizarmos a sessão!","TREINAMENTO RESISTIDO")</f>
        <v>Se você tem treino programado nesta data, entre em contato com a equipe para atualizarmos a sessão!</v>
      </c>
      <c r="CZ7" s="60"/>
      <c r="DA7" s="60"/>
      <c r="DB7" s="60"/>
      <c r="DC7" s="60"/>
      <c r="DD7" s="60"/>
      <c r="DE7" s="60"/>
      <c r="DF7" s="60"/>
      <c r="DG7" s="60"/>
      <c r="DH7" s="63"/>
      <c r="DI7" s="76"/>
      <c r="DJ7" s="76"/>
      <c r="DK7" s="76"/>
      <c r="DL7" s="76"/>
      <c r="DM7" s="76"/>
      <c r="DN7" s="76"/>
      <c r="DO7" s="77"/>
      <c r="DP7" s="78" t="s">
        <v>18</v>
      </c>
      <c r="DQ7" s="79">
        <f>E83+V83+AM83+BD83+BU83+CL83+DC83</f>
        <v>0</v>
      </c>
      <c r="DR7" s="80"/>
      <c r="DS7" s="80"/>
      <c r="DT7" s="80"/>
      <c r="DU7" s="80"/>
      <c r="DV7" s="80"/>
      <c r="DW7" s="80"/>
      <c r="DX7" s="80"/>
      <c r="DY7" s="80"/>
    </row>
    <row r="8">
      <c r="A8" s="67" t="s">
        <v>19</v>
      </c>
      <c r="B8" s="81">
        <f>SUM(E16,E18,E20,E22,E26,E28,E30,E32,E34,E36,E38,E40,E42,E44,E46,E48,E50,E52,E54,E56,E58,E60,E62,E64,E68,E70,E72)</f>
        <v>36</v>
      </c>
      <c r="C8" s="71" t="s">
        <v>20</v>
      </c>
      <c r="D8" s="61"/>
      <c r="E8" s="82">
        <f>SUM(E16*F16,E18*F18,E20*F20,E22*F22,E26*F26,E28*F28,E30*F30,E32*F32,E34*F34,E36*F36,E38*F38,E40*F40,E42*F42,E44*F44,E46*F46,E48*F48,E50*F50,E52*F52,E54*F54,E56*F56,E58*F58,E60*F60,E62*F62,E64*F64,E68*F68,E70*F70,E72*F72)</f>
        <v>342</v>
      </c>
      <c r="F8" s="83" t="s">
        <v>16</v>
      </c>
      <c r="G8" s="61"/>
      <c r="H8" s="72">
        <f>0.0175*'Dados de Base'!$D$5*D89*5</f>
        <v>88.75125</v>
      </c>
      <c r="I8" s="60"/>
      <c r="J8" s="63"/>
      <c r="K8" s="57"/>
      <c r="L8" s="57"/>
      <c r="M8" s="57"/>
      <c r="N8" s="57"/>
      <c r="O8" s="57"/>
      <c r="P8" s="57"/>
      <c r="Q8" s="58"/>
      <c r="R8" s="67" t="s">
        <v>19</v>
      </c>
      <c r="S8" s="81">
        <f>SUM(V16,V18,V20,V22,V26,V28,V30,V32,V34,V36,V38,V40,V42,V44,V46,V48,V50,V52,V54,V56,V58,V60,V62,V64,V68,V70,V72)</f>
        <v>36</v>
      </c>
      <c r="T8" s="71" t="s">
        <v>20</v>
      </c>
      <c r="U8" s="61"/>
      <c r="V8" s="82">
        <f>SUM(V16*W16,V18*W18,V20*W20,V22*W22,V26*W26,V28*W28,V30*W30,V32*W32,V34*W34,V36*W36,V38*W38,V40*W40,V42*W42,V44*W44,V46*W46,V48*W48,V50*W50,V52*W52,V54*W54,V56*W56,V58*W58,V60*W60,V62*W62,V64*W64,V68*W68,V70*W70,V72*W72)</f>
        <v>327</v>
      </c>
      <c r="W8" s="84" t="s">
        <v>16</v>
      </c>
      <c r="X8" s="84"/>
      <c r="Y8" s="72">
        <f>0.0175*'Dados de Base'!$D$5*U89*5</f>
        <v>84.616875</v>
      </c>
      <c r="Z8" s="60"/>
      <c r="AA8" s="63"/>
      <c r="AB8" s="57"/>
      <c r="AC8" s="57"/>
      <c r="AD8" s="57"/>
      <c r="AE8" s="57"/>
      <c r="AF8" s="57"/>
      <c r="AG8" s="57"/>
      <c r="AH8" s="58"/>
      <c r="AI8" s="67" t="s">
        <v>19</v>
      </c>
      <c r="AJ8" s="81">
        <f>SUM(AM16,AM18,AM20,AM22,AM26,AM28,AM30,AM32,AM34,AM36,AM38,AM40,AM42,AM44,AM46,AM48,AM50,AM52,AM54,AM56,AM58,AM60,AM62,AM64,AM68,AM70,AM72)</f>
        <v>5</v>
      </c>
      <c r="AK8" s="71" t="s">
        <v>20</v>
      </c>
      <c r="AL8" s="61"/>
      <c r="AM8" s="82">
        <f>SUM(AM16*AN16,AM18*AN18,AM20*AN20,AM22*AN22,AM26*AN26,AM28*AN28,AM30*AN30,AM32*AN32,AM34*AN34,AM36*AN36,AM38*AN38,AM40*AN40,AM42*AN42,AM44*AN44,AM46*AN46,AM48*AN48,AM50*AN50,AM52*AN52,AM54*AN54,AM56*AN56,AM58*AN58,AM60*AN60,AM62*AN62,AM64*AN64,AM68*AN68,AM70*AN70,AM72*AN72)</f>
        <v>90</v>
      </c>
      <c r="AN8" s="83" t="s">
        <v>16</v>
      </c>
      <c r="AO8" s="61"/>
      <c r="AP8" s="72">
        <f>0.0175*'Dados de Base'!$D$5*AL89*5</f>
        <v>11.94375</v>
      </c>
      <c r="AQ8" s="60"/>
      <c r="AR8" s="63"/>
      <c r="AS8" s="57"/>
      <c r="AT8" s="57"/>
      <c r="AU8" s="57"/>
      <c r="AV8" s="57"/>
      <c r="AW8" s="57"/>
      <c r="AX8" s="57"/>
      <c r="AY8" s="58"/>
      <c r="AZ8" s="67" t="s">
        <v>19</v>
      </c>
      <c r="BA8" s="81">
        <f>SUM(BD16,BD18,BD20,BD22,BD26,BD28,BD30,BD32,BD34,BD36,BD38,BD40,BD42,BD44,BD46,BD48,BD50,BD52,BD54,BD56,BD58,BD60,BD62,BD64,BD68,BD70,BD72)</f>
        <v>38</v>
      </c>
      <c r="BB8" s="71" t="s">
        <v>20</v>
      </c>
      <c r="BC8" s="61"/>
      <c r="BD8" s="82">
        <f>SUM(BD16*BE16,BD18*BE18,BD20*BE20,BD22*BE22,BD26*BE26,BD28*BE28,BD30*BE30,BD32*BE32,BD34*BE34,BD36*BE36,BD38*BE38,BD40*BE40,BD42*BE42,BD44*BE44,BD46*BE46,BD48*BE48,BD50*BE50,BD52*BE52,BD54*BE54,BD56*BE56,BD58*BE58,BD60*BE60,BD62*BE62,BD64*BE64,BD68*BE68,BD70*BE70,BD72*BE72)</f>
        <v>438</v>
      </c>
      <c r="BE8" s="83" t="s">
        <v>16</v>
      </c>
      <c r="BF8" s="61"/>
      <c r="BG8" s="72">
        <f>0.0175*'Dados de Base'!$D$5*BC89*5</f>
        <v>93.16125</v>
      </c>
      <c r="BH8" s="60"/>
      <c r="BI8" s="63"/>
      <c r="BJ8" s="57"/>
      <c r="BK8" s="57"/>
      <c r="BL8" s="57"/>
      <c r="BM8" s="57"/>
      <c r="BN8" s="57"/>
      <c r="BO8" s="57"/>
      <c r="BP8" s="58"/>
      <c r="BQ8" s="67" t="s">
        <v>19</v>
      </c>
      <c r="BR8" s="81">
        <f>SUM(BU16,BU18,BU20,BU22,BU26,BU28,BU30,BU32,BU34,BU36,BU38,BU40,BU42,BU44,BU46,BU48,BU50,BU52,BU54,BU56,BU58,BU60,BU62,BU64,BU68,BU70,BU72)</f>
        <v>35</v>
      </c>
      <c r="BS8" s="71" t="s">
        <v>20</v>
      </c>
      <c r="BT8" s="61"/>
      <c r="BU8" s="82">
        <f>SUM(BU16*BV16,BU18*BV18,BU20*BV20,BU22*BV22,BU26*BV26,BU28*BV28,BU30*BV30,BU32*BV32,BU34*BV34,BU36*BV36,BU38*BV38,BU40*BV40,BU42*BV42,BU44*BV44,BU46*BV46,BU48*BV48,BU50*BV50,BU52*BV52,BU54*BV54,BU56*BV56,BU58*BV58,BU60*BV60,BU62*BV62,BU64*BV64,BU68*BV68,BU70*BV70,BU72*BV72)</f>
        <v>384</v>
      </c>
      <c r="BV8" s="83" t="s">
        <v>16</v>
      </c>
      <c r="BW8" s="61"/>
      <c r="BX8" s="72">
        <f>0.0175*'Dados de Base'!$D$5*BT89*5</f>
        <v>83.79</v>
      </c>
      <c r="BY8" s="60"/>
      <c r="BZ8" s="63"/>
      <c r="CA8" s="57"/>
      <c r="CB8" s="57"/>
      <c r="CC8" s="57"/>
      <c r="CD8" s="57"/>
      <c r="CE8" s="57"/>
      <c r="CF8" s="57"/>
      <c r="CG8" s="58"/>
      <c r="CH8" s="67" t="s">
        <v>19</v>
      </c>
      <c r="CI8" s="81">
        <f>SUM(CL16,CL18,CL20,CL22,CL26,CL28,CL30,CL32,CL34,CL36,CL38,CL40,CL42,CL44,CL46,CL48,CL50,CL52,CL54,CL56,CL58,CL60,CL62,CL64,CL68,CL70,CL72)</f>
        <v>5</v>
      </c>
      <c r="CJ8" s="71" t="s">
        <v>20</v>
      </c>
      <c r="CK8" s="61"/>
      <c r="CL8" s="82">
        <f>SUM(CL16*CM16,CL18*CM18,CL20*CM20,CL22*CM22,CL26*CM26,CL28*CM28,CL30*CM30,CL32*CM32,CL34*CM34,CL36*CM36,CL38*CM38,CL40*CM40,CL42*CM42,CL44*CM44,CL46*CM46,CL48*CM48,CL50*CM50,CL52*CM52,CL54*CM54,CL56*CM56,CL58*CM58,CL60*CM60,CL62*CM62,CL64*CM64,CL68*CM68,CL70*CM70,CL72*CM72)</f>
        <v>90</v>
      </c>
      <c r="CM8" s="83" t="s">
        <v>16</v>
      </c>
      <c r="CN8" s="61"/>
      <c r="CO8" s="72">
        <f>0.0175*'Dados de Base'!$D$5*CK89*5</f>
        <v>11.94375</v>
      </c>
      <c r="CP8" s="60"/>
      <c r="CQ8" s="63"/>
      <c r="CR8" s="57"/>
      <c r="CS8" s="57"/>
      <c r="CT8" s="57"/>
      <c r="CU8" s="57"/>
      <c r="CV8" s="57"/>
      <c r="CW8" s="57"/>
      <c r="CX8" s="58"/>
      <c r="CY8" s="67" t="s">
        <v>19</v>
      </c>
      <c r="CZ8" s="81">
        <f>SUM(DC16,DC18,DC20,DC22,DC26,DC28,DC30,DC32,DC34,DC36,DC38,DC40,DC42,DC44,DC46,DC48,DC50,DC52,DC54,DC56,DC58,DC60,DC62,DC64,DC68,DC70,DC72)</f>
        <v>0</v>
      </c>
      <c r="DA8" s="71" t="s">
        <v>20</v>
      </c>
      <c r="DB8" s="61"/>
      <c r="DC8" s="82">
        <f>SUM(DC16*DD16,DC18*DD18,DC20*DD20,DC22*DD22,DC26*DD26,DC28*DD28,DC30*DD30,DC32*DD32,DC34*DD34,DC36*DD36,DC38*DD38,DC40*DD40,DC42*DD42,DC44*DD44,DC46*DD46,DC48*DD48,DC50*DD50,DC52*DD52,DC54*DD54,DC56*DD56,DC58*DD58,DC60*DD60,DC62*DD62,DC64*DD64,DC68*DD68,DC70*DD70,DC72*DD72)</f>
        <v>0</v>
      </c>
      <c r="DD8" s="83" t="s">
        <v>16</v>
      </c>
      <c r="DE8" s="61"/>
      <c r="DF8" s="72">
        <f>0.0175*'Dados de Base'!$D$5*DB89*5</f>
        <v>0</v>
      </c>
      <c r="DG8" s="60"/>
      <c r="DH8" s="63"/>
      <c r="DI8" s="57"/>
      <c r="DJ8" s="57"/>
      <c r="DK8" s="57"/>
      <c r="DL8" s="57"/>
      <c r="DM8" s="57"/>
      <c r="DN8" s="57"/>
      <c r="DO8" s="58"/>
      <c r="DP8" s="57" t="s">
        <v>21</v>
      </c>
      <c r="DQ8" s="56">
        <f>IF(L80&gt;0,D89,0)+IF(AC80&gt;0,U89,0)+IF(AT80&gt;0,AL89,0)+IF(BK80&gt;0,BC89,0)+IF(CB80&gt;0,BT89,0)+IF(CS80&gt;0,CK89,0)+IF(DJ80&gt;0,DB89,0)</f>
        <v>0</v>
      </c>
      <c r="DR8" s="56"/>
      <c r="DS8" s="56"/>
      <c r="DT8" s="56"/>
      <c r="DU8" s="56"/>
      <c r="DV8" s="56"/>
      <c r="DW8" s="56"/>
      <c r="DX8" s="56"/>
      <c r="DY8" s="56"/>
    </row>
    <row r="9">
      <c r="A9" s="85" t="s">
        <v>22</v>
      </c>
      <c r="B9" s="86"/>
      <c r="C9" s="86"/>
      <c r="D9" s="86"/>
      <c r="E9" s="86"/>
      <c r="F9" s="87"/>
      <c r="G9" s="88">
        <f>((D89+K89+IF(ISNUMBER(B82),B82,B6))*Montagem!AS153)+10</f>
        <v>62.1</v>
      </c>
      <c r="H9" s="86"/>
      <c r="I9" s="86"/>
      <c r="J9" s="89"/>
      <c r="K9" s="57"/>
      <c r="L9" s="57"/>
      <c r="M9" s="57"/>
      <c r="N9" s="57"/>
      <c r="O9" s="57"/>
      <c r="P9" s="57"/>
      <c r="Q9" s="58"/>
      <c r="R9" s="85" t="s">
        <v>22</v>
      </c>
      <c r="S9" s="86"/>
      <c r="T9" s="86"/>
      <c r="U9" s="86"/>
      <c r="V9" s="86"/>
      <c r="W9" s="87"/>
      <c r="X9" s="88">
        <f>((U89+AB89+IF(ISNUMBER(S82),S82,S6))*Montagem!AS153)+10</f>
        <v>61.35</v>
      </c>
      <c r="Y9" s="86"/>
      <c r="Z9" s="86"/>
      <c r="AA9" s="89"/>
      <c r="AB9" s="57"/>
      <c r="AC9" s="57"/>
      <c r="AD9" s="57"/>
      <c r="AE9" s="57"/>
      <c r="AF9" s="57"/>
      <c r="AG9" s="57"/>
      <c r="AH9" s="58"/>
      <c r="AI9" s="85" t="s">
        <v>22</v>
      </c>
      <c r="AJ9" s="86"/>
      <c r="AK9" s="86"/>
      <c r="AL9" s="86"/>
      <c r="AM9" s="86"/>
      <c r="AN9" s="87"/>
      <c r="AO9" s="88">
        <f>((AL89+AS89+IF(ISNUMBER(AJ82),AJ82,AJ6))*Montagem!AS153)+10</f>
        <v>13.83333333</v>
      </c>
      <c r="AP9" s="86"/>
      <c r="AQ9" s="86"/>
      <c r="AR9" s="89"/>
      <c r="AS9" s="57"/>
      <c r="AT9" s="57"/>
      <c r="AU9" s="57"/>
      <c r="AV9" s="57"/>
      <c r="AW9" s="57"/>
      <c r="AX9" s="57"/>
      <c r="AY9" s="58"/>
      <c r="AZ9" s="85" t="s">
        <v>22</v>
      </c>
      <c r="BA9" s="86"/>
      <c r="BB9" s="86"/>
      <c r="BC9" s="86"/>
      <c r="BD9" s="86"/>
      <c r="BE9" s="87"/>
      <c r="BF9" s="88">
        <f>((BC89+BJ89+IF(ISNUMBER(BA82),BA82,BA6))*Montagem!AS153)+10</f>
        <v>83.56666667</v>
      </c>
      <c r="BG9" s="86"/>
      <c r="BH9" s="86"/>
      <c r="BI9" s="89"/>
      <c r="BJ9" s="57"/>
      <c r="BK9" s="57"/>
      <c r="BL9" s="57"/>
      <c r="BM9" s="57"/>
      <c r="BN9" s="57"/>
      <c r="BO9" s="57"/>
      <c r="BP9" s="58"/>
      <c r="BQ9" s="85" t="s">
        <v>22</v>
      </c>
      <c r="BR9" s="86"/>
      <c r="BS9" s="86"/>
      <c r="BT9" s="86"/>
      <c r="BU9" s="86"/>
      <c r="BV9" s="87"/>
      <c r="BW9" s="88">
        <f>((BT89+CA89+IF(ISNUMBER(BR82),BR82,BR6))*Montagem!AS153)+10</f>
        <v>52.11666667</v>
      </c>
      <c r="BX9" s="86"/>
      <c r="BY9" s="86"/>
      <c r="BZ9" s="89"/>
      <c r="CA9" s="57"/>
      <c r="CB9" s="57"/>
      <c r="CC9" s="57"/>
      <c r="CD9" s="57"/>
      <c r="CE9" s="57"/>
      <c r="CF9" s="57"/>
      <c r="CG9" s="58"/>
      <c r="CH9" s="85" t="s">
        <v>22</v>
      </c>
      <c r="CI9" s="86"/>
      <c r="CJ9" s="86"/>
      <c r="CK9" s="86"/>
      <c r="CL9" s="86"/>
      <c r="CM9" s="87"/>
      <c r="CN9" s="88">
        <f>((CK89+CR89+IF(ISNUMBER(CI82),CI82,CI6))*Montagem!AS153)+10</f>
        <v>13.83333333</v>
      </c>
      <c r="CO9" s="86"/>
      <c r="CP9" s="86"/>
      <c r="CQ9" s="89"/>
      <c r="CR9" s="57"/>
      <c r="CS9" s="57"/>
      <c r="CT9" s="57"/>
      <c r="CU9" s="57"/>
      <c r="CV9" s="57"/>
      <c r="CW9" s="57"/>
      <c r="CX9" s="58"/>
      <c r="CY9" s="85" t="s">
        <v>22</v>
      </c>
      <c r="CZ9" s="86"/>
      <c r="DA9" s="86"/>
      <c r="DB9" s="86"/>
      <c r="DC9" s="86"/>
      <c r="DD9" s="87"/>
      <c r="DE9" s="88">
        <f>((DB89+DI89+IF(ISNUMBER(CZ82),CZ82,CZ6))*Montagem!AS153)+10</f>
        <v>10</v>
      </c>
      <c r="DF9" s="86"/>
      <c r="DG9" s="86"/>
      <c r="DH9" s="89"/>
      <c r="DI9" s="57"/>
      <c r="DJ9" s="57"/>
      <c r="DK9" s="57"/>
      <c r="DL9" s="57"/>
      <c r="DM9" s="57"/>
      <c r="DN9" s="57"/>
      <c r="DO9" s="58"/>
      <c r="DP9" s="57" t="s">
        <v>23</v>
      </c>
      <c r="DQ9" s="56">
        <f>IF(L80&gt;0,H8+H6,0)+IF(AC80&gt;0,Y8+Y6,0)+IF(AT80&gt;0,AP8+AP6,0)+IF(BK80&gt;0,BG8+BG6,0)+IF(CB80&gt;0,BX8+BX6,0)+IF(CS80&gt;0,CO8+CO6,0)+IF(DJ80&gt;0,DF8+DF6,0)</f>
        <v>0</v>
      </c>
      <c r="DR9" s="56"/>
      <c r="DS9" s="56"/>
      <c r="DT9" s="56"/>
      <c r="DU9" s="56"/>
      <c r="DV9" s="56"/>
      <c r="DW9" s="56"/>
      <c r="DX9" s="56"/>
      <c r="DY9" s="56"/>
    </row>
    <row r="10">
      <c r="A10" s="90" t="s">
        <v>24</v>
      </c>
      <c r="J10" s="66"/>
      <c r="K10" s="57"/>
      <c r="L10" s="57"/>
      <c r="M10" s="57"/>
      <c r="N10" s="57"/>
      <c r="O10" s="57"/>
      <c r="P10" s="57"/>
      <c r="Q10" s="58"/>
      <c r="R10" s="90" t="s">
        <v>24</v>
      </c>
      <c r="AA10" s="66"/>
      <c r="AB10" s="57"/>
      <c r="AC10" s="57"/>
      <c r="AD10" s="57"/>
      <c r="AE10" s="57"/>
      <c r="AF10" s="57"/>
      <c r="AG10" s="57"/>
      <c r="AH10" s="58"/>
      <c r="AI10" s="90" t="s">
        <v>24</v>
      </c>
      <c r="AR10" s="66"/>
      <c r="AS10" s="57"/>
      <c r="AT10" s="57"/>
      <c r="AU10" s="57"/>
      <c r="AV10" s="57"/>
      <c r="AW10" s="57"/>
      <c r="AX10" s="57"/>
      <c r="AY10" s="58"/>
      <c r="AZ10" s="90" t="s">
        <v>24</v>
      </c>
      <c r="BI10" s="66"/>
      <c r="BJ10" s="57"/>
      <c r="BK10" s="57"/>
      <c r="BL10" s="57"/>
      <c r="BM10" s="57"/>
      <c r="BN10" s="57"/>
      <c r="BO10" s="57"/>
      <c r="BP10" s="58"/>
      <c r="BQ10" s="90" t="s">
        <v>24</v>
      </c>
      <c r="BZ10" s="66"/>
      <c r="CA10" s="57"/>
      <c r="CB10" s="57"/>
      <c r="CC10" s="57"/>
      <c r="CD10" s="57"/>
      <c r="CE10" s="57"/>
      <c r="CF10" s="57"/>
      <c r="CG10" s="58"/>
      <c r="CH10" s="90" t="s">
        <v>24</v>
      </c>
      <c r="CQ10" s="66"/>
      <c r="CR10" s="57"/>
      <c r="CS10" s="57"/>
      <c r="CT10" s="57"/>
      <c r="CU10" s="57"/>
      <c r="CV10" s="57"/>
      <c r="CW10" s="57"/>
      <c r="CX10" s="58"/>
      <c r="CY10" s="90" t="s">
        <v>24</v>
      </c>
      <c r="DH10" s="66"/>
      <c r="DI10" s="57"/>
      <c r="DJ10" s="57"/>
      <c r="DK10" s="57"/>
      <c r="DL10" s="57"/>
      <c r="DM10" s="57"/>
      <c r="DN10" s="57"/>
      <c r="DO10" s="58"/>
      <c r="DP10" s="57" t="s">
        <v>25</v>
      </c>
      <c r="DQ10" s="56">
        <f>DQ9/7</f>
        <v>0</v>
      </c>
      <c r="DR10" s="56"/>
      <c r="DS10" s="56"/>
      <c r="DT10" s="56"/>
      <c r="DU10" s="56"/>
      <c r="DV10" s="56"/>
      <c r="DW10" s="56"/>
      <c r="DX10" s="56"/>
      <c r="DY10" s="56"/>
    </row>
    <row r="11">
      <c r="A11" s="91" t="str">
        <f>Montagem!K162</f>
        <v/>
      </c>
      <c r="J11" s="66"/>
      <c r="K11" s="92"/>
      <c r="L11" s="92"/>
      <c r="M11" s="92"/>
      <c r="N11" s="92"/>
      <c r="O11" s="92"/>
      <c r="P11" s="92"/>
      <c r="Q11" s="93"/>
      <c r="R11" s="91" t="str">
        <f>Montagem!Z162</f>
        <v/>
      </c>
      <c r="AA11" s="66"/>
      <c r="AB11" s="92"/>
      <c r="AC11" s="92"/>
      <c r="AD11" s="92"/>
      <c r="AE11" s="92"/>
      <c r="AF11" s="92"/>
      <c r="AG11" s="92"/>
      <c r="AH11" s="93"/>
      <c r="AI11" s="91" t="str">
        <f>Montagem!AO162</f>
        <v/>
      </c>
      <c r="AR11" s="66"/>
      <c r="AS11" s="92"/>
      <c r="AT11" s="92"/>
      <c r="AU11" s="92"/>
      <c r="AV11" s="92"/>
      <c r="AW11" s="92"/>
      <c r="AX11" s="92"/>
      <c r="AY11" s="93"/>
      <c r="AZ11" s="91" t="str">
        <f>Montagem!BD162</f>
        <v/>
      </c>
      <c r="BI11" s="66"/>
      <c r="BJ11" s="92"/>
      <c r="BK11" s="92"/>
      <c r="BL11" s="92"/>
      <c r="BM11" s="92"/>
      <c r="BN11" s="92"/>
      <c r="BO11" s="92"/>
      <c r="BP11" s="93"/>
      <c r="BQ11" s="91" t="str">
        <f>Montagem!BS162</f>
        <v/>
      </c>
      <c r="BZ11" s="66"/>
      <c r="CA11" s="92"/>
      <c r="CB11" s="92"/>
      <c r="CC11" s="92"/>
      <c r="CD11" s="92"/>
      <c r="CE11" s="92"/>
      <c r="CF11" s="92"/>
      <c r="CG11" s="93"/>
      <c r="CH11" s="91" t="str">
        <f>Montagem!CH162</f>
        <v/>
      </c>
      <c r="CQ11" s="66"/>
      <c r="CR11" s="92"/>
      <c r="CS11" s="92"/>
      <c r="CT11" s="92"/>
      <c r="CU11" s="92"/>
      <c r="CV11" s="92"/>
      <c r="CW11" s="92"/>
      <c r="CX11" s="93"/>
      <c r="CY11" s="91" t="str">
        <f>Montagem!CW162</f>
        <v/>
      </c>
      <c r="DH11" s="66"/>
      <c r="DI11" s="92"/>
      <c r="DJ11" s="92"/>
      <c r="DK11" s="92"/>
      <c r="DL11" s="92"/>
      <c r="DM11" s="92"/>
      <c r="DN11" s="92"/>
      <c r="DO11" s="93"/>
      <c r="DP11" s="92" t="s">
        <v>26</v>
      </c>
      <c r="DQ11" s="94">
        <f>SUM(D90,U90,AL90,BC90,BT90,CK90,DB90)</f>
        <v>0</v>
      </c>
      <c r="DR11" s="94"/>
      <c r="DS11" s="94"/>
      <c r="DT11" s="94"/>
      <c r="DU11" s="94"/>
      <c r="DV11" s="94"/>
      <c r="DW11" s="94"/>
      <c r="DX11" s="94"/>
      <c r="DY11" s="94"/>
    </row>
    <row r="12">
      <c r="A12" s="91" t="str">
        <f>Montagem!K163</f>
        <v/>
      </c>
      <c r="J12" s="66"/>
      <c r="K12" s="92"/>
      <c r="L12" s="92"/>
      <c r="M12" s="92"/>
      <c r="N12" s="92"/>
      <c r="O12" s="92"/>
      <c r="P12" s="92"/>
      <c r="Q12" s="93"/>
      <c r="R12" s="91" t="str">
        <f>Montagem!Z163</f>
        <v/>
      </c>
      <c r="AA12" s="66"/>
      <c r="AB12" s="92"/>
      <c r="AC12" s="92"/>
      <c r="AD12" s="92"/>
      <c r="AE12" s="92"/>
      <c r="AF12" s="92"/>
      <c r="AG12" s="92"/>
      <c r="AH12" s="93"/>
      <c r="AI12" s="91" t="str">
        <f>Montagem!AO163</f>
        <v/>
      </c>
      <c r="AR12" s="66"/>
      <c r="AS12" s="92"/>
      <c r="AT12" s="92"/>
      <c r="AU12" s="92"/>
      <c r="AV12" s="92"/>
      <c r="AW12" s="92"/>
      <c r="AX12" s="92"/>
      <c r="AY12" s="93"/>
      <c r="AZ12" s="91" t="str">
        <f>Montagem!BD163</f>
        <v/>
      </c>
      <c r="BI12" s="66"/>
      <c r="BJ12" s="92"/>
      <c r="BK12" s="92"/>
      <c r="BL12" s="92"/>
      <c r="BM12" s="92"/>
      <c r="BN12" s="92"/>
      <c r="BO12" s="92"/>
      <c r="BP12" s="93"/>
      <c r="BQ12" s="91" t="str">
        <f>Montagem!BS163</f>
        <v/>
      </c>
      <c r="BZ12" s="66"/>
      <c r="CA12" s="92"/>
      <c r="CB12" s="92"/>
      <c r="CC12" s="92"/>
      <c r="CD12" s="92"/>
      <c r="CE12" s="92"/>
      <c r="CF12" s="92"/>
      <c r="CG12" s="93"/>
      <c r="CH12" s="91" t="str">
        <f>Montagem!CH163</f>
        <v/>
      </c>
      <c r="CQ12" s="66"/>
      <c r="CR12" s="92"/>
      <c r="CS12" s="92"/>
      <c r="CT12" s="92"/>
      <c r="CU12" s="92"/>
      <c r="CV12" s="92"/>
      <c r="CW12" s="92"/>
      <c r="CX12" s="93"/>
      <c r="CY12" s="91" t="str">
        <f>Montagem!CW163</f>
        <v/>
      </c>
      <c r="DH12" s="66"/>
      <c r="DI12" s="92"/>
      <c r="DJ12" s="92"/>
      <c r="DK12" s="92"/>
      <c r="DL12" s="92"/>
      <c r="DM12" s="92"/>
      <c r="DN12" s="92"/>
      <c r="DO12" s="93"/>
      <c r="DP12" s="95" t="s">
        <v>27</v>
      </c>
      <c r="DQ12" s="94">
        <f>IF(DQ18=0,0,DQ11/DQ18)</f>
        <v>0</v>
      </c>
      <c r="DR12" s="94"/>
      <c r="DS12" s="94"/>
      <c r="DT12" s="94"/>
      <c r="DU12" s="94"/>
      <c r="DV12" s="94"/>
      <c r="DW12" s="94"/>
      <c r="DX12" s="94"/>
      <c r="DY12" s="94"/>
    </row>
    <row r="13">
      <c r="A13" s="91" t="str">
        <f>IFS(L2=4,"Semana de Adaptação",L2=2,"Semana Ordinária",L2=0,"Semana de Choque")</f>
        <v>Semana Ordinária</v>
      </c>
      <c r="J13" s="66"/>
      <c r="K13" s="92"/>
      <c r="L13" s="92"/>
      <c r="M13" s="92"/>
      <c r="N13" s="92"/>
      <c r="O13" s="92"/>
      <c r="P13" s="92"/>
      <c r="Q13" s="93"/>
      <c r="R13" s="91" t="str">
        <f>IFS(L2=4,"Semana de Adaptação",L2=2,"Semana Ordinária",L2=0,"Semana de Choque")</f>
        <v>Semana Ordinária</v>
      </c>
      <c r="AA13" s="66"/>
      <c r="AB13" s="92"/>
      <c r="AC13" s="92"/>
      <c r="AD13" s="92"/>
      <c r="AE13" s="92"/>
      <c r="AF13" s="92"/>
      <c r="AG13" s="92"/>
      <c r="AH13" s="93"/>
      <c r="AI13" s="91" t="str">
        <f>IFS(L2=4,"Semana de Adaptação",L2=2,"Semana Ordinária",L2=0,"Semana de Choque")</f>
        <v>Semana Ordinária</v>
      </c>
      <c r="AR13" s="66"/>
      <c r="AS13" s="92"/>
      <c r="AT13" s="92"/>
      <c r="AU13" s="92"/>
      <c r="AV13" s="92"/>
      <c r="AW13" s="92"/>
      <c r="AX13" s="92"/>
      <c r="AY13" s="93"/>
      <c r="AZ13" s="91" t="str">
        <f>IFS(L2=4,"Semana de Adaptação",L2=2,"Semana Ordinária",L2=0,"Semana de Choque")</f>
        <v>Semana Ordinária</v>
      </c>
      <c r="BI13" s="66"/>
      <c r="BJ13" s="92"/>
      <c r="BK13" s="92"/>
      <c r="BL13" s="92"/>
      <c r="BM13" s="92"/>
      <c r="BN13" s="92"/>
      <c r="BO13" s="92"/>
      <c r="BP13" s="93"/>
      <c r="BQ13" s="91" t="str">
        <f>IFS(L2=4,"Semana de Adaptação",L2=2,"Semana Ordinária",L2=0,"Semana de Choque")</f>
        <v>Semana Ordinária</v>
      </c>
      <c r="BZ13" s="66"/>
      <c r="CA13" s="92"/>
      <c r="CB13" s="92"/>
      <c r="CC13" s="92"/>
      <c r="CD13" s="92"/>
      <c r="CE13" s="92"/>
      <c r="CF13" s="92"/>
      <c r="CG13" s="93"/>
      <c r="CH13" s="91" t="str">
        <f>IFS(L2=4,"Semana de Adaptação",L2=2,"Semana Ordinária",L2=0,"Semana de Choque")</f>
        <v>Semana Ordinária</v>
      </c>
      <c r="CQ13" s="66"/>
      <c r="CR13" s="92"/>
      <c r="CS13" s="92"/>
      <c r="CT13" s="92"/>
      <c r="CU13" s="92"/>
      <c r="CV13" s="92"/>
      <c r="CW13" s="92"/>
      <c r="CX13" s="93"/>
      <c r="CY13" s="91" t="str">
        <f>IFS(L2=4,"Semana de Adaptação",L2=2,"Semana Ordinária",L2=0,"Semana de Choque")</f>
        <v>Semana Ordinária</v>
      </c>
      <c r="DH13" s="66"/>
      <c r="DI13" s="92"/>
      <c r="DJ13" s="92"/>
      <c r="DK13" s="92"/>
      <c r="DL13" s="92"/>
      <c r="DM13" s="92"/>
      <c r="DN13" s="92"/>
      <c r="DO13" s="93"/>
      <c r="DP13" s="95" t="s">
        <v>28</v>
      </c>
      <c r="DQ13" s="94">
        <f>DQ11/7</f>
        <v>0</v>
      </c>
      <c r="DR13" s="94"/>
      <c r="DS13" s="94"/>
      <c r="DT13" s="94"/>
      <c r="DU13" s="94"/>
      <c r="DV13" s="94"/>
      <c r="DW13" s="94"/>
      <c r="DX13" s="94"/>
      <c r="DY13" s="94"/>
    </row>
    <row r="14">
      <c r="A14" s="90" t="s">
        <v>29</v>
      </c>
      <c r="J14" s="66"/>
      <c r="K14" s="57"/>
      <c r="L14" s="57"/>
      <c r="M14" s="57"/>
      <c r="N14" s="57"/>
      <c r="O14" s="57"/>
      <c r="P14" s="57"/>
      <c r="Q14" s="58"/>
      <c r="R14" s="90" t="s">
        <v>29</v>
      </c>
      <c r="AA14" s="66"/>
      <c r="AB14" s="57"/>
      <c r="AC14" s="57"/>
      <c r="AD14" s="57"/>
      <c r="AE14" s="57"/>
      <c r="AF14" s="57"/>
      <c r="AG14" s="57"/>
      <c r="AH14" s="58"/>
      <c r="AI14" s="90" t="s">
        <v>29</v>
      </c>
      <c r="AR14" s="66"/>
      <c r="AS14" s="57"/>
      <c r="AT14" s="57"/>
      <c r="AU14" s="57"/>
      <c r="AV14" s="57"/>
      <c r="AW14" s="57"/>
      <c r="AX14" s="57"/>
      <c r="AY14" s="58"/>
      <c r="AZ14" s="90" t="s">
        <v>29</v>
      </c>
      <c r="BI14" s="66"/>
      <c r="BJ14" s="57"/>
      <c r="BK14" s="57"/>
      <c r="BL14" s="57"/>
      <c r="BM14" s="57"/>
      <c r="BN14" s="57"/>
      <c r="BO14" s="57"/>
      <c r="BP14" s="58"/>
      <c r="BQ14" s="90" t="s">
        <v>29</v>
      </c>
      <c r="BZ14" s="66"/>
      <c r="CA14" s="57"/>
      <c r="CB14" s="57"/>
      <c r="CC14" s="57"/>
      <c r="CD14" s="57"/>
      <c r="CE14" s="57"/>
      <c r="CF14" s="57"/>
      <c r="CG14" s="58"/>
      <c r="CH14" s="90" t="s">
        <v>29</v>
      </c>
      <c r="CQ14" s="66"/>
      <c r="CR14" s="57"/>
      <c r="CS14" s="57"/>
      <c r="CT14" s="57"/>
      <c r="CU14" s="57"/>
      <c r="CV14" s="57"/>
      <c r="CW14" s="57"/>
      <c r="CX14" s="58"/>
      <c r="CY14" s="90" t="s">
        <v>29</v>
      </c>
      <c r="DH14" s="66"/>
      <c r="DI14" s="57"/>
      <c r="DJ14" s="57"/>
      <c r="DK14" s="57"/>
      <c r="DL14" s="57"/>
      <c r="DM14" s="57"/>
      <c r="DN14" s="57"/>
      <c r="DO14" s="58"/>
      <c r="DP14" s="73" t="s">
        <v>30</v>
      </c>
      <c r="DQ14" s="56">
        <f>STDEVPA(D90,U90,AL90,BC90,BT90,CK90,DB90)</f>
        <v>0</v>
      </c>
      <c r="DR14" s="56"/>
      <c r="DS14" s="56"/>
      <c r="DT14" s="56"/>
      <c r="DU14" s="56"/>
      <c r="DV14" s="56"/>
      <c r="DW14" s="56"/>
      <c r="DX14" s="56"/>
      <c r="DY14" s="56"/>
    </row>
    <row r="15">
      <c r="A15" s="96" t="s">
        <v>31</v>
      </c>
      <c r="D15" s="97" t="s">
        <v>32</v>
      </c>
      <c r="E15" s="98" t="s">
        <v>33</v>
      </c>
      <c r="F15" s="98" t="s">
        <v>34</v>
      </c>
      <c r="G15" s="98" t="s">
        <v>35</v>
      </c>
      <c r="H15" s="98" t="s">
        <v>36</v>
      </c>
      <c r="I15" s="98" t="s">
        <v>37</v>
      </c>
      <c r="J15" s="99" t="s">
        <v>38</v>
      </c>
      <c r="K15" s="100"/>
      <c r="L15" s="100"/>
      <c r="M15" s="100"/>
      <c r="N15" s="100"/>
      <c r="O15" s="100"/>
      <c r="P15" s="100"/>
      <c r="Q15" s="101"/>
      <c r="R15" s="96" t="s">
        <v>31</v>
      </c>
      <c r="U15" s="97" t="s">
        <v>32</v>
      </c>
      <c r="V15" s="98" t="s">
        <v>33</v>
      </c>
      <c r="W15" s="98" t="s">
        <v>34</v>
      </c>
      <c r="X15" s="98" t="s">
        <v>35</v>
      </c>
      <c r="Y15" s="98" t="s">
        <v>36</v>
      </c>
      <c r="Z15" s="98" t="s">
        <v>37</v>
      </c>
      <c r="AA15" s="99" t="s">
        <v>38</v>
      </c>
      <c r="AB15" s="100"/>
      <c r="AC15" s="100"/>
      <c r="AD15" s="100"/>
      <c r="AE15" s="100"/>
      <c r="AF15" s="100"/>
      <c r="AG15" s="100"/>
      <c r="AH15" s="101"/>
      <c r="AI15" s="96" t="s">
        <v>31</v>
      </c>
      <c r="AL15" s="97" t="s">
        <v>32</v>
      </c>
      <c r="AM15" s="98" t="s">
        <v>33</v>
      </c>
      <c r="AN15" s="98" t="s">
        <v>34</v>
      </c>
      <c r="AO15" s="98" t="s">
        <v>35</v>
      </c>
      <c r="AP15" s="98" t="s">
        <v>36</v>
      </c>
      <c r="AQ15" s="98" t="s">
        <v>37</v>
      </c>
      <c r="AR15" s="99" t="s">
        <v>38</v>
      </c>
      <c r="AS15" s="100"/>
      <c r="AT15" s="100"/>
      <c r="AU15" s="100"/>
      <c r="AV15" s="100"/>
      <c r="AW15" s="100"/>
      <c r="AX15" s="100"/>
      <c r="AY15" s="101"/>
      <c r="AZ15" s="96" t="s">
        <v>31</v>
      </c>
      <c r="BC15" s="97" t="s">
        <v>32</v>
      </c>
      <c r="BD15" s="98" t="s">
        <v>33</v>
      </c>
      <c r="BE15" s="98" t="s">
        <v>34</v>
      </c>
      <c r="BF15" s="98" t="s">
        <v>35</v>
      </c>
      <c r="BG15" s="98" t="s">
        <v>36</v>
      </c>
      <c r="BH15" s="98" t="s">
        <v>37</v>
      </c>
      <c r="BI15" s="99" t="s">
        <v>38</v>
      </c>
      <c r="BJ15" s="100"/>
      <c r="BK15" s="100"/>
      <c r="BL15" s="100"/>
      <c r="BM15" s="100"/>
      <c r="BN15" s="100"/>
      <c r="BO15" s="100"/>
      <c r="BP15" s="101"/>
      <c r="BQ15" s="96" t="s">
        <v>31</v>
      </c>
      <c r="BT15" s="97" t="s">
        <v>32</v>
      </c>
      <c r="BU15" s="98" t="s">
        <v>33</v>
      </c>
      <c r="BV15" s="98" t="s">
        <v>34</v>
      </c>
      <c r="BW15" s="98" t="s">
        <v>35</v>
      </c>
      <c r="BX15" s="98" t="s">
        <v>36</v>
      </c>
      <c r="BY15" s="98" t="s">
        <v>37</v>
      </c>
      <c r="BZ15" s="99" t="s">
        <v>38</v>
      </c>
      <c r="CA15" s="100"/>
      <c r="CB15" s="100"/>
      <c r="CC15" s="100"/>
      <c r="CD15" s="100"/>
      <c r="CE15" s="100"/>
      <c r="CF15" s="100"/>
      <c r="CG15" s="101"/>
      <c r="CH15" s="96" t="s">
        <v>31</v>
      </c>
      <c r="CK15" s="97" t="s">
        <v>32</v>
      </c>
      <c r="CL15" s="98" t="s">
        <v>33</v>
      </c>
      <c r="CM15" s="98" t="s">
        <v>34</v>
      </c>
      <c r="CN15" s="98" t="s">
        <v>35</v>
      </c>
      <c r="CO15" s="98" t="s">
        <v>36</v>
      </c>
      <c r="CP15" s="98" t="s">
        <v>37</v>
      </c>
      <c r="CQ15" s="99" t="s">
        <v>38</v>
      </c>
      <c r="CR15" s="100"/>
      <c r="CS15" s="100"/>
      <c r="CT15" s="100"/>
      <c r="CU15" s="100"/>
      <c r="CV15" s="100"/>
      <c r="CW15" s="100"/>
      <c r="CX15" s="101"/>
      <c r="CY15" s="96" t="s">
        <v>31</v>
      </c>
      <c r="DB15" s="97" t="s">
        <v>32</v>
      </c>
      <c r="DC15" s="98" t="s">
        <v>33</v>
      </c>
      <c r="DD15" s="98" t="s">
        <v>34</v>
      </c>
      <c r="DE15" s="98" t="s">
        <v>35</v>
      </c>
      <c r="DF15" s="98" t="s">
        <v>36</v>
      </c>
      <c r="DG15" s="98" t="s">
        <v>37</v>
      </c>
      <c r="DH15" s="99" t="s">
        <v>38</v>
      </c>
      <c r="DI15" s="100"/>
      <c r="DJ15" s="100"/>
      <c r="DK15" s="100"/>
      <c r="DL15" s="100"/>
      <c r="DM15" s="100"/>
      <c r="DN15" s="100"/>
      <c r="DO15" s="101"/>
      <c r="DP15" s="73" t="s">
        <v>39</v>
      </c>
      <c r="DQ15" s="56">
        <f>IF(ISERR(AVERAGE(K4,AB4,AS4,BJ4,CA4,CR4,DI4)),0,AVERAGE(K4,AB4,AS4,BJ4,CA4,CR4,DI4))</f>
        <v>0</v>
      </c>
      <c r="DR15" s="56"/>
      <c r="DS15" s="56"/>
      <c r="DT15" s="56"/>
      <c r="DU15" s="56"/>
      <c r="DV15" s="56"/>
      <c r="DW15" s="56"/>
      <c r="DX15" s="56"/>
      <c r="DY15" s="56"/>
    </row>
    <row r="16">
      <c r="A16" s="102" t="str">
        <f>IF(M16="","",HYPERLINK(OFFSET(Biblioteca!$B$2,MATCH(M16,Biblioteca!$A$3:$A$200,0),0),M16))</f>
        <v>Mobilidade Torácica na Parede</v>
      </c>
      <c r="D16" s="103" t="str">
        <f>Montagem!Q166</f>
        <v>Seriado</v>
      </c>
      <c r="E16" s="104">
        <f>Montagem!R166</f>
        <v>2</v>
      </c>
      <c r="F16" s="104">
        <f>Montagem!S166</f>
        <v>10</v>
      </c>
      <c r="G16" s="104">
        <f>Montagem!T166</f>
        <v>10</v>
      </c>
      <c r="H16" s="104">
        <f>Montagem!U166</f>
        <v>1</v>
      </c>
      <c r="I16" s="104">
        <f>Montagem!V166</f>
        <v>1</v>
      </c>
      <c r="J16" s="105"/>
      <c r="K16" s="106">
        <f>Montagem!K166</f>
        <v>1</v>
      </c>
      <c r="L16" s="106">
        <f>Montagem!W166</f>
        <v>0</v>
      </c>
      <c r="M16" s="106" t="str">
        <f>Montagem!L166</f>
        <v>Mobilidade Torácica na Parede</v>
      </c>
      <c r="N16" s="106" t="str">
        <f>Montagem!X166</f>
        <v/>
      </c>
      <c r="O16" s="106">
        <f>IF(N16="",L16,N16)</f>
        <v>0</v>
      </c>
      <c r="P16" s="106">
        <f>IF(L17="C",'Dados de Base'!$D$5*0.1,IF(L17="E",5,IF(J16="",O16,J16)))</f>
        <v>6.3</v>
      </c>
      <c r="Q16" s="108"/>
      <c r="R16" s="102" t="str">
        <f>IF(AD16="","",HYPERLINK(OFFSET(Biblioteca!$B$2,MATCH(AD16,Biblioteca!$A$3:$A$200,0),0),AD16))</f>
        <v>Mobilidade de Quadril em S</v>
      </c>
      <c r="U16" s="109" t="str">
        <f>Montagem!AF166</f>
        <v>Seriado</v>
      </c>
      <c r="V16" s="110">
        <f>Montagem!AG166</f>
        <v>2</v>
      </c>
      <c r="W16" s="110">
        <f>Montagem!AH166</f>
        <v>10</v>
      </c>
      <c r="X16" s="110">
        <f>Montagem!AI166</f>
        <v>10</v>
      </c>
      <c r="Y16" s="110">
        <f>Montagem!AJ166</f>
        <v>1</v>
      </c>
      <c r="Z16" s="110">
        <f>Montagem!AK166</f>
        <v>1</v>
      </c>
      <c r="AA16" s="105"/>
      <c r="AB16" s="111">
        <f>Montagem!Z166</f>
        <v>1</v>
      </c>
      <c r="AC16" s="106">
        <f>Montagem!AL166</f>
        <v>0</v>
      </c>
      <c r="AD16" s="111" t="str">
        <f>Montagem!AA166</f>
        <v>Mobilidade de Quadril em S</v>
      </c>
      <c r="AE16" s="111" t="str">
        <f>Montagem!AM166</f>
        <v/>
      </c>
      <c r="AF16" s="106">
        <f>IF(AE16="",AC16,AE16)</f>
        <v>0</v>
      </c>
      <c r="AG16" s="106">
        <f>IF(AC17="C",'Dados de Base'!$D$5*0.1,IF(AC17="E",5,IF(AA16="",AF16,AA16)))</f>
        <v>6.3</v>
      </c>
      <c r="AH16" s="108"/>
      <c r="AI16" s="102" t="str">
        <f>IF(AU16="","",HYPERLINK(OFFSET(Biblioteca!$B$2,MATCH(AU16,Biblioteca!$A$3:$A$200,0),0),AU16))</f>
        <v>Mobilidade de Quadril - Cócoras</v>
      </c>
      <c r="AL16" s="109" t="str">
        <f>Montagem!AU166</f>
        <v>Seriado</v>
      </c>
      <c r="AM16" s="110">
        <f>Montagem!AV166</f>
        <v>2</v>
      </c>
      <c r="AN16" s="110">
        <f>Montagem!AW166</f>
        <v>10</v>
      </c>
      <c r="AO16" s="110">
        <f>Montagem!AX166</f>
        <v>10</v>
      </c>
      <c r="AP16" s="110">
        <f>Montagem!AY166</f>
        <v>1</v>
      </c>
      <c r="AQ16" s="110">
        <f>Montagem!AZ166</f>
        <v>1</v>
      </c>
      <c r="AR16" s="105"/>
      <c r="AS16" s="111">
        <f>Montagem!AO166</f>
        <v>1</v>
      </c>
      <c r="AT16" s="106">
        <f>Montagem!BA166</f>
        <v>0</v>
      </c>
      <c r="AU16" s="111" t="str">
        <f>Montagem!AP166</f>
        <v>Mobilidade de Quadril - Cócoras</v>
      </c>
      <c r="AV16" s="111" t="str">
        <f>Montagem!BB166</f>
        <v/>
      </c>
      <c r="AW16" s="106">
        <f>IF(AV16="",AT16,AV16)</f>
        <v>0</v>
      </c>
      <c r="AX16" s="106">
        <f>IF(AT17="C",'Dados de Base'!$D$5*0.1,IF(AT17="E",5,IF(AR16="",AW16,AR16)))</f>
        <v>6.3</v>
      </c>
      <c r="AY16" s="108"/>
      <c r="AZ16" s="102" t="str">
        <f>IF(BL16="","",HYPERLINK(OFFSET(Biblioteca!$B$2,MATCH(BL16,Biblioteca!$A$3:$A$200,0),0),BL16))</f>
        <v>Mobilidade de Quadril - Iliopsoas</v>
      </c>
      <c r="BC16" s="109" t="str">
        <f>Montagem!BJ166</f>
        <v>Seriado</v>
      </c>
      <c r="BD16" s="110">
        <f>Montagem!BK166</f>
        <v>2</v>
      </c>
      <c r="BE16" s="110">
        <f>Montagem!BL166</f>
        <v>10</v>
      </c>
      <c r="BF16" s="110">
        <f>Montagem!BM166</f>
        <v>10</v>
      </c>
      <c r="BG16" s="110">
        <f>Montagem!BN166</f>
        <v>1</v>
      </c>
      <c r="BH16" s="110">
        <f>Montagem!BO166</f>
        <v>2</v>
      </c>
      <c r="BI16" s="112"/>
      <c r="BJ16" s="111">
        <f>Montagem!BD166</f>
        <v>1</v>
      </c>
      <c r="BK16" s="106">
        <f>Montagem!BP166</f>
        <v>0</v>
      </c>
      <c r="BL16" s="111" t="str">
        <f>Montagem!BE166</f>
        <v>Mobilidade de Quadril - Iliopsoas</v>
      </c>
      <c r="BM16" s="111" t="str">
        <f>Montagem!BQ166</f>
        <v/>
      </c>
      <c r="BN16" s="106">
        <f>IF(BM16="",BK16,BM16)</f>
        <v>0</v>
      </c>
      <c r="BO16" s="106">
        <f>IF(BK17="C",'Dados de Base'!$D$5*0.1,IF(BK17="E",5,IF(BI16="",BN16,BI16)))</f>
        <v>6.3</v>
      </c>
      <c r="BP16" s="108"/>
      <c r="BQ16" s="102" t="str">
        <f>IF(CC16="","",HYPERLINK(OFFSET(Biblioteca!$B$2,MATCH(CC16,Biblioteca!$A$3:$A$200,0),0),CC16))</f>
        <v>Mobilidade Torácica na Parede</v>
      </c>
      <c r="BT16" s="109" t="str">
        <f>Montagem!BY166</f>
        <v>Seriado</v>
      </c>
      <c r="BU16" s="109">
        <f>Montagem!BZ166</f>
        <v>2</v>
      </c>
      <c r="BV16" s="109">
        <f>Montagem!CA166</f>
        <v>10</v>
      </c>
      <c r="BW16" s="109">
        <f>Montagem!CB166</f>
        <v>10</v>
      </c>
      <c r="BX16" s="109">
        <f>Montagem!CC166</f>
        <v>1</v>
      </c>
      <c r="BY16" s="109">
        <f>Montagem!CD166</f>
        <v>2</v>
      </c>
      <c r="BZ16" s="113"/>
      <c r="CA16" s="111">
        <f>Montagem!BS166</f>
        <v>1</v>
      </c>
      <c r="CB16" s="106">
        <f>Montagem!CE166</f>
        <v>0</v>
      </c>
      <c r="CC16" s="111" t="str">
        <f>Montagem!BT166</f>
        <v>Mobilidade Torácica na Parede</v>
      </c>
      <c r="CD16" s="111" t="str">
        <f>Montagem!CF166</f>
        <v/>
      </c>
      <c r="CE16" s="106">
        <f>IF(CD16="",CB16,CD16)</f>
        <v>0</v>
      </c>
      <c r="CF16" s="106">
        <f>IF(CB17="C",'Dados de Base'!$D$5*0.1,IF(CB17="E",5,IF(BZ16="",CE16,BZ16)))</f>
        <v>6.3</v>
      </c>
      <c r="CG16" s="108"/>
      <c r="CH16" s="102" t="str">
        <f>IF(CT16="","",HYPERLINK(OFFSET(Biblioteca!$B$2,MATCH(CT16,Biblioteca!$A$3:$A$200,0),0),CT16))</f>
        <v>Mobilidade de Quadril - Cócoras</v>
      </c>
      <c r="CK16" s="109" t="str">
        <f>Montagem!CN166</f>
        <v>Seriado</v>
      </c>
      <c r="CL16" s="110">
        <f>Montagem!CO166</f>
        <v>2</v>
      </c>
      <c r="CM16" s="110">
        <f>Montagem!CP166</f>
        <v>10</v>
      </c>
      <c r="CN16" s="110">
        <f>Montagem!CQ166</f>
        <v>10</v>
      </c>
      <c r="CO16" s="110">
        <f>Montagem!CR166</f>
        <v>1</v>
      </c>
      <c r="CP16" s="110">
        <f>Montagem!CS166</f>
        <v>1</v>
      </c>
      <c r="CQ16" s="113"/>
      <c r="CR16" s="111">
        <f>Montagem!CH166</f>
        <v>1</v>
      </c>
      <c r="CS16" s="106">
        <f>Montagem!CT166</f>
        <v>0</v>
      </c>
      <c r="CT16" s="111" t="str">
        <f>Montagem!CI166</f>
        <v>Mobilidade de Quadril - Cócoras</v>
      </c>
      <c r="CU16" s="111" t="str">
        <f>Montagem!CU166</f>
        <v/>
      </c>
      <c r="CV16" s="106">
        <f>IF(CU16="",CS16,CU16)</f>
        <v>0</v>
      </c>
      <c r="CW16" s="106">
        <f>IF(CS17="C",'Dados de Base'!$D$5*0.1,IF(CS17="E",5,IF(CQ16="",CV16,CQ16)))</f>
        <v>6.3</v>
      </c>
      <c r="CX16" s="108"/>
      <c r="CY16" s="115" t="str">
        <f>IF(DK16="","",HYPERLINK(OFFSET(Biblioteca!$B$2,MATCH(DK16,Biblioteca!$A$3:$A$200,0),0),DK16))</f>
        <v/>
      </c>
      <c r="DB16" s="109" t="str">
        <f>Montagem!DC166</f>
        <v/>
      </c>
      <c r="DC16" s="110" t="str">
        <f>Montagem!DD166</f>
        <v/>
      </c>
      <c r="DD16" s="110" t="str">
        <f>Montagem!DE166</f>
        <v/>
      </c>
      <c r="DE16" s="110" t="str">
        <f>Montagem!DF166</f>
        <v/>
      </c>
      <c r="DF16" s="110" t="str">
        <f>Montagem!DG166</f>
        <v/>
      </c>
      <c r="DG16" s="110" t="str">
        <f>Montagem!DH166</f>
        <v/>
      </c>
      <c r="DH16" s="114"/>
      <c r="DI16" s="111">
        <f>Montagem!CW166</f>
        <v>1</v>
      </c>
      <c r="DJ16" s="106" t="str">
        <f>Montagem!DI166</f>
        <v/>
      </c>
      <c r="DK16" s="111" t="str">
        <f>Montagem!CX166</f>
        <v/>
      </c>
      <c r="DL16" s="111" t="str">
        <f>Montagem!DJ166</f>
        <v/>
      </c>
      <c r="DM16" s="106" t="str">
        <f>IF(DL16="",DJ16,DL16)</f>
        <v/>
      </c>
      <c r="DN16" s="106" t="str">
        <f>IF(DJ17="C",'Dados de Base'!$D$5*0.1,IF(DJ17="E",5,IF(DH16="",DM16,DH16)))</f>
        <v/>
      </c>
      <c r="DO16" s="108"/>
      <c r="DP16" s="116" t="s">
        <v>40</v>
      </c>
      <c r="DQ16" s="106">
        <f>IF(DQ18=0,0,(L80+AC80+AT80+BK80+CB80+CS80+DJ80)/DQ18)</f>
        <v>0</v>
      </c>
      <c r="DR16" s="106"/>
      <c r="DS16" s="106"/>
      <c r="DT16" s="106"/>
      <c r="DU16" s="106"/>
      <c r="DV16" s="106"/>
      <c r="DW16" s="106"/>
      <c r="DX16" s="106"/>
      <c r="DY16" s="106"/>
    </row>
    <row r="17">
      <c r="A17" s="117" t="str">
        <f>IF(A16="","",IFS(L17="A",Montagem!$C$180,N17="T","Realizar a maior quantidade de repetições por "&amp;F16&amp;" segundos | ",N17="I",IF(M17="U","Manter a posição por "&amp;F16&amp;" segundos de um lado e trocar para o outro na sequência | ","Manter a posição por "&amp;F16&amp;" segundos | "),M17="A","Realizar alternadamente "&amp;F16&amp;" repetições cada lado | ",M17="U","Realizar "&amp;F16&amp;" repetições de um lado e trocar para o outro na sequência | ",L17="P",OFFSET(Biblioteca!$H$2,MATCH(M16,Biblioteca!$A$3:$A$200,0),0),TRUE,""))</f>
        <v>Realizar 10 repetições de um lado e trocar para o outro na sequência | </v>
      </c>
      <c r="E17" s="118" t="str">
        <f>IF(A16="","",IFS(L17="H","Carga Sugerida: "&amp;ROUNDUP(O16/2,0)&amp;" kg de cada lado (Total: "&amp;ROUNDUP(O16/2,0)*2&amp;" kg)",L17="C","Este exercício usa o Peso Corporal como carga",L17="E","Este exercício usa a resistência da banda elástica como carga",L17="O","Carga Sugerida: "&amp;INT(O16)&amp;" kg",TRUE,""))</f>
        <v>Este exercício usa o Peso Corporal como carga</v>
      </c>
      <c r="J17" s="66"/>
      <c r="K17" s="119">
        <f>K16</f>
        <v>1</v>
      </c>
      <c r="L17" s="120" t="str">
        <f>LEFT(O17)</f>
        <v>C</v>
      </c>
      <c r="M17" s="121" t="str">
        <f>MID(O17,2,1)</f>
        <v>U</v>
      </c>
      <c r="N17" s="122" t="str">
        <f>RIGHT(O17)</f>
        <v>R</v>
      </c>
      <c r="O17" s="123" t="str">
        <f>IF(M16="","",OFFSET(Biblioteca!$I$2,MATCH(M16,Biblioteca!$A$3:$A$200,0),0))</f>
        <v>CUR</v>
      </c>
      <c r="P17" s="124"/>
      <c r="Q17" s="125"/>
      <c r="R17" s="117" t="str">
        <f>IF(R16="","",IFS(AC17="A",Montagem!$D$180,AE17="T","Realizar a maior quantidade de repetições por "&amp;W16&amp;" segundos | ",AE17="I",IF(AD17="U","Manter a posição por "&amp;W16&amp;" segundos de um lado e trocar para o outro na sequência | ","Manter a posição por "&amp;W16&amp;" segundos | "),AD17="A","Realizar alternadamente "&amp;W16&amp;" repetições cada lado | ",AD17="U","Realizar "&amp;W16&amp;" repetições de um lado e trocar para o outro na sequência | ",AC17="P",OFFSET(Biblioteca!$H$2,MATCH(AD16,Biblioteca!$A$3:$A$200,0),0),TRUE,""))</f>
        <v>Realizar 10 repetições de um lado e trocar para o outro na sequência | </v>
      </c>
      <c r="V17" s="118" t="str">
        <f>IF(R16="","",IFS(AC17="H","Carga Sugerida: "&amp;ROUNDUP(AF16/2,0)&amp;" kg de cada lado (Total: "&amp;ROUNDUP(AF16/2,0)*2&amp;" kg)",AC17="C","Este exercício usa o Peso Corporal como carga",AC17="E","Este exercício usa a resistência da banda elástica como carga",AC17="O","Carga Sugerida: "&amp;INT(AF16)&amp;" kg",TRUE,""))</f>
        <v>Este exercício usa o Peso Corporal como carga</v>
      </c>
      <c r="AA17" s="66"/>
      <c r="AB17" s="126">
        <f>AB16</f>
        <v>1</v>
      </c>
      <c r="AC17" s="120" t="str">
        <f>LEFT(AF17)</f>
        <v>C</v>
      </c>
      <c r="AD17" s="121" t="str">
        <f>MID(AF17,2,1)</f>
        <v>U</v>
      </c>
      <c r="AE17" s="122" t="str">
        <f>RIGHT(AF17)</f>
        <v>R</v>
      </c>
      <c r="AF17" s="123" t="str">
        <f>IF(AD16="","",OFFSET(Biblioteca!$I$2,MATCH(AD16,Biblioteca!$A$3:$A$200,0),0))</f>
        <v>CUR</v>
      </c>
      <c r="AG17" s="124"/>
      <c r="AH17" s="125"/>
      <c r="AI17" s="117" t="str">
        <f>IF(AI16="","",IFS(AT17="A",Montagem!$E$180,AV17="T","Realizar a maior quantidade de repetições por "&amp;AN16&amp;" segundos | ",AV17="I",IF(AU17="U","Manter a posição por "&amp;AN16&amp;" segundos de um lado e trocar para o outro na sequência | ","Manter a posição por "&amp;AN16&amp;" segundos | "),AU17="A","Realizar alternadamente "&amp;AN16&amp;" repetições cada lado | ",AU17="U","Realizar "&amp;AN16&amp;" repetições de um lado e trocar para o outro na sequência | ",AT17="P",OFFSET(Biblioteca!$H$2,MATCH(AU16,Biblioteca!$A$3:$A$200,0),0),TRUE,""))</f>
        <v>Manter a posição por 10 segundos | </v>
      </c>
      <c r="AM17" s="118" t="str">
        <f>IF(AI16="","",IFS(AT17="H","Carga Sugerida: "&amp;ROUNDUP(AW16/2,0)&amp;" kg de cada lado (Total: "&amp;ROUNDUP(AW16/2,0)*2&amp;" kg)",AT17="C","Este exercício usa o Peso Corporal como carga",AT17="E","Este exercício usa a resistência da banda elástica como carga",AT17="O","Carga Sugerida: "&amp;INT(AW16)&amp;" kg",TRUE,""))</f>
        <v>Este exercício usa o Peso Corporal como carga</v>
      </c>
      <c r="AR17" s="66"/>
      <c r="AS17" s="126">
        <f>AS16</f>
        <v>1</v>
      </c>
      <c r="AT17" s="120" t="str">
        <f>LEFT(AW17)</f>
        <v>C</v>
      </c>
      <c r="AU17" s="121" t="str">
        <f>MID(AW17,2,1)</f>
        <v>O</v>
      </c>
      <c r="AV17" s="122" t="str">
        <f>RIGHT(AW17)</f>
        <v>I</v>
      </c>
      <c r="AW17" s="123" t="str">
        <f>IF(AU16="","",OFFSET(Biblioteca!$I$2,MATCH(AU16,Biblioteca!$A$3:$A$200,0),0))</f>
        <v>COI</v>
      </c>
      <c r="AX17" s="124"/>
      <c r="AY17" s="125"/>
      <c r="AZ17" s="117" t="str">
        <f>IF(AZ16="","",IFS(BK17="A",Montagem!$F$180,BM17="T","Realizar a maior quantidade de repetições por "&amp;BE16&amp;" segundos | ",BM17="I",IF(BL17="U","Manter a posição por "&amp;BE16&amp;" segundos de um lado e trocar para o outro na sequência | ","Manter a posição por "&amp;BE16&amp;" segundos | "),BL17="A","Realizar alternadamente "&amp;BE16&amp;" repetições cada lado | ",BL17="U","Realizar "&amp;BE16&amp;" repetições de um lado e trocar para o outro na sequência | ",BK17="P",OFFSET(Biblioteca!$H$2,MATCH(BL16,Biblioteca!$A$3:$A$200,0),0),TRUE,""))</f>
        <v/>
      </c>
      <c r="BD17" s="118" t="str">
        <f>IF(AZ16="","",IFS(BK17="H","Carga Sugerida: "&amp;ROUNDUP(BN16/2,0)&amp;" kg de cada lado (Total: "&amp;ROUNDUP(BN16/2,0)*2&amp;" kg)",BK17="C","Este exercício usa o Peso Corporal como carga",BK17="E","Este exercício usa a resistência da banda elástica como carga",BK17="O","Carga Sugerida: "&amp;INT(BN16)&amp;" kg",TRUE,""))</f>
        <v>Este exercício usa o Peso Corporal como carga</v>
      </c>
      <c r="BI17" s="66"/>
      <c r="BJ17" s="126">
        <f>BJ16</f>
        <v>1</v>
      </c>
      <c r="BK17" s="120" t="str">
        <f>LEFT(BN17)</f>
        <v>C</v>
      </c>
      <c r="BL17" s="121" t="str">
        <f>MID(BN17,2,1)</f>
        <v>O</v>
      </c>
      <c r="BM17" s="122" t="str">
        <f>RIGHT(BN17)</f>
        <v>R</v>
      </c>
      <c r="BN17" s="123" t="str">
        <f>IF(BL16="","",OFFSET(Biblioteca!$I$2,MATCH(BL16,Biblioteca!$A$3:$A$200,0),0))</f>
        <v>COR</v>
      </c>
      <c r="BO17" s="124"/>
      <c r="BP17" s="125"/>
      <c r="BQ17" s="117" t="str">
        <f>IF(BQ16="","",IFS(CB17="A",Montagem!$G$180,CD17="T","Realizar a maior quantidade de repetições por "&amp;BV16&amp;" segundos | ",CD17="I",IF(CC17="U","Manter a posição por "&amp;BV16&amp;" segundos de um lado e trocar para o outro na sequência | ","Manter a posição por "&amp;BV16&amp;" segundos | "),CC17="A","Realizar alternadamente "&amp;BV16&amp;" repetições cada lado | ",CC17="U","Realizar "&amp;BV16&amp;" repetições de um lado e trocar para o outro na sequência | ",CB17="P",OFFSET(Biblioteca!$H$2,MATCH(CC16,Biblioteca!$A$3:$A$200,0),0),TRUE,""))</f>
        <v>Realizar 10 repetições de um lado e trocar para o outro na sequência | </v>
      </c>
      <c r="BU17" s="118" t="str">
        <f>IF(BQ16="","",IFS(CB17="H","Carga Sugerida: "&amp;ROUNDUP(CE16/2,0)&amp;" kg de cada lado (Total: "&amp;ROUNDUP(CE16/2,0)*2&amp;" kg)",CB17="C","Este exercício usa o Peso Corporal como carga",CB17="E","Este exercício usa a resistência da banda elástica como carga",CB17="O","Carga Sugerida: "&amp;INT(CE16)&amp;" kg",TRUE,""))</f>
        <v>Este exercício usa o Peso Corporal como carga</v>
      </c>
      <c r="BZ17" s="66"/>
      <c r="CA17" s="126">
        <f>CA16</f>
        <v>1</v>
      </c>
      <c r="CB17" s="120" t="str">
        <f>LEFT(CE17)</f>
        <v>C</v>
      </c>
      <c r="CC17" s="121" t="str">
        <f>MID(CE17,2,1)</f>
        <v>U</v>
      </c>
      <c r="CD17" s="122" t="str">
        <f>RIGHT(CE17)</f>
        <v>R</v>
      </c>
      <c r="CE17" s="123" t="str">
        <f>IF(CC16="","",OFFSET(Biblioteca!$I$2,MATCH(CC16,Biblioteca!$A$3:$A$200,0),0))</f>
        <v>CUR</v>
      </c>
      <c r="CF17" s="124"/>
      <c r="CG17" s="125"/>
      <c r="CH17" s="117" t="str">
        <f>IF(CH16="","",IFS(CS17="A",Montagem!$H$180,CU17="T","Realizar a maior quantidade de repetições por "&amp;CM16&amp;" segundos | ",CU17="I",IF(CT17="U","Manter a posição por "&amp;CM16&amp;" segundos de um lado e trocar para o outro na sequência | ","Manter a posição por "&amp;CM16&amp;" segundos | "),CT17="A","Realizar alternadamente "&amp;CM16&amp;" repetições cada lado | ",CT17="U","Realizar "&amp;CM16&amp;" repetições de um lado e trocar para o outro na sequência | ",CS17="P",OFFSET(Biblioteca!$H$2,MATCH(CT16,Biblioteca!$A$3:$A$200,0),0),TRUE,""))</f>
        <v>Manter a posição por 10 segundos | </v>
      </c>
      <c r="CL17" s="118" t="str">
        <f>IF(CH16="","",IFS(CS17="H","Carga Sugerida: "&amp;ROUNDUP(CV16/2,0)&amp;" kg de cada lado (Total: "&amp;ROUNDUP(CV16/2,0)*2&amp;" kg)",CS17="C","Este exercício usa o Peso Corporal como carga",CS17="E","Este exercício usa a resistência da banda elástica como carga",CS17="O","Carga Sugerida: "&amp;INT(CV16)&amp;" kg",TRUE,""))</f>
        <v>Este exercício usa o Peso Corporal como carga</v>
      </c>
      <c r="CQ17" s="66"/>
      <c r="CR17" s="126">
        <f>CR16</f>
        <v>1</v>
      </c>
      <c r="CS17" s="120" t="str">
        <f>LEFT(CV17)</f>
        <v>C</v>
      </c>
      <c r="CT17" s="121" t="str">
        <f>MID(CV17,2,1)</f>
        <v>O</v>
      </c>
      <c r="CU17" s="122" t="str">
        <f>RIGHT(CV17)</f>
        <v>I</v>
      </c>
      <c r="CV17" s="123" t="str">
        <f>IF(CT16="","",OFFSET(Biblioteca!$I$2,MATCH(CT16,Biblioteca!$A$3:$A$200,0),0))</f>
        <v>COI</v>
      </c>
      <c r="CW17" s="124"/>
      <c r="CX17" s="125"/>
      <c r="CY17" s="117" t="str">
        <f>IF(CY16="","",IFS(DJ17="A",Montagem!$I$180,DL17="T","Realizar a maior quantidade de repetições por "&amp;DD16&amp;" segundos | ",DL17="I",IF(DK17="U","Manter a posição por "&amp;DD16&amp;" segundos de um lado e trocar para o outro na sequência | ","Manter a posição por "&amp;DD16&amp;" segundos | "),DK17="A","Realizar alternadamente "&amp;DD16&amp;" repetições cada lado | ",DK17="U","Realizar "&amp;DD16&amp;" repetições de um lado e trocar para o outro na sequência | ",DJ17="P",OFFSET(Biblioteca!$H$2,MATCH(DK16,Biblioteca!$A$3:$A$200,0),0),TRUE,""))</f>
        <v/>
      </c>
      <c r="DC17" s="118" t="str">
        <f>IF(CY16="","",IFS(DJ17="H","Carga Sugerida: "&amp;ROUNDUP(DM16/2,0)&amp;" kg de cada lado (Total: "&amp;ROUNDUP(DM16/2,0)*2&amp;" kg)",DJ17="C","Este exercício usa o Peso Corporal como carga",DJ17="E","Este exercício usa a resistência da banda elástica como carga",DJ17="O","Carga Sugerida: "&amp;INT(DM16)&amp;" kg",TRUE,""))</f>
        <v/>
      </c>
      <c r="DH17" s="66"/>
      <c r="DI17" s="126">
        <f>DI16</f>
        <v>1</v>
      </c>
      <c r="DJ17" s="120" t="str">
        <f>LEFT(DM17)</f>
        <v/>
      </c>
      <c r="DK17" s="121" t="str">
        <f>MID(DM17,2,1)</f>
        <v/>
      </c>
      <c r="DL17" s="122" t="str">
        <f>RIGHT(DM17)</f>
        <v/>
      </c>
      <c r="DM17" s="123" t="str">
        <f>IF(DK16="","",OFFSET(Biblioteca!$I$2,MATCH(DK16,Biblioteca!$A$3:$A$200,0),0))</f>
        <v/>
      </c>
      <c r="DN17" s="124"/>
      <c r="DO17" s="125"/>
      <c r="DP17" s="73" t="s">
        <v>41</v>
      </c>
      <c r="DQ17" s="56">
        <f>J2</f>
        <v>6</v>
      </c>
      <c r="DR17" s="56"/>
      <c r="DS17" s="56"/>
      <c r="DT17" s="56"/>
      <c r="DU17" s="56"/>
      <c r="DV17" s="56"/>
      <c r="DW17" s="56"/>
      <c r="DX17" s="56"/>
      <c r="DY17" s="56"/>
    </row>
    <row r="18">
      <c r="A18" s="102" t="str">
        <f>IF(M18="","",HYPERLINK(OFFSET(Biblioteca!$B$2,MATCH(M18,Biblioteca!$A$3:$A$200,0),0),M18))</f>
        <v>Mobilidade de Ombro I</v>
      </c>
      <c r="D18" s="103" t="str">
        <f>Montagem!Q167</f>
        <v>Seriado</v>
      </c>
      <c r="E18" s="127">
        <f>Montagem!R167</f>
        <v>2</v>
      </c>
      <c r="F18" s="104">
        <f>Montagem!S167</f>
        <v>10</v>
      </c>
      <c r="G18" s="104">
        <f>Montagem!T167</f>
        <v>10</v>
      </c>
      <c r="H18" s="127">
        <f>Montagem!U167</f>
        <v>1</v>
      </c>
      <c r="I18" s="104">
        <f>Montagem!V167</f>
        <v>1</v>
      </c>
      <c r="J18" s="105"/>
      <c r="K18" s="106">
        <f>Montagem!K167</f>
        <v>2</v>
      </c>
      <c r="L18" s="111">
        <f>Montagem!W167</f>
        <v>0</v>
      </c>
      <c r="M18" s="106" t="str">
        <f>Montagem!L167</f>
        <v>Mobilidade de Ombro I</v>
      </c>
      <c r="N18" s="111" t="str">
        <f>Montagem!X167</f>
        <v/>
      </c>
      <c r="O18" s="106">
        <f>IF(N18="",L18,N18)</f>
        <v>0</v>
      </c>
      <c r="P18" s="106">
        <f>IF(L19="C",'Dados de Base'!$D$5*0.1,IF(L19="E",5,IF(J18="",O18,J18)))</f>
        <v>5</v>
      </c>
      <c r="Q18" s="108"/>
      <c r="R18" s="102" t="str">
        <f>IF(AD18="","",HYPERLINK(OFFSET(Biblioteca!$B$2,MATCH(AD18,Biblioteca!$A$3:$A$200,0),0),AD18))</f>
        <v>Mobilidade Posterior de Coxa</v>
      </c>
      <c r="U18" s="109" t="str">
        <f>Montagem!AF167</f>
        <v>Seriado</v>
      </c>
      <c r="V18" s="110">
        <f>Montagem!AG167</f>
        <v>2</v>
      </c>
      <c r="W18" s="110">
        <f>Montagem!AH167</f>
        <v>10</v>
      </c>
      <c r="X18" s="110">
        <f>Montagem!AI167</f>
        <v>10</v>
      </c>
      <c r="Y18" s="110">
        <f>Montagem!AJ167</f>
        <v>1</v>
      </c>
      <c r="Z18" s="110">
        <f>Montagem!AK167</f>
        <v>1</v>
      </c>
      <c r="AA18" s="105"/>
      <c r="AB18" s="111">
        <f>Montagem!Z167</f>
        <v>2</v>
      </c>
      <c r="AC18" s="111">
        <f>Montagem!AL167</f>
        <v>0</v>
      </c>
      <c r="AD18" s="129" t="str">
        <f>Montagem!AA167</f>
        <v>Mobilidade Posterior de Coxa</v>
      </c>
      <c r="AE18" s="111" t="str">
        <f>Montagem!AM167</f>
        <v/>
      </c>
      <c r="AF18" s="106">
        <f>IF(AE18="",AC18,AE18)</f>
        <v>0</v>
      </c>
      <c r="AG18" s="106">
        <f>IF(AC19="C",'Dados de Base'!$D$5*0.1,IF(AC19="E",5,IF(AA18="",AF18,AA18)))</f>
        <v>6.3</v>
      </c>
      <c r="AH18" s="108"/>
      <c r="AI18" s="102" t="str">
        <f>IF(AU18="","",HYPERLINK(OFFSET(Biblioteca!$B$2,MATCH(AU18,Biblioteca!$A$3:$A$200,0),0),AU18))</f>
        <v>Mobilidade de tornozelo</v>
      </c>
      <c r="AL18" s="109" t="str">
        <f>Montagem!AU167</f>
        <v>Seriado</v>
      </c>
      <c r="AM18" s="110">
        <f>Montagem!AV167</f>
        <v>2</v>
      </c>
      <c r="AN18" s="110">
        <f>Montagem!AW167</f>
        <v>10</v>
      </c>
      <c r="AO18" s="110">
        <f>Montagem!AX167</f>
        <v>10</v>
      </c>
      <c r="AP18" s="110">
        <f>Montagem!AY167</f>
        <v>1</v>
      </c>
      <c r="AQ18" s="110">
        <f>Montagem!AZ167</f>
        <v>1</v>
      </c>
      <c r="AR18" s="105"/>
      <c r="AS18" s="111">
        <f>Montagem!AO167</f>
        <v>2</v>
      </c>
      <c r="AT18" s="111">
        <f>Montagem!BA167</f>
        <v>0</v>
      </c>
      <c r="AU18" s="111" t="str">
        <f>Montagem!AP167</f>
        <v>Mobilidade de tornozelo</v>
      </c>
      <c r="AV18" s="111" t="str">
        <f>Montagem!BB167</f>
        <v/>
      </c>
      <c r="AW18" s="106">
        <f>IF(AV18="",AT18,AV18)</f>
        <v>0</v>
      </c>
      <c r="AX18" s="106">
        <f>IF(AT19="C",'Dados de Base'!$D$5*0.1,IF(AT19="E",5,IF(AR18="",AW18,AR18)))</f>
        <v>6.3</v>
      </c>
      <c r="AY18" s="108"/>
      <c r="AZ18" s="102" t="str">
        <f>IF(BL18="","",HYPERLINK(OFFSET(Biblioteca!$B$2,MATCH(BL18,Biblioteca!$A$3:$A$200,0),0),BL18))</f>
        <v>Rotação Externa com Elástico</v>
      </c>
      <c r="BC18" s="109" t="str">
        <f>Montagem!BJ167</f>
        <v>Seriado</v>
      </c>
      <c r="BD18" s="110">
        <f>Montagem!BK167</f>
        <v>2</v>
      </c>
      <c r="BE18" s="110">
        <f>Montagem!BL167</f>
        <v>10</v>
      </c>
      <c r="BF18" s="110">
        <f>Montagem!BM167</f>
        <v>10</v>
      </c>
      <c r="BG18" s="110">
        <f>Montagem!BN167</f>
        <v>1</v>
      </c>
      <c r="BH18" s="110">
        <f>Montagem!BO167</f>
        <v>2</v>
      </c>
      <c r="BI18" s="112"/>
      <c r="BJ18" s="111">
        <f>Montagem!BD167</f>
        <v>2</v>
      </c>
      <c r="BK18" s="111">
        <f>Montagem!BP167</f>
        <v>0</v>
      </c>
      <c r="BL18" s="111" t="str">
        <f>Montagem!BE167</f>
        <v>Rotação Externa com Elástico</v>
      </c>
      <c r="BM18" s="111" t="str">
        <f>Montagem!BQ167</f>
        <v/>
      </c>
      <c r="BN18" s="106">
        <f>IF(BM18="",BK18,BM18)</f>
        <v>0</v>
      </c>
      <c r="BO18" s="106">
        <f>IF(BK19="C",'Dados de Base'!$D$5*0.1,IF(BK19="E",5,IF(BI18="",BN18,BI18)))</f>
        <v>5</v>
      </c>
      <c r="BP18" s="108"/>
      <c r="BQ18" s="102" t="str">
        <f>IF(CC18="","",HYPERLINK(OFFSET(Biblioteca!$B$2,MATCH(CC18,Biblioteca!$A$3:$A$200,0),0),CC18))</f>
        <v>Rotação Externa com Elástico</v>
      </c>
      <c r="BT18" s="109" t="str">
        <f>Montagem!BY167</f>
        <v>Seriado</v>
      </c>
      <c r="BU18" s="110">
        <f>Montagem!BZ167</f>
        <v>2</v>
      </c>
      <c r="BV18" s="110">
        <f>Montagem!CA167</f>
        <v>10</v>
      </c>
      <c r="BW18" s="110">
        <f>Montagem!CB167</f>
        <v>10</v>
      </c>
      <c r="BX18" s="110">
        <f>Montagem!CC167</f>
        <v>1</v>
      </c>
      <c r="BY18" s="110">
        <f>Montagem!CD167</f>
        <v>2</v>
      </c>
      <c r="BZ18" s="113"/>
      <c r="CA18" s="111">
        <f>Montagem!BS167</f>
        <v>2</v>
      </c>
      <c r="CB18" s="111">
        <f>Montagem!CE167</f>
        <v>0</v>
      </c>
      <c r="CC18" s="111" t="str">
        <f>Montagem!BT167</f>
        <v>Rotação Externa com Elástico</v>
      </c>
      <c r="CD18" s="111" t="str">
        <f>Montagem!CF167</f>
        <v/>
      </c>
      <c r="CE18" s="106">
        <f>IF(CD18="",CB18,CD18)</f>
        <v>0</v>
      </c>
      <c r="CF18" s="106">
        <f>IF(CB19="C",'Dados de Base'!$D$5*0.1,IF(CB19="E",5,IF(BZ18="",CE18,BZ18)))</f>
        <v>5</v>
      </c>
      <c r="CG18" s="108"/>
      <c r="CH18" s="102" t="str">
        <f>IF(CT18="","",HYPERLINK(OFFSET(Biblioteca!$B$2,MATCH(CT18,Biblioteca!$A$3:$A$200,0),0),CT18))</f>
        <v>Mobilidade de tornozelo</v>
      </c>
      <c r="CK18" s="109" t="str">
        <f>Montagem!CN167</f>
        <v>Seriado</v>
      </c>
      <c r="CL18" s="110">
        <f>Montagem!CO167</f>
        <v>2</v>
      </c>
      <c r="CM18" s="110">
        <f>Montagem!CP167</f>
        <v>10</v>
      </c>
      <c r="CN18" s="110">
        <f>Montagem!CQ167</f>
        <v>10</v>
      </c>
      <c r="CO18" s="110">
        <f>Montagem!CR167</f>
        <v>1</v>
      </c>
      <c r="CP18" s="110">
        <f>Montagem!CS167</f>
        <v>1</v>
      </c>
      <c r="CQ18" s="113"/>
      <c r="CR18" s="111">
        <f>Montagem!CH167</f>
        <v>2</v>
      </c>
      <c r="CS18" s="111">
        <f>Montagem!CT167</f>
        <v>0</v>
      </c>
      <c r="CT18" s="111" t="str">
        <f>Montagem!CI167</f>
        <v>Mobilidade de tornozelo</v>
      </c>
      <c r="CU18" s="111" t="str">
        <f>Montagem!CU167</f>
        <v/>
      </c>
      <c r="CV18" s="106">
        <f>IF(CU18="",CS18,CU18)</f>
        <v>0</v>
      </c>
      <c r="CW18" s="106">
        <f>IF(CS19="C",'Dados de Base'!$D$5*0.1,IF(CS19="E",5,IF(CQ18="",CV18,CQ18)))</f>
        <v>6.3</v>
      </c>
      <c r="CX18" s="108"/>
      <c r="CY18" s="115" t="str">
        <f>IF(DK18="","",HYPERLINK(OFFSET(Biblioteca!$B$2,MATCH(DK18,Biblioteca!$A$3:$A$200,0),0),DK18))</f>
        <v/>
      </c>
      <c r="DB18" s="130" t="str">
        <f>Montagem!DC167</f>
        <v/>
      </c>
      <c r="DC18" s="131" t="str">
        <f>Montagem!DD167</f>
        <v/>
      </c>
      <c r="DD18" s="131" t="str">
        <f>Montagem!DE167</f>
        <v/>
      </c>
      <c r="DE18" s="131" t="str">
        <f>Montagem!DF167</f>
        <v/>
      </c>
      <c r="DF18" s="131" t="str">
        <f>Montagem!DG167</f>
        <v/>
      </c>
      <c r="DG18" s="131" t="str">
        <f>Montagem!DH167</f>
        <v/>
      </c>
      <c r="DH18" s="114"/>
      <c r="DI18" s="111">
        <f>Montagem!CW167</f>
        <v>1</v>
      </c>
      <c r="DJ18" s="111" t="str">
        <f>Montagem!DI167</f>
        <v/>
      </c>
      <c r="DK18" s="111" t="str">
        <f>Montagem!CX167</f>
        <v/>
      </c>
      <c r="DL18" s="111" t="str">
        <f>Montagem!DJ167</f>
        <v/>
      </c>
      <c r="DM18" s="106" t="str">
        <f>IF(DL18="",DJ18,DL18)</f>
        <v/>
      </c>
      <c r="DN18" s="106" t="str">
        <f>IF(DJ19="C",'Dados de Base'!$D$5*0.1,IF(DJ19="E",5,IF(DH18="",DM18,DH18)))</f>
        <v/>
      </c>
      <c r="DO18" s="108"/>
      <c r="DP18" s="116" t="s">
        <v>42</v>
      </c>
      <c r="DQ18" s="106">
        <f>IF(L80=0,0,1)+IF(AC80=0,0,1)+IF(AT80=0,0,1)+IF(BK80=0,0,1)+IF(CB80=0,0,1)+IF(CS80=0,0,1)+IF(DJ80=0,0,1)</f>
        <v>0</v>
      </c>
      <c r="DR18" s="106"/>
      <c r="DS18" s="106"/>
      <c r="DT18" s="106"/>
      <c r="DU18" s="106"/>
      <c r="DV18" s="106"/>
      <c r="DW18" s="106"/>
      <c r="DX18" s="106"/>
      <c r="DY18" s="106"/>
    </row>
    <row r="19">
      <c r="A19" s="117" t="str">
        <f>IF(A18="","",IFS(L19="A",Montagem!$C$180,N19="T","Realizar a maior quantidade de repetições por "&amp;F18&amp;" segundos | ",N19="I",IF(M19="U","Manter a posição por "&amp;F18&amp;" segundos de um lado e trocar para o outro na sequência | ","Manter a posição por "&amp;F18&amp;" segundos | "),M19="A","Realizar alternadamente "&amp;F18&amp;" repetições cada lado | ",M19="U","Realizar "&amp;F18&amp;" repetições de um lado e trocar para o outro na sequência | ",L19="P",OFFSET(Biblioteca!$H$2,MATCH(M18,Biblioteca!$A$3:$A$200,0),0),TRUE,""))</f>
        <v/>
      </c>
      <c r="E19" s="118" t="str">
        <f>IF(A18="","",IFS(L19="H","Carga Sugerida: "&amp;ROUNDUP(O18/2,0)&amp;" kg de cada lado (Total: "&amp;ROUNDUP(O18/2,0)*2&amp;" kg)",L19="C","Este exercício usa o Peso Corporal como carga",L19="E","Este exercício usa a resistência da banda elástica como carga",L19="O","Carga Sugerida: "&amp;INT(O18)&amp;" kg",TRUE,""))</f>
        <v>Este exercício usa a resistência da banda elástica como carga</v>
      </c>
      <c r="J19" s="66"/>
      <c r="K19" s="119">
        <f>K18</f>
        <v>2</v>
      </c>
      <c r="L19" s="120" t="str">
        <f>LEFT(O19)</f>
        <v>E</v>
      </c>
      <c r="M19" s="121" t="str">
        <f>MID(O19,2,1)</f>
        <v>O</v>
      </c>
      <c r="N19" s="122" t="str">
        <f>RIGHT(O19)</f>
        <v>R</v>
      </c>
      <c r="O19" s="123" t="str">
        <f>IF(M18="","",OFFSET(Biblioteca!$I$2,MATCH(M18,Biblioteca!$A$3:$A$200,0),0))</f>
        <v>EOR</v>
      </c>
      <c r="P19" s="124"/>
      <c r="Q19" s="125"/>
      <c r="R19" s="117" t="str">
        <f>IF(R18="","",IFS(AC19="A",Montagem!$D$180,AE19="T","Realizar a maior quantidade de repetições por "&amp;W18&amp;" segundos | ",AE19="I",IF(AD19="U","Manter a posição por "&amp;W18&amp;" segundos de um lado e trocar para o outro na sequência | ","Manter a posição por "&amp;W18&amp;" segundos | "),AD19="A","Realizar alternadamente "&amp;W18&amp;" repetições cada lado | ",AD19="U","Realizar "&amp;W18&amp;" repetições de um lado e trocar para o outro na sequência | ",AC19="P",OFFSET(Biblioteca!$H$2,MATCH(AD18,Biblioteca!$A$3:$A$200,0),0),TRUE,""))</f>
        <v/>
      </c>
      <c r="V19" s="118" t="str">
        <f>IF(R18="","",IFS(AC19="H","Carga Sugerida: "&amp;ROUNDUP(AF18/2,0)&amp;" kg de cada lado (Total: "&amp;ROUNDUP(AF18/2,0)*2&amp;" kg)",AC19="C","Este exercício usa o Peso Corporal como carga",AC19="E","Este exercício usa a resistência da banda elástica como carga",AC19="O","Carga Sugerida: "&amp;INT(AF18)&amp;" kg",TRUE,""))</f>
        <v>Este exercício usa o Peso Corporal como carga</v>
      </c>
      <c r="AA19" s="66"/>
      <c r="AB19" s="126">
        <f>AB18</f>
        <v>2</v>
      </c>
      <c r="AC19" s="120" t="str">
        <f>LEFT(AF19)</f>
        <v>C</v>
      </c>
      <c r="AD19" s="121" t="str">
        <f>MID(AF19,2,1)</f>
        <v>O</v>
      </c>
      <c r="AE19" s="122" t="str">
        <f>RIGHT(AF19)</f>
        <v>R</v>
      </c>
      <c r="AF19" s="123" t="str">
        <f>IF(AD18="","",OFFSET(Biblioteca!$I$2,MATCH(AD18,Biblioteca!$A$3:$A$200,0),0))</f>
        <v>COR</v>
      </c>
      <c r="AG19" s="124"/>
      <c r="AH19" s="125"/>
      <c r="AI19" s="117" t="str">
        <f>IF(AI18="","",IFS(AT19="A",Montagem!$E$180,AV19="T","Realizar a maior quantidade de repetições por "&amp;AN18&amp;" segundos | ",AV19="I",IF(AU19="U","Manter a posição por "&amp;AN18&amp;" segundos de um lado e trocar para o outro na sequência | ","Manter a posição por "&amp;AN18&amp;" segundos | "),AU19="A","Realizar alternadamente "&amp;AN18&amp;" repetições cada lado | ",AU19="U","Realizar "&amp;AN18&amp;" repetições de um lado e trocar para o outro na sequência | ",AT19="P",OFFSET(Biblioteca!$H$2,MATCH(AU18,Biblioteca!$A$3:$A$200,0),0),TRUE,""))</f>
        <v>Realizar 10 repetições de um lado e trocar para o outro na sequência | </v>
      </c>
      <c r="AM19" s="118" t="str">
        <f>IF(AI18="","",IFS(AT19="H","Carga Sugerida: "&amp;ROUNDUP(AW18/2,0)&amp;" kg de cada lado (Total: "&amp;ROUNDUP(AW18/2,0)*2&amp;" kg)",AT19="C","Este exercício usa o Peso Corporal como carga",AT19="E","Este exercício usa a resistência da banda elástica como carga",AT19="O","Carga Sugerida: "&amp;INT(AW18)&amp;" kg",TRUE,""))</f>
        <v>Este exercício usa o Peso Corporal como carga</v>
      </c>
      <c r="AR19" s="66"/>
      <c r="AS19" s="126">
        <f>AS18</f>
        <v>2</v>
      </c>
      <c r="AT19" s="120" t="str">
        <f>LEFT(AW19)</f>
        <v>C</v>
      </c>
      <c r="AU19" s="121" t="str">
        <f>MID(AW19,2,1)</f>
        <v>U</v>
      </c>
      <c r="AV19" s="122" t="str">
        <f>RIGHT(AW19)</f>
        <v>R</v>
      </c>
      <c r="AW19" s="123" t="str">
        <f>IF(AU18="","",OFFSET(Biblioteca!$I$2,MATCH(AU18,Biblioteca!$A$3:$A$200,0),0))</f>
        <v>CUR</v>
      </c>
      <c r="AX19" s="124"/>
      <c r="AY19" s="125"/>
      <c r="AZ19" s="117" t="str">
        <f>IF(AZ18="","",IFS(BK19="A",Montagem!$F$180,BM19="T","Realizar a maior quantidade de repetições por "&amp;BE18&amp;" segundos | ",BM19="I",IF(BL19="U","Manter a posição por "&amp;BE18&amp;" segundos de um lado e trocar para o outro na sequência | ","Manter a posição por "&amp;BE18&amp;" segundos | "),BL19="A","Realizar alternadamente "&amp;BE18&amp;" repetições cada lado | ",BL19="U","Realizar "&amp;BE18&amp;" repetições de um lado e trocar para o outro na sequência | ",BK19="P",OFFSET(Biblioteca!$H$2,MATCH(BL18,Biblioteca!$A$3:$A$200,0),0),TRUE,""))</f>
        <v/>
      </c>
      <c r="BD19" s="118" t="str">
        <f>IF(AZ18="","",IFS(BK19="H","Carga Sugerida: "&amp;ROUNDUP(BN18/2,0)&amp;" kg de cada lado (Total: "&amp;ROUNDUP(BN18/2,0)*2&amp;" kg)",BK19="C","Este exercício usa o Peso Corporal como carga",BK19="E","Este exercício usa a resistência da banda elástica como carga",BK19="O","Carga Sugerida: "&amp;INT(BN18)&amp;" kg",TRUE,""))</f>
        <v>Este exercício usa a resistência da banda elástica como carga</v>
      </c>
      <c r="BI19" s="66"/>
      <c r="BJ19" s="126">
        <f>BJ18</f>
        <v>2</v>
      </c>
      <c r="BK19" s="120" t="str">
        <f>LEFT(BN19)</f>
        <v>E</v>
      </c>
      <c r="BL19" s="121" t="str">
        <f>MID(BN19,2,1)</f>
        <v>O</v>
      </c>
      <c r="BM19" s="122" t="str">
        <f>RIGHT(BN19)</f>
        <v>R</v>
      </c>
      <c r="BN19" s="123" t="str">
        <f>IF(BL18="","",OFFSET(Biblioteca!$I$2,MATCH(BL18,Biblioteca!$A$3:$A$200,0),0))</f>
        <v>EOR</v>
      </c>
      <c r="BO19" s="124"/>
      <c r="BP19" s="125"/>
      <c r="BQ19" s="117" t="str">
        <f>IF(BQ18="","",IFS(CB19="A",Montagem!$G$180,CD19="T","Realizar a maior quantidade de repetições por "&amp;BV18&amp;" segundos | ",CD19="I",IF(CC19="U","Manter a posição por "&amp;BV18&amp;" segundos de um lado e trocar para o outro na sequência | ","Manter a posição por "&amp;BV18&amp;" segundos | "),CC19="A","Realizar alternadamente "&amp;BV18&amp;" repetições cada lado | ",CC19="U","Realizar "&amp;BV18&amp;" repetições de um lado e trocar para o outro na sequência | ",CB19="P",OFFSET(Biblioteca!$H$2,MATCH(CC18,Biblioteca!$A$3:$A$200,0),0),TRUE,""))</f>
        <v/>
      </c>
      <c r="BU19" s="118" t="str">
        <f>IF(BQ18="","",IFS(CB19="H","Carga Sugerida: "&amp;ROUNDUP(CE18/2,0)&amp;" kg de cada lado (Total: "&amp;ROUNDUP(CE18/2,0)*2&amp;" kg)",CB19="C","Este exercício usa o Peso Corporal como carga",CB19="E","Este exercício usa a resistência da banda elástica como carga",CB19="O","Carga Sugerida: "&amp;INT(CE18)&amp;" kg",TRUE,""))</f>
        <v>Este exercício usa a resistência da banda elástica como carga</v>
      </c>
      <c r="BZ19" s="66"/>
      <c r="CA19" s="126">
        <f>CA18</f>
        <v>2</v>
      </c>
      <c r="CB19" s="120" t="str">
        <f>LEFT(CE19)</f>
        <v>E</v>
      </c>
      <c r="CC19" s="121" t="str">
        <f>MID(CE19,2,1)</f>
        <v>O</v>
      </c>
      <c r="CD19" s="122" t="str">
        <f>RIGHT(CE19)</f>
        <v>R</v>
      </c>
      <c r="CE19" s="123" t="str">
        <f>IF(CC18="","",OFFSET(Biblioteca!$I$2,MATCH(CC18,Biblioteca!$A$3:$A$200,0),0))</f>
        <v>EOR</v>
      </c>
      <c r="CF19" s="124"/>
      <c r="CG19" s="125"/>
      <c r="CH19" s="117" t="str">
        <f>IF(CH18="","",IFS(CS19="A",Montagem!$H$180,CU19="T","Realizar a maior quantidade de repetições por "&amp;CM18&amp;" segundos | ",CU19="I",IF(CT19="U","Manter a posição por "&amp;CM18&amp;" segundos de um lado e trocar para o outro na sequência | ","Manter a posição por "&amp;CM18&amp;" segundos | "),CT19="A","Realizar alternadamente "&amp;CM18&amp;" repetições cada lado | ",CT19="U","Realizar "&amp;CM18&amp;" repetições de um lado e trocar para o outro na sequência | ",CS19="P",OFFSET(Biblioteca!$H$2,MATCH(CT18,Biblioteca!$A$3:$A$200,0),0),TRUE,""))</f>
        <v>Realizar 10 repetições de um lado e trocar para o outro na sequência | </v>
      </c>
      <c r="CL19" s="118" t="str">
        <f>IF(CH18="","",IFS(CS19="H","Carga Sugerida: "&amp;ROUNDUP(CV18/2,0)&amp;" kg de cada lado (Total: "&amp;ROUNDUP(CV18/2,0)*2&amp;" kg)",CS19="C","Este exercício usa o Peso Corporal como carga",CS19="E","Este exercício usa a resistência da banda elástica como carga",CS19="O","Carga Sugerida: "&amp;INT(CV18)&amp;" kg",TRUE,""))</f>
        <v>Este exercício usa o Peso Corporal como carga</v>
      </c>
      <c r="CQ19" s="66"/>
      <c r="CR19" s="126">
        <f>CR18</f>
        <v>2</v>
      </c>
      <c r="CS19" s="120" t="str">
        <f>LEFT(CV19)</f>
        <v>C</v>
      </c>
      <c r="CT19" s="121" t="str">
        <f>MID(CV19,2,1)</f>
        <v>U</v>
      </c>
      <c r="CU19" s="122" t="str">
        <f>RIGHT(CV19)</f>
        <v>R</v>
      </c>
      <c r="CV19" s="123" t="str">
        <f>IF(CT18="","",OFFSET(Biblioteca!$I$2,MATCH(CT18,Biblioteca!$A$3:$A$200,0),0))</f>
        <v>CUR</v>
      </c>
      <c r="CW19" s="124"/>
      <c r="CX19" s="125"/>
      <c r="CY19" s="117" t="str">
        <f>IF(CY18="","",IFS(DJ19="A",Montagem!$I$180,DL19="T","Realizar a maior quantidade de repetições por "&amp;DD18&amp;" segundos | ",DL19="I",IF(DK19="U","Manter a posição por "&amp;DD18&amp;" segundos de um lado e trocar para o outro na sequência | ","Manter a posição por "&amp;DD18&amp;" segundos | "),DK19="A","Realizar alternadamente "&amp;DD18&amp;" repetições cada lado | ",DK19="U","Realizar "&amp;DD18&amp;" repetições de um lado e trocar para o outro na sequência | ",DJ19="P",OFFSET(Biblioteca!$H$2,MATCH(DK18,Biblioteca!$A$3:$A$200,0),0),TRUE,""))</f>
        <v/>
      </c>
      <c r="DC19" s="118" t="str">
        <f>IF(CY18="","",IFS(DJ19="H","Carga Sugerida: "&amp;ROUNDUP(DM18/2,0)&amp;" kg de cada lado (Total: "&amp;ROUNDUP(DM18/2,0)*2&amp;" kg)",DJ19="C","Este exercício usa o Peso Corporal como carga",DJ19="E","Este exercício usa a resistência da banda elástica como carga",DJ19="O","Carga Sugerida: "&amp;INT(DM18)&amp;" kg",TRUE,""))</f>
        <v/>
      </c>
      <c r="DH19" s="66"/>
      <c r="DI19" s="126">
        <f>DI18</f>
        <v>1</v>
      </c>
      <c r="DJ19" s="120" t="str">
        <f>LEFT(DM19)</f>
        <v/>
      </c>
      <c r="DK19" s="121" t="str">
        <f>MID(DM19,2,1)</f>
        <v/>
      </c>
      <c r="DL19" s="122" t="str">
        <f>RIGHT(DM19)</f>
        <v/>
      </c>
      <c r="DM19" s="123" t="str">
        <f>IF(DK18="","",OFFSET(Biblioteca!$I$2,MATCH(DK18,Biblioteca!$A$3:$A$200,0),0))</f>
        <v/>
      </c>
      <c r="DN19" s="124"/>
      <c r="DO19" s="125"/>
      <c r="DP19" s="73" t="s">
        <v>43</v>
      </c>
      <c r="DQ19" s="56">
        <f>IF(DQ17=0,0,DQ18/DQ17)</f>
        <v>0</v>
      </c>
      <c r="DR19" s="56"/>
      <c r="DS19" s="56"/>
      <c r="DT19" s="56"/>
      <c r="DU19" s="56"/>
      <c r="DV19" s="56"/>
      <c r="DW19" s="56"/>
      <c r="DX19" s="56"/>
      <c r="DY19" s="56"/>
    </row>
    <row r="20">
      <c r="A20" s="102" t="str">
        <f>IF(M20="","",HYPERLINK(OFFSET(Biblioteca!$B$2,MATCH(M20,Biblioteca!$A$3:$A$200,0),0),M20))</f>
        <v>Mobilidade Quadril - Sumô</v>
      </c>
      <c r="D20" s="132" t="str">
        <f>Montagem!Q168</f>
        <v>Seriado</v>
      </c>
      <c r="E20" s="104">
        <f>Montagem!R168</f>
        <v>2</v>
      </c>
      <c r="F20" s="104">
        <f>Montagem!S168</f>
        <v>10</v>
      </c>
      <c r="G20" s="127">
        <f>Montagem!T168</f>
        <v>10</v>
      </c>
      <c r="H20" s="127">
        <f>Montagem!U168</f>
        <v>1</v>
      </c>
      <c r="I20" s="104">
        <f>Montagem!V168</f>
        <v>1</v>
      </c>
      <c r="J20" s="105"/>
      <c r="K20" s="106">
        <f>Montagem!K168</f>
        <v>3</v>
      </c>
      <c r="L20" s="111">
        <f>Montagem!W168</f>
        <v>0</v>
      </c>
      <c r="M20" s="111" t="str">
        <f>Montagem!L168</f>
        <v>Mobilidade Quadril - Sumô</v>
      </c>
      <c r="N20" s="111" t="str">
        <f>Montagem!X168</f>
        <v/>
      </c>
      <c r="O20" s="106">
        <f>IF(N20="",L20,N20)</f>
        <v>0</v>
      </c>
      <c r="P20" s="106">
        <f>IF(L21="C",'Dados de Base'!$D$5*0.1,IF(L21="E",5,IF(J20="",O20,J20)))</f>
        <v>6.3</v>
      </c>
      <c r="Q20" s="108"/>
      <c r="R20" s="102" t="str">
        <f>IF(AD20="","",HYPERLINK(OFFSET(Biblioteca!$B$2,MATCH(AD20,Biblioteca!$A$3:$A$200,0),0),AD20))</f>
        <v>Mobilidade de tornozelo</v>
      </c>
      <c r="U20" s="109" t="str">
        <f>Montagem!AF168</f>
        <v>Seriado</v>
      </c>
      <c r="V20" s="110">
        <f>Montagem!AG168</f>
        <v>2</v>
      </c>
      <c r="W20" s="110">
        <f>Montagem!AH168</f>
        <v>10</v>
      </c>
      <c r="X20" s="110">
        <f>Montagem!AI168</f>
        <v>10</v>
      </c>
      <c r="Y20" s="110">
        <f>Montagem!AJ168</f>
        <v>1</v>
      </c>
      <c r="Z20" s="110">
        <f>Montagem!AK168</f>
        <v>1</v>
      </c>
      <c r="AA20" s="105"/>
      <c r="AB20" s="111">
        <f>Montagem!Z168</f>
        <v>3</v>
      </c>
      <c r="AC20" s="111">
        <f>Montagem!AL168</f>
        <v>0</v>
      </c>
      <c r="AD20" s="129" t="str">
        <f>Montagem!AA168</f>
        <v>Mobilidade de tornozelo</v>
      </c>
      <c r="AE20" s="111" t="str">
        <f>Montagem!AM168</f>
        <v/>
      </c>
      <c r="AF20" s="106">
        <f>IF(AE20="",AC20,AE20)</f>
        <v>0</v>
      </c>
      <c r="AG20" s="106">
        <f>IF(AC21="C",'Dados de Base'!$D$5*0.1,IF(AC21="E",5,IF(AA20="",AF20,AA20)))</f>
        <v>6.3</v>
      </c>
      <c r="AH20" s="108"/>
      <c r="AI20" s="102" t="str">
        <f>IF(AU20="","",HYPERLINK(OFFSET(Biblioteca!$B$2,MATCH(AU20,Biblioteca!$A$3:$A$200,0),0),AU20))</f>
        <v>Prancha</v>
      </c>
      <c r="AL20" s="109" t="str">
        <f>Montagem!AU168</f>
        <v>Seriado</v>
      </c>
      <c r="AM20" s="110">
        <f>Montagem!AV168</f>
        <v>1</v>
      </c>
      <c r="AN20" s="110">
        <f>Montagem!AW168</f>
        <v>50</v>
      </c>
      <c r="AO20" s="110">
        <f>Montagem!AX168</f>
        <v>60</v>
      </c>
      <c r="AP20" s="110">
        <f>Montagem!AY168</f>
        <v>0</v>
      </c>
      <c r="AQ20" s="110">
        <f>Montagem!AZ168</f>
        <v>1</v>
      </c>
      <c r="AR20" s="105"/>
      <c r="AS20" s="111">
        <f>Montagem!AO168</f>
        <v>3</v>
      </c>
      <c r="AT20" s="111">
        <f>Montagem!BA168</f>
        <v>0</v>
      </c>
      <c r="AU20" s="111" t="str">
        <f>Montagem!AP168</f>
        <v>Prancha</v>
      </c>
      <c r="AV20" s="111" t="str">
        <f>Montagem!BB168</f>
        <v/>
      </c>
      <c r="AW20" s="106">
        <f>IF(AV20="",AT20,AV20)</f>
        <v>0</v>
      </c>
      <c r="AX20" s="106">
        <f>IF(AT21="C",'Dados de Base'!$D$5*0.1,IF(AT21="E",5,IF(AR20="",AW20,AR20)))</f>
        <v>6.3</v>
      </c>
      <c r="AY20" s="108"/>
      <c r="AZ20" s="102" t="str">
        <f>IF(BL20="","",HYPERLINK(OFFSET(Biblioteca!$B$2,MATCH(BL20,Biblioteca!$A$3:$A$200,0),0),BL20))</f>
        <v>Prancha</v>
      </c>
      <c r="BC20" s="109" t="str">
        <f>Montagem!BJ168</f>
        <v>Seriado</v>
      </c>
      <c r="BD20" s="110">
        <f>Montagem!BK168</f>
        <v>1</v>
      </c>
      <c r="BE20" s="110">
        <f>Montagem!BL168</f>
        <v>50</v>
      </c>
      <c r="BF20" s="110" t="str">
        <f>Montagem!BM168</f>
        <v/>
      </c>
      <c r="BG20" s="110" t="str">
        <f>Montagem!BN168</f>
        <v/>
      </c>
      <c r="BH20" s="110" t="str">
        <f>Montagem!BO168</f>
        <v/>
      </c>
      <c r="BI20" s="112"/>
      <c r="BJ20" s="111">
        <f>Montagem!BD168</f>
        <v>3</v>
      </c>
      <c r="BK20" s="111">
        <f>Montagem!BP168</f>
        <v>0</v>
      </c>
      <c r="BL20" s="111" t="str">
        <f>Montagem!BE168</f>
        <v>Prancha</v>
      </c>
      <c r="BM20" s="111" t="str">
        <f>Montagem!BQ168</f>
        <v/>
      </c>
      <c r="BN20" s="106">
        <f>IF(BM20="",BK20,BM20)</f>
        <v>0</v>
      </c>
      <c r="BO20" s="106">
        <f>IF(BK21="C",'Dados de Base'!$D$5*0.1,IF(BK21="E",5,IF(BI20="",BN20,BI20)))</f>
        <v>6.3</v>
      </c>
      <c r="BP20" s="108"/>
      <c r="BQ20" s="102" t="str">
        <f>IF(CC20="","",HYPERLINK(OFFSET(Biblioteca!$B$2,MATCH(CC20,Biblioteca!$A$3:$A$200,0),0),CC20))</f>
        <v>Prancha</v>
      </c>
      <c r="BT20" s="109" t="str">
        <f>Montagem!BY168</f>
        <v>Seriado</v>
      </c>
      <c r="BU20" s="110">
        <f>Montagem!BZ168</f>
        <v>1</v>
      </c>
      <c r="BV20" s="110">
        <f>Montagem!CA168</f>
        <v>50</v>
      </c>
      <c r="BW20" s="110" t="str">
        <f>Montagem!CB168</f>
        <v/>
      </c>
      <c r="BX20" s="110" t="str">
        <f>Montagem!CC168</f>
        <v/>
      </c>
      <c r="BY20" s="110" t="str">
        <f>Montagem!CD168</f>
        <v/>
      </c>
      <c r="BZ20" s="113"/>
      <c r="CA20" s="111">
        <f>Montagem!BS168</f>
        <v>3</v>
      </c>
      <c r="CB20" s="111">
        <f>Montagem!CE168</f>
        <v>0</v>
      </c>
      <c r="CC20" s="111" t="str">
        <f>Montagem!BT168</f>
        <v>Prancha</v>
      </c>
      <c r="CD20" s="111" t="str">
        <f>Montagem!CF168</f>
        <v/>
      </c>
      <c r="CE20" s="106">
        <f>IF(CD20="",CB20,CD20)</f>
        <v>0</v>
      </c>
      <c r="CF20" s="106">
        <f>IF(CB21="C",'Dados de Base'!$D$5*0.1,IF(CB21="E",5,IF(BZ20="",CE20,BZ20)))</f>
        <v>6.3</v>
      </c>
      <c r="CG20" s="108"/>
      <c r="CH20" s="102" t="str">
        <f>IF(CT20="","",HYPERLINK(OFFSET(Biblioteca!$B$2,MATCH(CT20,Biblioteca!$A$3:$A$200,0),0),CT20))</f>
        <v>Prancha</v>
      </c>
      <c r="CK20" s="109" t="str">
        <f>Montagem!CN168</f>
        <v>Seriado</v>
      </c>
      <c r="CL20" s="110">
        <f>Montagem!CO168</f>
        <v>1</v>
      </c>
      <c r="CM20" s="110">
        <f>Montagem!CP168</f>
        <v>50</v>
      </c>
      <c r="CN20" s="110">
        <f>Montagem!CQ168</f>
        <v>60</v>
      </c>
      <c r="CO20" s="110">
        <f>Montagem!CR168</f>
        <v>0</v>
      </c>
      <c r="CP20" s="110">
        <f>Montagem!CS168</f>
        <v>1</v>
      </c>
      <c r="CQ20" s="113"/>
      <c r="CR20" s="111">
        <f>Montagem!CH168</f>
        <v>3</v>
      </c>
      <c r="CS20" s="111">
        <f>Montagem!CT168</f>
        <v>0</v>
      </c>
      <c r="CT20" s="111" t="str">
        <f>Montagem!CI168</f>
        <v>Prancha</v>
      </c>
      <c r="CU20" s="111" t="str">
        <f>Montagem!CU168</f>
        <v/>
      </c>
      <c r="CV20" s="106">
        <f>IF(CU20="",CS20,CU20)</f>
        <v>0</v>
      </c>
      <c r="CW20" s="106">
        <f>IF(CS21="C",'Dados de Base'!$D$5*0.1,IF(CS21="E",5,IF(CQ20="",CV20,CQ20)))</f>
        <v>6.3</v>
      </c>
      <c r="CX20" s="108"/>
      <c r="CY20" s="115" t="str">
        <f>IF(DK20="","",HYPERLINK(OFFSET(Biblioteca!$B$2,MATCH(DK20,Biblioteca!$A$3:$A$200,0),0),DK20))</f>
        <v/>
      </c>
      <c r="DB20" s="130" t="str">
        <f>Montagem!DC168</f>
        <v/>
      </c>
      <c r="DC20" s="131" t="str">
        <f>Montagem!DD168</f>
        <v/>
      </c>
      <c r="DD20" s="131" t="str">
        <f>Montagem!DE168</f>
        <v/>
      </c>
      <c r="DE20" s="131" t="str">
        <f>Montagem!DF168</f>
        <v/>
      </c>
      <c r="DF20" s="131" t="str">
        <f>Montagem!DG168</f>
        <v/>
      </c>
      <c r="DG20" s="131" t="str">
        <f>Montagem!DH168</f>
        <v/>
      </c>
      <c r="DH20" s="114"/>
      <c r="DI20" s="111">
        <f>Montagem!CW168</f>
        <v>1</v>
      </c>
      <c r="DJ20" s="111" t="str">
        <f>Montagem!DI168</f>
        <v/>
      </c>
      <c r="DK20" s="111" t="str">
        <f>Montagem!CX168</f>
        <v/>
      </c>
      <c r="DL20" s="111" t="str">
        <f>Montagem!DJ168</f>
        <v/>
      </c>
      <c r="DM20" s="106" t="str">
        <f>IF(DL20="",DJ20,DL20)</f>
        <v/>
      </c>
      <c r="DN20" s="106" t="str">
        <f>IF(DJ21="C",'Dados de Base'!$D$5*0.1,IF(DJ21="E",5,IF(DH20="",DM20,DH20)))</f>
        <v/>
      </c>
      <c r="DO20" s="108"/>
      <c r="DP20" s="116" t="s">
        <v>44</v>
      </c>
      <c r="DQ20" s="106">
        <f>IF(DQ14=0,0,DQ13/DQ14)</f>
        <v>0</v>
      </c>
      <c r="DR20" s="106"/>
      <c r="DS20" s="106"/>
      <c r="DT20" s="106"/>
      <c r="DU20" s="106"/>
      <c r="DV20" s="106"/>
      <c r="DW20" s="106"/>
      <c r="DX20" s="106"/>
      <c r="DY20" s="106"/>
    </row>
    <row r="21">
      <c r="A21" s="117" t="str">
        <f>IF(A20="","",IFS(L21="A",Montagem!$C$180,N21="T","Realizar a maior quantidade de repetições por "&amp;F20&amp;" segundos | ",N21="I",IF(M21="U","Manter a posição por "&amp;F20&amp;" segundos de um lado e trocar para o outro na sequência | ","Manter a posição por "&amp;F20&amp;" segundos | "),M21="A","Realizar alternadamente "&amp;F20&amp;" repetições cada lado | ",M21="U","Realizar "&amp;F20&amp;" repetições de um lado e trocar para o outro na sequência | ",L21="P",OFFSET(Biblioteca!$H$2,MATCH(M20,Biblioteca!$A$3:$A$200,0),0),TRUE,""))</f>
        <v/>
      </c>
      <c r="E21" s="118" t="str">
        <f>IF(A20="","",IFS(L21="H","Carga Sugerida: "&amp;ROUNDUP(O20/2,0)&amp;" kg de cada lado (Total: "&amp;ROUNDUP(O20/2,0)*2&amp;" kg)",L21="C","Este exercício usa o Peso Corporal como carga",L21="E","Este exercício usa a resistência da banda elástica como carga",L21="O","Carga Sugerida: "&amp;INT(O20)&amp;" kg",TRUE,""))</f>
        <v>Este exercício usa o Peso Corporal como carga</v>
      </c>
      <c r="J21" s="66"/>
      <c r="K21" s="126">
        <f>K20</f>
        <v>3</v>
      </c>
      <c r="L21" s="120" t="str">
        <f>LEFT(O21)</f>
        <v>C</v>
      </c>
      <c r="M21" s="121" t="str">
        <f>MID(O21,2,1)</f>
        <v>O</v>
      </c>
      <c r="N21" s="122" t="str">
        <f>RIGHT(O21)</f>
        <v>R</v>
      </c>
      <c r="O21" s="123" t="str">
        <f>IF(M20="","",OFFSET(Biblioteca!$I$2,MATCH(M20,Biblioteca!$A$3:$A$200,0),0))</f>
        <v>COR</v>
      </c>
      <c r="P21" s="124"/>
      <c r="Q21" s="125"/>
      <c r="R21" s="117" t="str">
        <f>IF(R20="","",IFS(AC21="A",Montagem!$D$180,AE21="T","Realizar a maior quantidade de repetições por "&amp;W20&amp;" segundos | ",AE21="I",IF(AD21="U","Manter a posição por "&amp;W20&amp;" segundos de um lado e trocar para o outro na sequência | ","Manter a posição por "&amp;W20&amp;" segundos | "),AD21="A","Realizar alternadamente "&amp;W20&amp;" repetições cada lado | ",AD21="U","Realizar "&amp;W20&amp;" repetições de um lado e trocar para o outro na sequência | ",AC21="P",OFFSET(Biblioteca!$H$2,MATCH(AD20,Biblioteca!$A$3:$A$200,0),0),TRUE,""))</f>
        <v>Realizar 10 repetições de um lado e trocar para o outro na sequência | </v>
      </c>
      <c r="V21" s="118" t="str">
        <f>IF(R20="","",IFS(AC21="H","Carga Sugerida: "&amp;ROUNDUP(AF20/2,0)&amp;" kg de cada lado (Total: "&amp;ROUNDUP(AF20/2,0)*2&amp;" kg)",AC21="C","Este exercício usa o Peso Corporal como carga",AC21="E","Este exercício usa a resistência da banda elástica como carga",AC21="O","Carga Sugerida: "&amp;INT(AF20)&amp;" kg",TRUE,""))</f>
        <v>Este exercício usa o Peso Corporal como carga</v>
      </c>
      <c r="AA21" s="66"/>
      <c r="AB21" s="126">
        <f>AB20</f>
        <v>3</v>
      </c>
      <c r="AC21" s="120" t="str">
        <f>LEFT(AF21)</f>
        <v>C</v>
      </c>
      <c r="AD21" s="121" t="str">
        <f>MID(AF21,2,1)</f>
        <v>U</v>
      </c>
      <c r="AE21" s="122" t="str">
        <f>RIGHT(AF21)</f>
        <v>R</v>
      </c>
      <c r="AF21" s="123" t="str">
        <f>IF(AD20="","",OFFSET(Biblioteca!$I$2,MATCH(AD20,Biblioteca!$A$3:$A$200,0),0))</f>
        <v>CUR</v>
      </c>
      <c r="AG21" s="124"/>
      <c r="AH21" s="125"/>
      <c r="AI21" s="117" t="str">
        <f>IF(AI20="","",IFS(AT21="A",Montagem!$E$180,AV21="T","Realizar a maior quantidade de repetições por "&amp;AN20&amp;" segundos | ",AV21="I",IF(AU21="U","Manter a posição por "&amp;AN20&amp;" segundos de um lado e trocar para o outro na sequência | ","Manter a posição por "&amp;AN20&amp;" segundos | "),AU21="A","Realizar alternadamente "&amp;AN20&amp;" repetições cada lado | ",AU21="U","Realizar "&amp;AN20&amp;" repetições de um lado e trocar para o outro na sequência | ",AT21="P",OFFSET(Biblioteca!$H$2,MATCH(AU20,Biblioteca!$A$3:$A$200,0),0),TRUE,""))</f>
        <v>Manter a posição por 50 segundos | </v>
      </c>
      <c r="AM21" s="118" t="str">
        <f>IF(AI20="","",IFS(AT21="H","Carga Sugerida: "&amp;ROUNDUP(AW20/2,0)&amp;" kg de cada lado (Total: "&amp;ROUNDUP(AW20/2,0)*2&amp;" kg)",AT21="C","Este exercício usa o Peso Corporal como carga",AT21="E","Este exercício usa a resistência da banda elástica como carga",AT21="O","Carga Sugerida: "&amp;INT(AW20)&amp;" kg",TRUE,""))</f>
        <v>Este exercício usa o Peso Corporal como carga</v>
      </c>
      <c r="AR21" s="66"/>
      <c r="AS21" s="126">
        <f>AS20</f>
        <v>3</v>
      </c>
      <c r="AT21" s="120" t="str">
        <f>LEFT(AW21)</f>
        <v>C</v>
      </c>
      <c r="AU21" s="121" t="str">
        <f>MID(AW21,2,1)</f>
        <v>O</v>
      </c>
      <c r="AV21" s="122" t="str">
        <f>RIGHT(AW21)</f>
        <v>I</v>
      </c>
      <c r="AW21" s="123" t="str">
        <f>IF(AU20="","",OFFSET(Biblioteca!$I$2,MATCH(AU20,Biblioteca!$A$3:$A$200,0),0))</f>
        <v>COI</v>
      </c>
      <c r="AX21" s="124"/>
      <c r="AY21" s="125"/>
      <c r="AZ21" s="117" t="str">
        <f>IF(AZ20="","",IFS(BK21="A",Montagem!$F$180,BM21="T","Realizar a maior quantidade de repetições por "&amp;BE20&amp;" segundos | ",BM21="I",IF(BL21="U","Manter a posição por "&amp;BE20&amp;" segundos de um lado e trocar para o outro na sequência | ","Manter a posição por "&amp;BE20&amp;" segundos | "),BL21="A","Realizar alternadamente "&amp;BE20&amp;" repetições cada lado | ",BL21="U","Realizar "&amp;BE20&amp;" repetições de um lado e trocar para o outro na sequência | ",BK21="P",OFFSET(Biblioteca!$H$2,MATCH(BL20,Biblioteca!$A$3:$A$200,0),0),TRUE,""))</f>
        <v>Manter a posição por 50 segundos | </v>
      </c>
      <c r="BD21" s="118" t="str">
        <f>IF(AZ20="","",IFS(BK21="H","Carga Sugerida: "&amp;ROUNDUP(BN20/2,0)&amp;" kg de cada lado (Total: "&amp;ROUNDUP(BN20/2,0)*2&amp;" kg)",BK21="C","Este exercício usa o Peso Corporal como carga",BK21="E","Este exercício usa a resistência da banda elástica como carga",BK21="O","Carga Sugerida: "&amp;INT(BN20)&amp;" kg",TRUE,""))</f>
        <v>Este exercício usa o Peso Corporal como carga</v>
      </c>
      <c r="BI21" s="66"/>
      <c r="BJ21" s="126">
        <f>BJ20</f>
        <v>3</v>
      </c>
      <c r="BK21" s="120" t="str">
        <f>LEFT(BN21)</f>
        <v>C</v>
      </c>
      <c r="BL21" s="121" t="str">
        <f>MID(BN21,2,1)</f>
        <v>O</v>
      </c>
      <c r="BM21" s="122" t="str">
        <f>RIGHT(BN21)</f>
        <v>I</v>
      </c>
      <c r="BN21" s="123" t="str">
        <f>IF(BL20="","",OFFSET(Biblioteca!$I$2,MATCH(BL20,Biblioteca!$A$3:$A$200,0),0))</f>
        <v>COI</v>
      </c>
      <c r="BO21" s="124"/>
      <c r="BP21" s="125"/>
      <c r="BQ21" s="117" t="str">
        <f>IF(BQ20="","",IFS(CB21="A",Montagem!$G$180,CD21="T","Realizar a maior quantidade de repetições por "&amp;BV20&amp;" segundos | ",CD21="I",IF(CC21="U","Manter a posição por "&amp;BV20&amp;" segundos de um lado e trocar para o outro na sequência | ","Manter a posição por "&amp;BV20&amp;" segundos | "),CC21="A","Realizar alternadamente "&amp;BV20&amp;" repetições cada lado | ",CC21="U","Realizar "&amp;BV20&amp;" repetições de um lado e trocar para o outro na sequência | ",CB21="P",OFFSET(Biblioteca!$H$2,MATCH(CC20,Biblioteca!$A$3:$A$200,0),0),TRUE,""))</f>
        <v>Manter a posição por 50 segundos | </v>
      </c>
      <c r="BU21" s="118" t="str">
        <f>IF(BQ20="","",IFS(CB21="H","Carga Sugerida: "&amp;ROUNDUP(CE20/2,0)&amp;" kg de cada lado (Total: "&amp;ROUNDUP(CE20/2,0)*2&amp;" kg)",CB21="C","Este exercício usa o Peso Corporal como carga",CB21="E","Este exercício usa a resistência da banda elástica como carga",CB21="O","Carga Sugerida: "&amp;INT(CE20)&amp;" kg",TRUE,""))</f>
        <v>Este exercício usa o Peso Corporal como carga</v>
      </c>
      <c r="BZ21" s="66"/>
      <c r="CA21" s="126">
        <f>CA20</f>
        <v>3</v>
      </c>
      <c r="CB21" s="120" t="str">
        <f>LEFT(CE21)</f>
        <v>C</v>
      </c>
      <c r="CC21" s="121" t="str">
        <f>MID(CE21,2,1)</f>
        <v>O</v>
      </c>
      <c r="CD21" s="122" t="str">
        <f>RIGHT(CE21)</f>
        <v>I</v>
      </c>
      <c r="CE21" s="123" t="str">
        <f>IF(CC20="","",OFFSET(Biblioteca!$I$2,MATCH(CC20,Biblioteca!$A$3:$A$200,0),0))</f>
        <v>COI</v>
      </c>
      <c r="CF21" s="124"/>
      <c r="CG21" s="125"/>
      <c r="CH21" s="117" t="str">
        <f>IF(CH20="","",IFS(CS21="A",Montagem!$H$180,CU21="T","Realizar a maior quantidade de repetições por "&amp;CM20&amp;" segundos | ",CU21="I",IF(CT21="U","Manter a posição por "&amp;CM20&amp;" segundos de um lado e trocar para o outro na sequência | ","Manter a posição por "&amp;CM20&amp;" segundos | "),CT21="A","Realizar alternadamente "&amp;CM20&amp;" repetições cada lado | ",CT21="U","Realizar "&amp;CM20&amp;" repetições de um lado e trocar para o outro na sequência | ",CS21="P",OFFSET(Biblioteca!$H$2,MATCH(CT20,Biblioteca!$A$3:$A$200,0),0),TRUE,""))</f>
        <v>Manter a posição por 50 segundos | </v>
      </c>
      <c r="CL21" s="118" t="str">
        <f>IF(CH20="","",IFS(CS21="H","Carga Sugerida: "&amp;ROUNDUP(CV20/2,0)&amp;" kg de cada lado (Total: "&amp;ROUNDUP(CV20/2,0)*2&amp;" kg)",CS21="C","Este exercício usa o Peso Corporal como carga",CS21="E","Este exercício usa a resistência da banda elástica como carga",CS21="O","Carga Sugerida: "&amp;INT(CV20)&amp;" kg",TRUE,""))</f>
        <v>Este exercício usa o Peso Corporal como carga</v>
      </c>
      <c r="CQ21" s="66"/>
      <c r="CR21" s="126">
        <f>CR20</f>
        <v>3</v>
      </c>
      <c r="CS21" s="120" t="str">
        <f>LEFT(CV21)</f>
        <v>C</v>
      </c>
      <c r="CT21" s="121" t="str">
        <f>MID(CV21,2,1)</f>
        <v>O</v>
      </c>
      <c r="CU21" s="122" t="str">
        <f>RIGHT(CV21)</f>
        <v>I</v>
      </c>
      <c r="CV21" s="123" t="str">
        <f>IF(CT20="","",OFFSET(Biblioteca!$I$2,MATCH(CT20,Biblioteca!$A$3:$A$200,0),0))</f>
        <v>COI</v>
      </c>
      <c r="CW21" s="124"/>
      <c r="CX21" s="125"/>
      <c r="CY21" s="117" t="str">
        <f>IF(CY20="","",IFS(DJ21="A",Montagem!$I$180,DL21="T","Realizar a maior quantidade de repetições por "&amp;DD20&amp;" segundos | ",DL21="I",IF(DK21="U","Manter a posição por "&amp;DD20&amp;" segundos de um lado e trocar para o outro na sequência | ","Manter a posição por "&amp;DD20&amp;" segundos | "),DK21="A","Realizar alternadamente "&amp;DD20&amp;" repetições cada lado | ",DK21="U","Realizar "&amp;DD20&amp;" repetições de um lado e trocar para o outro na sequência | ",DJ21="P",OFFSET(Biblioteca!$H$2,MATCH(DK20,Biblioteca!$A$3:$A$200,0),0),TRUE,""))</f>
        <v/>
      </c>
      <c r="DC21" s="118" t="str">
        <f>IF(CY20="","",IFS(DJ21="H","Carga Sugerida: "&amp;ROUNDUP(DM20/2,0)&amp;" kg de cada lado (Total: "&amp;ROUNDUP(DM20/2,0)*2&amp;" kg)",DJ21="C","Este exercício usa o Peso Corporal como carga",DJ21="E","Este exercício usa a resistência da banda elástica como carga",DJ21="O","Carga Sugerida: "&amp;INT(DM20)&amp;" kg",TRUE,""))</f>
        <v/>
      </c>
      <c r="DH21" s="66"/>
      <c r="DI21" s="126">
        <f>DI20</f>
        <v>1</v>
      </c>
      <c r="DJ21" s="120" t="str">
        <f>LEFT(DM21)</f>
        <v/>
      </c>
      <c r="DK21" s="121" t="str">
        <f>MID(DM21,2,1)</f>
        <v/>
      </c>
      <c r="DL21" s="122" t="str">
        <f>RIGHT(DM21)</f>
        <v/>
      </c>
      <c r="DM21" s="123" t="str">
        <f>IF(DK20="","",OFFSET(Biblioteca!$I$2,MATCH(DK20,Biblioteca!$A$3:$A$200,0),0))</f>
        <v/>
      </c>
      <c r="DN21" s="124"/>
      <c r="DO21" s="125"/>
      <c r="DP21" s="133" t="s">
        <v>45</v>
      </c>
      <c r="DQ21" s="56">
        <f>DQ20*DQ11</f>
        <v>0</v>
      </c>
      <c r="DR21" s="56"/>
      <c r="DS21" s="56"/>
      <c r="DT21" s="56"/>
      <c r="DU21" s="56"/>
      <c r="DV21" s="56"/>
      <c r="DW21" s="56"/>
      <c r="DX21" s="56"/>
      <c r="DY21" s="56"/>
    </row>
    <row r="22">
      <c r="A22" s="115" t="str">
        <f>IF(M22="","",HYPERLINK(OFFSET(Biblioteca!$B$2,MATCH(M22,Biblioteca!$A$3:$A$200,0),0),M22))</f>
        <v/>
      </c>
      <c r="D22" s="109" t="str">
        <f>Montagem!Q169</f>
        <v/>
      </c>
      <c r="E22" s="104" t="str">
        <f>Montagem!R169</f>
        <v/>
      </c>
      <c r="F22" s="110" t="str">
        <f>Montagem!S169</f>
        <v/>
      </c>
      <c r="G22" s="110" t="str">
        <f>Montagem!T169</f>
        <v/>
      </c>
      <c r="H22" s="110" t="str">
        <f>Montagem!U169</f>
        <v/>
      </c>
      <c r="I22" s="134" t="str">
        <f>Montagem!V169</f>
        <v/>
      </c>
      <c r="J22" s="105"/>
      <c r="K22" s="106">
        <f>Montagem!K169</f>
        <v>4</v>
      </c>
      <c r="L22" s="111" t="str">
        <f>Montagem!W169</f>
        <v/>
      </c>
      <c r="M22" s="111" t="str">
        <f>Montagem!L169</f>
        <v/>
      </c>
      <c r="N22" s="111" t="str">
        <f>Montagem!X169</f>
        <v/>
      </c>
      <c r="O22" s="106" t="str">
        <f>IF(N22="",L22,N22)</f>
        <v/>
      </c>
      <c r="P22" s="106" t="str">
        <f>IF(L23="C",'Dados de Base'!$D$5*0.1,IF(L23="E",5,IF(J22="",O22,J22)))</f>
        <v/>
      </c>
      <c r="Q22" s="108"/>
      <c r="R22" s="115" t="str">
        <f>IF(AD22="","",HYPERLINK(OFFSET(Biblioteca!$B$2,MATCH(AD22,Biblioteca!$A$3:$A$200,0),0),AD22))</f>
        <v/>
      </c>
      <c r="U22" s="109" t="str">
        <f>Montagem!AF169</f>
        <v/>
      </c>
      <c r="V22" s="110" t="str">
        <f>Montagem!AG169</f>
        <v/>
      </c>
      <c r="W22" s="110" t="str">
        <f>Montagem!AH169</f>
        <v/>
      </c>
      <c r="X22" s="110" t="str">
        <f>Montagem!AI169</f>
        <v/>
      </c>
      <c r="Y22" s="135" t="str">
        <f>Montagem!AJ169</f>
        <v/>
      </c>
      <c r="Z22" s="109" t="str">
        <f>Montagem!AK169</f>
        <v/>
      </c>
      <c r="AA22" s="105"/>
      <c r="AB22" s="111">
        <f>Montagem!Z169</f>
        <v>4</v>
      </c>
      <c r="AC22" s="111" t="str">
        <f>Montagem!AL169</f>
        <v/>
      </c>
      <c r="AD22" s="129" t="str">
        <f>Montagem!AA169</f>
        <v/>
      </c>
      <c r="AE22" s="111" t="str">
        <f>Montagem!AM169</f>
        <v/>
      </c>
      <c r="AF22" s="106" t="str">
        <f>IF(AE22="",AC22,AE22)</f>
        <v/>
      </c>
      <c r="AG22" s="106" t="str">
        <f>IF(AC23="C",'Dados de Base'!$D$5*0.1,IF(AC23="E",5,IF(AA22="",AF22,AA22)))</f>
        <v/>
      </c>
      <c r="AH22" s="108"/>
      <c r="AI22" s="115" t="str">
        <f>IF(AU22="","",HYPERLINK(OFFSET(Biblioteca!$B$2,MATCH(AU22,Biblioteca!$A$3:$A$200,0),0),AU22))</f>
        <v/>
      </c>
      <c r="AL22" s="109" t="str">
        <f>Montagem!AU169</f>
        <v/>
      </c>
      <c r="AM22" s="110" t="str">
        <f>Montagem!AV169</f>
        <v/>
      </c>
      <c r="AN22" s="110" t="str">
        <f>Montagem!AW169</f>
        <v/>
      </c>
      <c r="AO22" s="110" t="str">
        <f>Montagem!AX169</f>
        <v/>
      </c>
      <c r="AP22" s="135" t="str">
        <f>Montagem!AY169</f>
        <v/>
      </c>
      <c r="AQ22" s="109" t="str">
        <f>Montagem!AZ169</f>
        <v/>
      </c>
      <c r="AR22" s="105"/>
      <c r="AS22" s="111">
        <f>Montagem!AO169</f>
        <v>4</v>
      </c>
      <c r="AT22" s="111" t="str">
        <f>Montagem!BA169</f>
        <v/>
      </c>
      <c r="AU22" s="111" t="str">
        <f>Montagem!AP169</f>
        <v/>
      </c>
      <c r="AV22" s="111" t="str">
        <f>Montagem!BB169</f>
        <v/>
      </c>
      <c r="AW22" s="106" t="str">
        <f>IF(AV22="",AT22,AV22)</f>
        <v/>
      </c>
      <c r="AX22" s="106" t="str">
        <f>IF(AT23="C",'Dados de Base'!$D$5*0.1,IF(AT23="E",5,IF(AR22="",AW22,AR22)))</f>
        <v/>
      </c>
      <c r="AY22" s="108"/>
      <c r="AZ22" s="115" t="str">
        <f>IF(BL22="","",HYPERLINK(OFFSET(Biblioteca!$B$2,MATCH(BL22,Biblioteca!$A$3:$A$200,0),0),BL22))</f>
        <v/>
      </c>
      <c r="BC22" s="109" t="str">
        <f>Montagem!BJ169</f>
        <v/>
      </c>
      <c r="BD22" s="110" t="str">
        <f>Montagem!BK169</f>
        <v/>
      </c>
      <c r="BE22" s="110" t="str">
        <f>Montagem!BL169</f>
        <v/>
      </c>
      <c r="BF22" s="110" t="str">
        <f>Montagem!BM169</f>
        <v/>
      </c>
      <c r="BG22" s="110" t="str">
        <f>Montagem!BN169</f>
        <v/>
      </c>
      <c r="BH22" s="110" t="str">
        <f>Montagem!BO169</f>
        <v/>
      </c>
      <c r="BI22" s="112"/>
      <c r="BJ22" s="111">
        <f>Montagem!BD169</f>
        <v>3</v>
      </c>
      <c r="BK22" s="111" t="str">
        <f>Montagem!BP169</f>
        <v/>
      </c>
      <c r="BL22" s="111" t="str">
        <f>Montagem!BE169</f>
        <v/>
      </c>
      <c r="BM22" s="111" t="str">
        <f>Montagem!BQ169</f>
        <v/>
      </c>
      <c r="BN22" s="106" t="str">
        <f>IF(BM22="",BK22,BM22)</f>
        <v/>
      </c>
      <c r="BO22" s="106" t="str">
        <f>IF(BK23="C",'Dados de Base'!$D$5*0.1,IF(BK23="E",5,IF(BI22="",BN22,BI22)))</f>
        <v/>
      </c>
      <c r="BP22" s="108"/>
      <c r="BQ22" s="115" t="str">
        <f>IF(CC22="","",HYPERLINK(OFFSET(Biblioteca!$B$2,MATCH(CC22,Biblioteca!$A$3:$A$200,0),0),CC22))</f>
        <v/>
      </c>
      <c r="BT22" s="109" t="str">
        <f>Montagem!BY169</f>
        <v/>
      </c>
      <c r="BU22" s="110" t="str">
        <f>Montagem!BZ169</f>
        <v/>
      </c>
      <c r="BV22" s="110" t="str">
        <f>Montagem!CA169</f>
        <v/>
      </c>
      <c r="BW22" s="110" t="str">
        <f>Montagem!CB169</f>
        <v/>
      </c>
      <c r="BX22" s="135" t="str">
        <f>Montagem!CC169</f>
        <v/>
      </c>
      <c r="BY22" s="109" t="str">
        <f>Montagem!CD169</f>
        <v/>
      </c>
      <c r="BZ22" s="113"/>
      <c r="CA22" s="111">
        <f>Montagem!BS169</f>
        <v>3</v>
      </c>
      <c r="CB22" s="111" t="str">
        <f>Montagem!CE169</f>
        <v/>
      </c>
      <c r="CC22" s="111" t="str">
        <f>Montagem!BT169</f>
        <v/>
      </c>
      <c r="CD22" s="111" t="str">
        <f>Montagem!CF169</f>
        <v/>
      </c>
      <c r="CE22" s="106" t="str">
        <f>IF(CD22="",CB22,CD22)</f>
        <v/>
      </c>
      <c r="CF22" s="106" t="str">
        <f>IF(CB23="C",'Dados de Base'!$D$5*0.1,IF(CB23="E",5,IF(BZ22="",CE22,BZ22)))</f>
        <v/>
      </c>
      <c r="CG22" s="108"/>
      <c r="CH22" s="115" t="str">
        <f>IF(CT22="","",HYPERLINK(OFFSET(Biblioteca!$B$2,MATCH(CT22,Biblioteca!$A$3:$A$200,0),0),CT22))</f>
        <v/>
      </c>
      <c r="CK22" s="109" t="str">
        <f>Montagem!CN169</f>
        <v/>
      </c>
      <c r="CL22" s="110" t="str">
        <f>Montagem!CO169</f>
        <v/>
      </c>
      <c r="CM22" s="110" t="str">
        <f>Montagem!CP169</f>
        <v/>
      </c>
      <c r="CN22" s="110" t="str">
        <f>Montagem!CQ169</f>
        <v/>
      </c>
      <c r="CO22" s="135" t="str">
        <f>Montagem!CR169</f>
        <v/>
      </c>
      <c r="CP22" s="109" t="str">
        <f>Montagem!CS169</f>
        <v/>
      </c>
      <c r="CQ22" s="113"/>
      <c r="CR22" s="111">
        <f>Montagem!CH169</f>
        <v>4</v>
      </c>
      <c r="CS22" s="111" t="str">
        <f>Montagem!CT169</f>
        <v/>
      </c>
      <c r="CT22" s="111" t="str">
        <f>Montagem!CI169</f>
        <v/>
      </c>
      <c r="CU22" s="111" t="str">
        <f>Montagem!CU169</f>
        <v/>
      </c>
      <c r="CV22" s="106" t="str">
        <f>IF(CU22="",CS22,CU22)</f>
        <v/>
      </c>
      <c r="CW22" s="106" t="str">
        <f>IF(CS23="C",'Dados de Base'!$D$5*0.1,IF(CS23="E",5,IF(CQ22="",CV22,CQ22)))</f>
        <v/>
      </c>
      <c r="CX22" s="108"/>
      <c r="CY22" s="115" t="str">
        <f>IF(DK22="","",HYPERLINK(OFFSET(Biblioteca!$B$2,MATCH(DK22,Biblioteca!$A$3:$A$200,0),0),DK22))</f>
        <v/>
      </c>
      <c r="DB22" s="130" t="str">
        <f>Montagem!DC169</f>
        <v/>
      </c>
      <c r="DC22" s="131" t="str">
        <f>Montagem!DD169</f>
        <v/>
      </c>
      <c r="DD22" s="131" t="str">
        <f>Montagem!DE169</f>
        <v/>
      </c>
      <c r="DE22" s="131" t="str">
        <f>Montagem!DF169</f>
        <v/>
      </c>
      <c r="DF22" s="136" t="str">
        <f>Montagem!DG169</f>
        <v/>
      </c>
      <c r="DG22" s="130" t="str">
        <f>Montagem!DH169</f>
        <v/>
      </c>
      <c r="DH22" s="114"/>
      <c r="DI22" s="111">
        <f>Montagem!CW169</f>
        <v>1</v>
      </c>
      <c r="DJ22" s="111" t="str">
        <f>Montagem!DI169</f>
        <v/>
      </c>
      <c r="DK22" s="111" t="str">
        <f>Montagem!CX169</f>
        <v/>
      </c>
      <c r="DL22" s="111" t="str">
        <f>Montagem!DJ169</f>
        <v/>
      </c>
      <c r="DM22" s="106" t="str">
        <f>IF(DL22="",DJ22,DL22)</f>
        <v/>
      </c>
      <c r="DN22" s="106" t="str">
        <f>IF(DJ23="C",'Dados de Base'!$D$5*0.1,IF(DJ23="E",5,IF(DH22="",DM22,DH22)))</f>
        <v/>
      </c>
      <c r="DO22" s="108"/>
      <c r="DP22" s="116" t="s">
        <v>46</v>
      </c>
      <c r="DQ22" s="106">
        <f>COUNTA(A75,R75,AI75,AZ75,BQ75,CH75,CY75)</f>
        <v>0</v>
      </c>
      <c r="DR22" s="106"/>
      <c r="DS22" s="106"/>
      <c r="DT22" s="106"/>
      <c r="DU22" s="106"/>
      <c r="DV22" s="106"/>
      <c r="DW22" s="106"/>
      <c r="DX22" s="106"/>
      <c r="DY22" s="106"/>
    </row>
    <row r="23">
      <c r="A23" s="117" t="str">
        <f>IF(A22="","",IFS(L23="A",Montagem!$C$180,N23="T","Realizar a maior quantidade de repetições por "&amp;F22&amp;" segundos | ",N23="I",IF(M23="U","Manter a posição por "&amp;F22&amp;" segundos de um lado e trocar para o outro na sequência | ","Manter a posição por "&amp;F22&amp;" segundos | "),M23="A","Realizar alternadamente "&amp;F22&amp;" repetições cada lado | ",M23="U","Realizar "&amp;F22&amp;" repetições de um lado e trocar para o outro na sequência | ",L23="P",OFFSET(Biblioteca!$H$2,MATCH(M22,Biblioteca!$A$3:$A$200,0),0),TRUE,""))</f>
        <v/>
      </c>
      <c r="E23" s="118" t="str">
        <f>IF(A22="","",IFS(L23="H","Carga Sugerida: "&amp;ROUNDUP(O22/2,0)&amp;" kg de cada lado (Total: "&amp;ROUNDUP(O22/2,0)*2&amp;" kg)",L23="C","Este exercício usa o Peso Corporal como carga",L23="E","Este exercício usa a resistência da banda elástica como carga",L23="O","Carga Sugerida: "&amp;INT(O22)&amp;" kg",TRUE,""))</f>
        <v/>
      </c>
      <c r="J23" s="66"/>
      <c r="K23" s="126">
        <f>K22</f>
        <v>4</v>
      </c>
      <c r="L23" s="120" t="str">
        <f>LEFT(O23)</f>
        <v/>
      </c>
      <c r="M23" s="121" t="str">
        <f>MID(O23,2,1)</f>
        <v/>
      </c>
      <c r="N23" s="122" t="str">
        <f>RIGHT(O23)</f>
        <v/>
      </c>
      <c r="O23" s="123" t="str">
        <f>IF(M22="","",OFFSET(Biblioteca!$I$2,MATCH(M22,Biblioteca!$A$3:$A$200,0),0))</f>
        <v/>
      </c>
      <c r="P23" s="124"/>
      <c r="Q23" s="125"/>
      <c r="R23" s="117" t="str">
        <f>IF(R22="","",IFS(AC23="A",Montagem!$D$180,AE23="T","Realizar a maior quantidade de repetições por "&amp;W22&amp;" segundos | ",AE23="I",IF(AD23="U","Manter a posição por "&amp;W22&amp;" segundos de um lado e trocar para o outro na sequência | ","Manter a posição por "&amp;W22&amp;" segundos | "),AD23="A","Realizar alternadamente "&amp;W22&amp;" repetições cada lado | ",AD23="U","Realizar "&amp;W22&amp;" repetições de um lado e trocar para o outro na sequência | ",AC23="P",OFFSET(Biblioteca!$H$2,MATCH(AD22,Biblioteca!$A$3:$A$200,0),0),TRUE,""))</f>
        <v/>
      </c>
      <c r="V23" s="118" t="str">
        <f>IF(R22="","",IFS(AC23="H","Carga Sugerida: "&amp;ROUNDUP(AF22/2,0)&amp;" kg de cada lado (Total: "&amp;ROUNDUP(AF22/2,0)*2&amp;" kg)",AC23="C","Este exercício usa o Peso Corporal como carga",AC23="E","Este exercício usa a resistência da banda elástica como carga",AC23="O","Carga Sugerida: "&amp;INT(AF22)&amp;" kg",TRUE,""))</f>
        <v/>
      </c>
      <c r="AA23" s="66"/>
      <c r="AB23" s="126">
        <f>AB22</f>
        <v>4</v>
      </c>
      <c r="AC23" s="120" t="str">
        <f>LEFT(AF23)</f>
        <v/>
      </c>
      <c r="AD23" s="121" t="str">
        <f>MID(AF23,2,1)</f>
        <v/>
      </c>
      <c r="AE23" s="122" t="str">
        <f>RIGHT(AF23)</f>
        <v/>
      </c>
      <c r="AF23" s="123" t="str">
        <f>IF(AD22="","",OFFSET(Biblioteca!$I$2,MATCH(AD22,Biblioteca!$A$3:$A$200,0),0))</f>
        <v/>
      </c>
      <c r="AG23" s="124"/>
      <c r="AH23" s="125"/>
      <c r="AI23" s="117" t="str">
        <f>IF(AI22="","",IFS(AT23="A",Montagem!$E$180,AV23="T","Realizar a maior quantidade de repetições por "&amp;AN22&amp;" segundos | ",AV23="I",IF(AU23="U","Manter a posição por "&amp;AN22&amp;" segundos de um lado e trocar para o outro na sequência | ","Manter a posição por "&amp;AN22&amp;" segundos | "),AU23="A","Realizar alternadamente "&amp;AN22&amp;" repetições cada lado | ",AU23="U","Realizar "&amp;AN22&amp;" repetições de um lado e trocar para o outro na sequência | ",AT23="P",OFFSET(Biblioteca!$H$2,MATCH(AU22,Biblioteca!$A$3:$A$200,0),0),TRUE,""))</f>
        <v/>
      </c>
      <c r="AM23" s="118" t="str">
        <f>IF(AI22="","",IFS(AT23="H","Carga Sugerida: "&amp;ROUNDUP(AW22/2,0)&amp;" kg de cada lado (Total: "&amp;ROUNDUP(AW22/2,0)*2&amp;" kg)",AT23="C","Este exercício usa o Peso Corporal como carga",AT23="E","Este exercício usa a resistência da banda elástica como carga",AT23="O","Carga Sugerida: "&amp;INT(AW22)&amp;" kg",TRUE,""))</f>
        <v/>
      </c>
      <c r="AR23" s="66"/>
      <c r="AS23" s="126">
        <f>AS22</f>
        <v>4</v>
      </c>
      <c r="AT23" s="120" t="str">
        <f>LEFT(AW23)</f>
        <v/>
      </c>
      <c r="AU23" s="121" t="str">
        <f>MID(AW23,2,1)</f>
        <v/>
      </c>
      <c r="AV23" s="122" t="str">
        <f>RIGHT(AW23)</f>
        <v/>
      </c>
      <c r="AW23" s="123" t="str">
        <f>IF(AU22="","",OFFSET(Biblioteca!$I$2,MATCH(AU22,Biblioteca!$A$3:$A$200,0),0))</f>
        <v/>
      </c>
      <c r="AX23" s="124"/>
      <c r="AY23" s="125"/>
      <c r="AZ23" s="117" t="str">
        <f>IF(AZ22="","",IFS(BK23="A",Montagem!$F$180,BM23="T","Realizar a maior quantidade de repetições por "&amp;BE22&amp;" segundos | ",BM23="I",IF(BL23="U","Manter a posição por "&amp;BE22&amp;" segundos de um lado e trocar para o outro na sequência | ","Manter a posição por "&amp;BE22&amp;" segundos | "),BL23="A","Realizar alternadamente "&amp;BE22&amp;" repetições cada lado | ",BL23="U","Realizar "&amp;BE22&amp;" repetições de um lado e trocar para o outro na sequência | ",BK23="P",OFFSET(Biblioteca!$H$2,MATCH(BL22,Biblioteca!$A$3:$A$200,0),0),TRUE,""))</f>
        <v/>
      </c>
      <c r="BD23" s="118" t="str">
        <f>IF(AZ22="","",IFS(BK23="H","Carga Sugerida: "&amp;ROUNDUP(BN22/2,0)&amp;" kg de cada lado (Total: "&amp;ROUNDUP(BN22/2,0)*2&amp;" kg)",BK23="C","Este exercício usa o Peso Corporal como carga",BK23="E","Este exercício usa a resistência da banda elástica como carga",BK23="O","Carga Sugerida: "&amp;INT(BN22)&amp;" kg",TRUE,""))</f>
        <v/>
      </c>
      <c r="BI23" s="66"/>
      <c r="BJ23" s="126">
        <f>BJ22</f>
        <v>3</v>
      </c>
      <c r="BK23" s="120" t="str">
        <f>LEFT(BN23)</f>
        <v/>
      </c>
      <c r="BL23" s="121" t="str">
        <f>MID(BN23,2,1)</f>
        <v/>
      </c>
      <c r="BM23" s="122" t="str">
        <f>RIGHT(BN23)</f>
        <v/>
      </c>
      <c r="BN23" s="123" t="str">
        <f>IF(BL22="","",OFFSET(Biblioteca!$I$2,MATCH(BL22,Biblioteca!$A$3:$A$200,0),0))</f>
        <v/>
      </c>
      <c r="BO23" s="124"/>
      <c r="BP23" s="125"/>
      <c r="BQ23" s="117" t="str">
        <f>IF(BQ22="","",IFS(CB23="A",Montagem!$G$180,CD23="T","Realizar a maior quantidade de repetições por "&amp;BV22&amp;" segundos | ",CD23="I",IF(CC23="U","Manter a posição por "&amp;BV22&amp;" segundos de um lado e trocar para o outro na sequência | ","Manter a posição por "&amp;BV22&amp;" segundos | "),CC23="A","Realizar alternadamente "&amp;BV22&amp;" repetições cada lado | ",CC23="U","Realizar "&amp;BV22&amp;" repetições de um lado e trocar para o outro na sequência | ",CB23="P",OFFSET(Biblioteca!$H$2,MATCH(CC22,Biblioteca!$A$3:$A$200,0),0),TRUE,""))</f>
        <v/>
      </c>
      <c r="BU23" s="118" t="str">
        <f>IF(BQ22="","",IFS(CB23="H","Carga Sugerida: "&amp;ROUNDUP(CE22/2,0)&amp;" kg de cada lado (Total: "&amp;ROUNDUP(CE22/2,0)*2&amp;" kg)",CB23="C","Este exercício usa o Peso Corporal como carga",CB23="E","Este exercício usa a resistência da banda elástica como carga",CB23="O","Carga Sugerida: "&amp;INT(CE22)&amp;" kg",TRUE,""))</f>
        <v/>
      </c>
      <c r="BZ23" s="66"/>
      <c r="CA23" s="126">
        <f>CA22</f>
        <v>3</v>
      </c>
      <c r="CB23" s="120" t="str">
        <f>LEFT(CE23)</f>
        <v/>
      </c>
      <c r="CC23" s="121" t="str">
        <f>MID(CE23,2,1)</f>
        <v/>
      </c>
      <c r="CD23" s="122" t="str">
        <f>RIGHT(CE23)</f>
        <v/>
      </c>
      <c r="CE23" s="123" t="str">
        <f>IF(CC22="","",OFFSET(Biblioteca!$I$2,MATCH(CC22,Biblioteca!$A$3:$A$200,0),0))</f>
        <v/>
      </c>
      <c r="CF23" s="124"/>
      <c r="CG23" s="125"/>
      <c r="CH23" s="117" t="str">
        <f>IF(CH22="","",IFS(CS23="A",Montagem!$H$180,CU23="T","Realizar a maior quantidade de repetições por "&amp;CM22&amp;" segundos | ",CU23="I",IF(CT23="U","Manter a posição por "&amp;CM22&amp;" segundos de um lado e trocar para o outro na sequência | ","Manter a posição por "&amp;CM22&amp;" segundos | "),CT23="A","Realizar alternadamente "&amp;CM22&amp;" repetições cada lado | ",CT23="U","Realizar "&amp;CM22&amp;" repetições de um lado e trocar para o outro na sequência | ",CS23="P",OFFSET(Biblioteca!$H$2,MATCH(CT22,Biblioteca!$A$3:$A$200,0),0),TRUE,""))</f>
        <v/>
      </c>
      <c r="CL23" s="118" t="str">
        <f>IF(CH22="","",IFS(CS23="H","Carga Sugerida: "&amp;ROUNDUP(CV22/2,0)&amp;" kg de cada lado (Total: "&amp;ROUNDUP(CV22/2,0)*2&amp;" kg)",CS23="C","Este exercício usa o Peso Corporal como carga",CS23="E","Este exercício usa a resistência da banda elástica como carga",CS23="O","Carga Sugerida: "&amp;INT(CV22)&amp;" kg",TRUE,""))</f>
        <v/>
      </c>
      <c r="CQ23" s="66"/>
      <c r="CR23" s="126">
        <f>CR22</f>
        <v>4</v>
      </c>
      <c r="CS23" s="120" t="str">
        <f>LEFT(CV23)</f>
        <v/>
      </c>
      <c r="CT23" s="121" t="str">
        <f>MID(CV23,2,1)</f>
        <v/>
      </c>
      <c r="CU23" s="122" t="str">
        <f>RIGHT(CV23)</f>
        <v/>
      </c>
      <c r="CV23" s="123" t="str">
        <f>IF(CT22="","",OFFSET(Biblioteca!$I$2,MATCH(CT22,Biblioteca!$A$3:$A$200,0),0))</f>
        <v/>
      </c>
      <c r="CW23" s="124"/>
      <c r="CX23" s="125"/>
      <c r="CY23" s="117" t="str">
        <f>IF(CY22="","",IFS(DJ23="A",Montagem!$I$180,DL23="T","Realizar a maior quantidade de repetições por "&amp;DD22&amp;" segundos | ",DL23="I",IF(DK23="U","Manter a posição por "&amp;DD22&amp;" segundos de um lado e trocar para o outro na sequência | ","Manter a posição por "&amp;DD22&amp;" segundos | "),DK23="A","Realizar alternadamente "&amp;DD22&amp;" repetições cada lado | ",DK23="U","Realizar "&amp;DD22&amp;" repetições de um lado e trocar para o outro na sequência | ",DJ23="P",OFFSET(Biblioteca!$H$2,MATCH(DK22,Biblioteca!$A$3:$A$200,0),0),TRUE,""))</f>
        <v/>
      </c>
      <c r="DC23" s="118" t="str">
        <f>IF(CY22="","",IFS(DJ23="H","Carga Sugerida: "&amp;ROUNDUP(DM22/2,0)&amp;" kg de cada lado (Total: "&amp;ROUNDUP(DM22/2,0)*2&amp;" kg)",DJ23="C","Este exercício usa o Peso Corporal como carga",DJ23="E","Este exercício usa a resistência da banda elástica como carga",DJ23="O","Carga Sugerida: "&amp;INT(DM22)&amp;" kg",TRUE,""))</f>
        <v/>
      </c>
      <c r="DH23" s="66"/>
      <c r="DI23" s="126">
        <f>DI22</f>
        <v>1</v>
      </c>
      <c r="DJ23" s="120" t="str">
        <f>LEFT(DM23)</f>
        <v/>
      </c>
      <c r="DK23" s="121" t="str">
        <f>MID(DM23,2,1)</f>
        <v/>
      </c>
      <c r="DL23" s="122" t="str">
        <f>RIGHT(DM23)</f>
        <v/>
      </c>
      <c r="DM23" s="123" t="str">
        <f>IF(DK22="","",OFFSET(Biblioteca!$I$2,MATCH(DK22,Biblioteca!$A$3:$A$200,0),0))</f>
        <v/>
      </c>
      <c r="DN23" s="124"/>
      <c r="DO23" s="125"/>
      <c r="DP23" s="57"/>
      <c r="DQ23" s="56"/>
      <c r="DR23" s="56"/>
      <c r="DS23" s="56"/>
      <c r="DT23" s="56"/>
      <c r="DU23" s="56"/>
      <c r="DV23" s="56"/>
      <c r="DW23" s="56"/>
      <c r="DX23" s="56"/>
      <c r="DY23" s="56"/>
    </row>
    <row r="24">
      <c r="A24" s="90" t="s">
        <v>47</v>
      </c>
      <c r="J24" s="66"/>
      <c r="K24" s="57"/>
      <c r="L24" s="57"/>
      <c r="M24" s="57"/>
      <c r="N24" s="57"/>
      <c r="O24" s="57"/>
      <c r="P24" s="57"/>
      <c r="Q24" s="58"/>
      <c r="R24" s="90" t="s">
        <v>47</v>
      </c>
      <c r="AA24" s="66"/>
      <c r="AB24" s="138"/>
      <c r="AC24" s="57"/>
      <c r="AD24" s="138"/>
      <c r="AE24" s="138"/>
      <c r="AF24" s="57"/>
      <c r="AG24" s="57"/>
      <c r="AH24" s="58"/>
      <c r="AI24" s="90" t="s">
        <v>47</v>
      </c>
      <c r="AR24" s="66"/>
      <c r="AS24" s="138"/>
      <c r="AT24" s="57"/>
      <c r="AU24" s="138"/>
      <c r="AV24" s="138"/>
      <c r="AW24" s="57"/>
      <c r="AX24" s="57"/>
      <c r="AY24" s="58"/>
      <c r="AZ24" s="90" t="s">
        <v>47</v>
      </c>
      <c r="BI24" s="66"/>
      <c r="BJ24" s="138"/>
      <c r="BK24" s="57"/>
      <c r="BL24" s="138"/>
      <c r="BM24" s="138"/>
      <c r="BN24" s="57"/>
      <c r="BO24" s="57"/>
      <c r="BP24" s="58"/>
      <c r="BQ24" s="90" t="s">
        <v>47</v>
      </c>
      <c r="BZ24" s="66"/>
      <c r="CA24" s="138"/>
      <c r="CB24" s="57"/>
      <c r="CC24" s="138"/>
      <c r="CD24" s="138"/>
      <c r="CE24" s="57"/>
      <c r="CF24" s="57"/>
      <c r="CG24" s="58"/>
      <c r="CH24" s="90" t="s">
        <v>47</v>
      </c>
      <c r="CQ24" s="66"/>
      <c r="CR24" s="138"/>
      <c r="CS24" s="57"/>
      <c r="CT24" s="138"/>
      <c r="CU24" s="138"/>
      <c r="CV24" s="57"/>
      <c r="CW24" s="57"/>
      <c r="CX24" s="58"/>
      <c r="CY24" s="90" t="s">
        <v>47</v>
      </c>
      <c r="DH24" s="66"/>
      <c r="DI24" s="138"/>
      <c r="DJ24" s="57"/>
      <c r="DK24" s="138"/>
      <c r="DL24" s="138"/>
      <c r="DM24" s="57"/>
      <c r="DN24" s="57"/>
      <c r="DO24" s="58"/>
      <c r="DP24" s="57"/>
      <c r="DQ24" s="56"/>
      <c r="DR24" s="56"/>
      <c r="DS24" s="56"/>
      <c r="DT24" s="56"/>
      <c r="DU24" s="56"/>
      <c r="DV24" s="56"/>
      <c r="DW24" s="56"/>
      <c r="DX24" s="56"/>
      <c r="DY24" s="56"/>
    </row>
    <row r="25">
      <c r="A25" s="96" t="s">
        <v>31</v>
      </c>
      <c r="D25" s="97" t="s">
        <v>32</v>
      </c>
      <c r="E25" s="98" t="s">
        <v>33</v>
      </c>
      <c r="F25" s="98" t="s">
        <v>34</v>
      </c>
      <c r="G25" s="98" t="s">
        <v>35</v>
      </c>
      <c r="H25" s="98" t="s">
        <v>36</v>
      </c>
      <c r="I25" s="98" t="s">
        <v>37</v>
      </c>
      <c r="J25" s="99" t="s">
        <v>38</v>
      </c>
      <c r="K25" s="57"/>
      <c r="L25" s="57"/>
      <c r="M25" s="57"/>
      <c r="N25" s="57"/>
      <c r="O25" s="57"/>
      <c r="P25" s="57"/>
      <c r="Q25" s="58"/>
      <c r="R25" s="96" t="s">
        <v>31</v>
      </c>
      <c r="U25" s="139" t="s">
        <v>32</v>
      </c>
      <c r="V25" s="140" t="s">
        <v>33</v>
      </c>
      <c r="W25" s="140" t="s">
        <v>34</v>
      </c>
      <c r="X25" s="140" t="s">
        <v>35</v>
      </c>
      <c r="Y25" s="140" t="s">
        <v>36</v>
      </c>
      <c r="Z25" s="140" t="s">
        <v>37</v>
      </c>
      <c r="AA25" s="141" t="s">
        <v>38</v>
      </c>
      <c r="AB25" s="138"/>
      <c r="AC25" s="57"/>
      <c r="AD25" s="138"/>
      <c r="AE25" s="138"/>
      <c r="AF25" s="57"/>
      <c r="AG25" s="57"/>
      <c r="AH25" s="58"/>
      <c r="AI25" s="96" t="s">
        <v>31</v>
      </c>
      <c r="AL25" s="139" t="s">
        <v>32</v>
      </c>
      <c r="AM25" s="140" t="s">
        <v>33</v>
      </c>
      <c r="AN25" s="140" t="s">
        <v>34</v>
      </c>
      <c r="AO25" s="140" t="s">
        <v>35</v>
      </c>
      <c r="AP25" s="140" t="s">
        <v>36</v>
      </c>
      <c r="AQ25" s="140" t="s">
        <v>37</v>
      </c>
      <c r="AR25" s="141" t="s">
        <v>38</v>
      </c>
      <c r="AS25" s="138"/>
      <c r="AT25" s="57"/>
      <c r="AU25" s="138"/>
      <c r="AV25" s="138"/>
      <c r="AW25" s="57"/>
      <c r="AX25" s="57"/>
      <c r="AY25" s="58"/>
      <c r="AZ25" s="96" t="s">
        <v>31</v>
      </c>
      <c r="BC25" s="139" t="s">
        <v>32</v>
      </c>
      <c r="BD25" s="140" t="s">
        <v>33</v>
      </c>
      <c r="BE25" s="140" t="s">
        <v>34</v>
      </c>
      <c r="BF25" s="140" t="s">
        <v>35</v>
      </c>
      <c r="BG25" s="140" t="s">
        <v>36</v>
      </c>
      <c r="BH25" s="140" t="s">
        <v>37</v>
      </c>
      <c r="BI25" s="141" t="s">
        <v>38</v>
      </c>
      <c r="BJ25" s="138"/>
      <c r="BK25" s="57"/>
      <c r="BL25" s="138"/>
      <c r="BM25" s="138"/>
      <c r="BN25" s="57"/>
      <c r="BO25" s="57"/>
      <c r="BP25" s="58"/>
      <c r="BQ25" s="96" t="s">
        <v>31</v>
      </c>
      <c r="BT25" s="139" t="s">
        <v>32</v>
      </c>
      <c r="BU25" s="140" t="s">
        <v>33</v>
      </c>
      <c r="BV25" s="140" t="s">
        <v>34</v>
      </c>
      <c r="BW25" s="140" t="s">
        <v>35</v>
      </c>
      <c r="BX25" s="140" t="s">
        <v>36</v>
      </c>
      <c r="BY25" s="140" t="s">
        <v>37</v>
      </c>
      <c r="BZ25" s="141" t="s">
        <v>38</v>
      </c>
      <c r="CA25" s="138"/>
      <c r="CB25" s="57"/>
      <c r="CC25" s="138"/>
      <c r="CD25" s="138"/>
      <c r="CE25" s="57"/>
      <c r="CF25" s="57"/>
      <c r="CG25" s="58"/>
      <c r="CH25" s="96" t="s">
        <v>31</v>
      </c>
      <c r="CK25" s="139" t="s">
        <v>32</v>
      </c>
      <c r="CL25" s="140" t="s">
        <v>33</v>
      </c>
      <c r="CM25" s="140" t="s">
        <v>34</v>
      </c>
      <c r="CN25" s="140" t="s">
        <v>35</v>
      </c>
      <c r="CO25" s="140" t="s">
        <v>36</v>
      </c>
      <c r="CP25" s="140" t="s">
        <v>37</v>
      </c>
      <c r="CQ25" s="141" t="s">
        <v>38</v>
      </c>
      <c r="CR25" s="138"/>
      <c r="CS25" s="57"/>
      <c r="CT25" s="138"/>
      <c r="CU25" s="138"/>
      <c r="CV25" s="57"/>
      <c r="CW25" s="57"/>
      <c r="CX25" s="58"/>
      <c r="CY25" s="96" t="s">
        <v>31</v>
      </c>
      <c r="DB25" s="139" t="s">
        <v>32</v>
      </c>
      <c r="DC25" s="140" t="s">
        <v>33</v>
      </c>
      <c r="DD25" s="140" t="s">
        <v>34</v>
      </c>
      <c r="DE25" s="140" t="s">
        <v>35</v>
      </c>
      <c r="DF25" s="140" t="s">
        <v>36</v>
      </c>
      <c r="DG25" s="140" t="s">
        <v>37</v>
      </c>
      <c r="DH25" s="141" t="s">
        <v>38</v>
      </c>
      <c r="DI25" s="138"/>
      <c r="DJ25" s="57"/>
      <c r="DK25" s="138"/>
      <c r="DL25" s="138"/>
      <c r="DM25" s="57"/>
      <c r="DN25" s="57"/>
      <c r="DO25" s="58"/>
      <c r="DP25" s="142"/>
      <c r="DQ25" s="56"/>
      <c r="DR25" s="56"/>
      <c r="DS25" s="56"/>
      <c r="DT25" s="56"/>
      <c r="DU25" s="56"/>
      <c r="DV25" s="56"/>
      <c r="DW25" s="56"/>
      <c r="DX25" s="56"/>
      <c r="DY25" s="56"/>
    </row>
    <row r="26">
      <c r="A26" s="213" t="str">
        <f>IF(M26="","",HYPERLINK(OFFSET(Biblioteca!$B$2,MATCH(M26,Biblioteca!$A$3:$A$200,0),0),M26))</f>
        <v>Esteira</v>
      </c>
      <c r="D26" s="103" t="str">
        <f>Montagem!Q171</f>
        <v/>
      </c>
      <c r="E26" s="104" t="str">
        <f>Montagem!R171</f>
        <v/>
      </c>
      <c r="F26" s="104" t="str">
        <f>Montagem!S171</f>
        <v/>
      </c>
      <c r="G26" s="104">
        <f>Montagem!T171</f>
        <v>60</v>
      </c>
      <c r="H26" s="104" t="str">
        <f>Montagem!U171</f>
        <v/>
      </c>
      <c r="I26" s="132" t="str">
        <f>Montagem!V171</f>
        <v/>
      </c>
      <c r="J26" s="105"/>
      <c r="K26" s="106">
        <f>Montagem!K171</f>
        <v>1</v>
      </c>
      <c r="L26" s="111">
        <f>Montagem!W171</f>
        <v>0</v>
      </c>
      <c r="M26" s="111" t="str">
        <f>Montagem!L171</f>
        <v>Esteira</v>
      </c>
      <c r="N26" s="111" t="str">
        <f>Montagem!X171</f>
        <v/>
      </c>
      <c r="O26" s="106">
        <f>IF(N26="",L26,N26)</f>
        <v>0</v>
      </c>
      <c r="P26" s="106">
        <f>IF(L27="C",'Dados de Base'!$D$5*0.1,IF(L27="E",5,IF(J26="",O26,J26)))</f>
        <v>0</v>
      </c>
      <c r="Q26" s="108"/>
      <c r="R26" s="115" t="str">
        <f>IF(AD26="","",HYPERLINK(OFFSET(Biblioteca!$B$2,MATCH(AD26,Biblioteca!$A$3:$A$200,0),0),AD26))</f>
        <v>Bicicleta</v>
      </c>
      <c r="U26" s="109" t="str">
        <f>Montagem!AF171</f>
        <v/>
      </c>
      <c r="V26" s="110" t="str">
        <f>Montagem!AG171</f>
        <v/>
      </c>
      <c r="W26" s="110" t="str">
        <f>Montagem!AH171</f>
        <v/>
      </c>
      <c r="X26" s="110">
        <f>Montagem!AI171</f>
        <v>60</v>
      </c>
      <c r="Y26" s="135" t="str">
        <f>Montagem!AJ171</f>
        <v/>
      </c>
      <c r="Z26" s="109" t="str">
        <f>Montagem!AK171</f>
        <v/>
      </c>
      <c r="AA26" s="113"/>
      <c r="AB26" s="111">
        <f>Montagem!Z171</f>
        <v>1</v>
      </c>
      <c r="AC26" s="111">
        <f>Montagem!AL171</f>
        <v>0</v>
      </c>
      <c r="AD26" s="129" t="str">
        <f>Montagem!AA171</f>
        <v>Bicicleta</v>
      </c>
      <c r="AE26" s="111" t="str">
        <f>Montagem!AM171</f>
        <v/>
      </c>
      <c r="AF26" s="106">
        <f>IF(AE26="",AC26,AE26)</f>
        <v>0</v>
      </c>
      <c r="AG26" s="106">
        <f>IF(AC27="C",'Dados de Base'!$D$5*0.1,IF(AC27="E",5,IF(AA26="",AF26,AA26)))</f>
        <v>0</v>
      </c>
      <c r="AH26" s="108"/>
      <c r="AI26" s="115" t="str">
        <f>IF(AU26="","",HYPERLINK(OFFSET(Biblioteca!$B$2,MATCH(AU26,Biblioteca!$A$3:$A$200,0),0),AU26))</f>
        <v>Pista</v>
      </c>
      <c r="AL26" s="109" t="str">
        <f>Montagem!AU171</f>
        <v/>
      </c>
      <c r="AM26" s="110" t="str">
        <f>Montagem!AV171</f>
        <v/>
      </c>
      <c r="AN26" s="110" t="str">
        <f>Montagem!AW171</f>
        <v/>
      </c>
      <c r="AO26" s="110" t="str">
        <f>Montagem!AX171</f>
        <v/>
      </c>
      <c r="AP26" s="135" t="str">
        <f>Montagem!AY171</f>
        <v/>
      </c>
      <c r="AQ26" s="109" t="str">
        <f>Montagem!AZ171</f>
        <v/>
      </c>
      <c r="AR26" s="114"/>
      <c r="AS26" s="111">
        <f>Montagem!AO171</f>
        <v>1</v>
      </c>
      <c r="AT26" s="111">
        <f>Montagem!BA171</f>
        <v>0</v>
      </c>
      <c r="AU26" s="111" t="str">
        <f>Montagem!AP171</f>
        <v>Pista</v>
      </c>
      <c r="AV26" s="111" t="str">
        <f>Montagem!BB171</f>
        <v/>
      </c>
      <c r="AW26" s="106">
        <f>IF(AV26="",AT26,AV26)</f>
        <v>0</v>
      </c>
      <c r="AX26" s="106">
        <f>IF(AT27="C",'Dados de Base'!$D$5*0.1,IF(AT27="E",5,IF(AR26="",AW26,AR26)))</f>
        <v>0</v>
      </c>
      <c r="AY26" s="108"/>
      <c r="AZ26" s="115" t="str">
        <f>IF(BL26="","",HYPERLINK(OFFSET(Biblioteca!$B$2,MATCH(BL26,Biblioteca!$A$3:$A$200,0),0),BL26))</f>
        <v>Flexão com impulsão</v>
      </c>
      <c r="BC26" s="109" t="str">
        <f>Montagem!BJ171</f>
        <v>Bi-SET</v>
      </c>
      <c r="BD26" s="110">
        <f>Montagem!BK171</f>
        <v>3</v>
      </c>
      <c r="BE26" s="110">
        <f>Montagem!BL171</f>
        <v>10</v>
      </c>
      <c r="BF26" s="110" t="str">
        <f>Montagem!BM171</f>
        <v/>
      </c>
      <c r="BG26" s="110">
        <f>Montagem!BN171</f>
        <v>1</v>
      </c>
      <c r="BH26" s="110">
        <f>Montagem!BO171</f>
        <v>2</v>
      </c>
      <c r="BI26" s="113"/>
      <c r="BJ26" s="111">
        <f>Montagem!BD171</f>
        <v>1</v>
      </c>
      <c r="BK26" s="111">
        <f>Montagem!BP171</f>
        <v>0</v>
      </c>
      <c r="BL26" s="111" t="str">
        <f>Montagem!BE171</f>
        <v>Flexão com impulsão</v>
      </c>
      <c r="BM26" s="111" t="str">
        <f>Montagem!BQ171</f>
        <v/>
      </c>
      <c r="BN26" s="106">
        <f>IF(BM26="",BK26,BM26)</f>
        <v>0</v>
      </c>
      <c r="BO26" s="106">
        <f>IF(BK27="C",'Dados de Base'!$D$5*0.1,IF(BK27="E",5,IF(BI26="",BN26,BI26)))</f>
        <v>0</v>
      </c>
      <c r="BP26" s="108"/>
      <c r="BQ26" s="102" t="str">
        <f>IF(CC26="","",HYPERLINK(OFFSET(Biblioteca!$B$2,MATCH(CC26,Biblioteca!$A$3:$A$200,0),0),CC26))</f>
        <v>Corda</v>
      </c>
      <c r="BT26" s="109" t="str">
        <f>Montagem!BY171</f>
        <v/>
      </c>
      <c r="BU26" s="110" t="str">
        <f>Montagem!BZ171</f>
        <v/>
      </c>
      <c r="BV26" s="110" t="str">
        <f>Montagem!CA171</f>
        <v/>
      </c>
      <c r="BW26" s="110">
        <f>Montagem!CB171</f>
        <v>60</v>
      </c>
      <c r="BX26" s="135" t="str">
        <f>Montagem!CC171</f>
        <v/>
      </c>
      <c r="BY26" s="109" t="str">
        <f>Montagem!CD171</f>
        <v/>
      </c>
      <c r="BZ26" s="113"/>
      <c r="CA26" s="111">
        <f>Montagem!BS171</f>
        <v>1</v>
      </c>
      <c r="CB26" s="111">
        <f>Montagem!CE171</f>
        <v>0</v>
      </c>
      <c r="CC26" s="111" t="str">
        <f>Montagem!BT171</f>
        <v>Corda</v>
      </c>
      <c r="CD26" s="111" t="str">
        <f>Montagem!CF171</f>
        <v/>
      </c>
      <c r="CE26" s="106">
        <f>IF(CD26="",CB26,CD26)</f>
        <v>0</v>
      </c>
      <c r="CF26" s="106">
        <f>IF(CB27="C",'Dados de Base'!$D$5*0.1,IF(CB27="E",5,IF(BZ26="",CE26,BZ26)))</f>
        <v>0</v>
      </c>
      <c r="CG26" s="108"/>
      <c r="CH26" s="115" t="str">
        <f>IF(CT26="","",HYPERLINK(OFFSET(Biblioteca!$B$2,MATCH(CT26,Biblioteca!$A$3:$A$200,0),0),CT26))</f>
        <v>Pista</v>
      </c>
      <c r="CK26" s="109" t="str">
        <f>Montagem!CN171</f>
        <v/>
      </c>
      <c r="CL26" s="110" t="str">
        <f>Montagem!CO171</f>
        <v/>
      </c>
      <c r="CM26" s="110" t="str">
        <f>Montagem!CP171</f>
        <v/>
      </c>
      <c r="CN26" s="110" t="str">
        <f>Montagem!CQ171</f>
        <v/>
      </c>
      <c r="CO26" s="135" t="str">
        <f>Montagem!CR171</f>
        <v/>
      </c>
      <c r="CP26" s="109" t="str">
        <f>Montagem!CS171</f>
        <v/>
      </c>
      <c r="CQ26" s="114"/>
      <c r="CR26" s="111">
        <f>Montagem!CH171</f>
        <v>1</v>
      </c>
      <c r="CS26" s="111">
        <f>Montagem!CT171</f>
        <v>0</v>
      </c>
      <c r="CT26" s="111" t="str">
        <f>Montagem!CI171</f>
        <v>Pista</v>
      </c>
      <c r="CU26" s="111" t="str">
        <f>Montagem!CU171</f>
        <v/>
      </c>
      <c r="CV26" s="106">
        <f>IF(CU26="",CS26,CU26)</f>
        <v>0</v>
      </c>
      <c r="CW26" s="106">
        <f>IF(CS27="C",'Dados de Base'!$D$5*0.1,IF(CS27="E",5,IF(CQ26="",CV26,CQ26)))</f>
        <v>0</v>
      </c>
      <c r="CX26" s="108"/>
      <c r="CY26" s="115" t="str">
        <f>IF(DK26="","",HYPERLINK(OFFSET(Biblioteca!$B$2,MATCH(DK26,Biblioteca!$A$3:$A$200,0),0),DK26))</f>
        <v/>
      </c>
      <c r="DB26" s="130" t="str">
        <f>Montagem!DC171</f>
        <v/>
      </c>
      <c r="DC26" s="131" t="str">
        <f>Montagem!DD171</f>
        <v/>
      </c>
      <c r="DD26" s="131" t="str">
        <f>Montagem!DE171</f>
        <v/>
      </c>
      <c r="DE26" s="131" t="str">
        <f>Montagem!DF171</f>
        <v/>
      </c>
      <c r="DF26" s="136" t="str">
        <f>Montagem!DG171</f>
        <v/>
      </c>
      <c r="DG26" s="130" t="str">
        <f>Montagem!DH171</f>
        <v/>
      </c>
      <c r="DH26" s="113"/>
      <c r="DI26" s="111">
        <f>Montagem!CW171</f>
        <v>1</v>
      </c>
      <c r="DJ26" s="111" t="str">
        <f>Montagem!DI171</f>
        <v/>
      </c>
      <c r="DK26" s="111" t="str">
        <f>Montagem!CX171</f>
        <v/>
      </c>
      <c r="DL26" s="111" t="str">
        <f>Montagem!DJ171</f>
        <v/>
      </c>
      <c r="DM26" s="106" t="str">
        <f>IF(DL26="",DJ26,DL26)</f>
        <v/>
      </c>
      <c r="DN26" s="106" t="str">
        <f>IF(DJ27="C",'Dados de Base'!$D$5*0.1,IF(DJ27="E",5,IF(DH26="",DM26,DH26)))</f>
        <v/>
      </c>
      <c r="DO26" s="108"/>
      <c r="DP26" s="106"/>
      <c r="DQ26" s="106"/>
      <c r="DR26" s="106"/>
      <c r="DS26" s="106"/>
      <c r="DT26" s="106"/>
      <c r="DU26" s="106"/>
      <c r="DV26" s="106"/>
      <c r="DW26" s="106"/>
      <c r="DX26" s="106"/>
      <c r="DY26" s="106"/>
    </row>
    <row r="27">
      <c r="A27" s="117" t="str">
        <f>IF(A26="","",IFS(L27="A",Montagem!$C$180,N27="T","Realizar a maior quantidade de repetições por "&amp;F26&amp;" segundos | ",N27="I",IF(M27="U","Manter a posição por "&amp;F26&amp;" segundos de um lado e trocar para o outro na sequência | ","Manter a posição por "&amp;F26&amp;" segundos | "),M27="A","Realizar alternadamente "&amp;F26&amp;" repetições cada lado | ",M27="U","Realizar "&amp;F26&amp;" repetições de um lado e trocar para o outro na sequência | ",L27="P",OFFSET(Biblioteca!$H$2,MATCH(M26,Biblioteca!$A$3:$A$200,0),0),TRUE,"")&amp;IF(N27="R","Ajuste a carga para que tenha "&amp;$K$2&amp;" repetições de reserva",""))</f>
        <v>1x (3m a 142,95 - 148,3 bpm-&gt; 15,4 - 16,4km/h)</v>
      </c>
      <c r="E27" s="118" t="str">
        <f>IF(A26="","",IFS(L27="H","Carga Sugerida: "&amp;ROUNDUP(O26/2,0)&amp;" kg de cada lado (Total: "&amp;ROUNDUP(O26/2,0)*2&amp;" kg)",L27="C","Este exercício usa o Peso Corporal como carga",L27="E","Este exercício usa a resistência da banda elástica como carga",L27="O","Carga Sugerida: "&amp;INT(O26)&amp;" kg",TRUE,""))</f>
        <v/>
      </c>
      <c r="J27" s="66"/>
      <c r="K27" s="126">
        <f>K26</f>
        <v>1</v>
      </c>
      <c r="L27" s="120" t="str">
        <f>LEFT(O27)</f>
        <v>A</v>
      </c>
      <c r="M27" s="121" t="str">
        <f>MID(O27,2,1)</f>
        <v>-</v>
      </c>
      <c r="N27" s="122" t="str">
        <f>RIGHT(O27)</f>
        <v>-</v>
      </c>
      <c r="O27" s="123" t="str">
        <f>IF(M26="","",OFFSET(Biblioteca!$I$2,MATCH(M26,Biblioteca!$A$3:$A$200,0),0))</f>
        <v>A--</v>
      </c>
      <c r="P27" s="124"/>
      <c r="Q27" s="125"/>
      <c r="R27" s="117" t="str">
        <f>IF(R26="","",IFS(AC27="A",Montagem!$D$180,AE27="T","Realizar a maior quantidade de repetições por "&amp;W26&amp;" segundos | ",AE27="I",IF(AD27="U","Manter a posição por "&amp;W26&amp;" segundos de um lado e trocar para o outro na sequência | ","Manter a posição por "&amp;W26&amp;" segundos | "),AD27="A","Realizar alternadamente "&amp;W26&amp;" repetições cada lado | ",AD27="U","Realizar "&amp;W26&amp;" repetições de um lado e trocar para o outro na sequência | ",AC27="P",OFFSET(Biblioteca!$H$2,MATCH(AD26,Biblioteca!$A$3:$A$200,0),0),TRUE,"")&amp;IF(AE27="R","Ajuste a carga para que tenha "&amp;$K$2&amp;" repetições de reserva",""))</f>
        <v>1x (3m all out)</v>
      </c>
      <c r="V27" s="118" t="str">
        <f>IF(R26="","",IFS(AC27="H","Carga Sugerida: "&amp;ROUNDUP(AF26/2,0)&amp;" kg de cada lado (Total: "&amp;ROUNDUP(AF26/2,0)*2&amp;" kg)",AC27="C","Este exercício usa o Peso Corporal como carga",AC27="E","Este exercício usa a resistência da banda elástica como carga",AC27="O","Carga Sugerida: "&amp;INT(AF26)&amp;" kg",TRUE,""))</f>
        <v/>
      </c>
      <c r="AA27" s="66"/>
      <c r="AB27" s="126">
        <f>AB26</f>
        <v>1</v>
      </c>
      <c r="AC27" s="120" t="str">
        <f>LEFT(AF27)</f>
        <v>A</v>
      </c>
      <c r="AD27" s="121" t="str">
        <f>MID(AF27,2,1)</f>
        <v>-</v>
      </c>
      <c r="AE27" s="122" t="str">
        <f>RIGHT(AF27)</f>
        <v>-</v>
      </c>
      <c r="AF27" s="123" t="str">
        <f>IF(AD26="","",OFFSET(Biblioteca!$I$2,MATCH(AD26,Biblioteca!$A$3:$A$200,0),0))</f>
        <v>A--</v>
      </c>
      <c r="AG27" s="124"/>
      <c r="AH27" s="125"/>
      <c r="AI27" s="117" t="str">
        <f>IF(AI26="","",IFS(AT27="A",Montagem!$E$180,AV27="T","Realizar a maior quantidade de repetições por "&amp;AN26&amp;" segundos | ",AV27="I",IF(AU27="U","Manter a posição por "&amp;AN26&amp;" segundos de um lado e trocar para o outro na sequência | ","Manter a posição por "&amp;AN26&amp;" segundos | "),AU27="A","Realizar alternadamente "&amp;AN26&amp;" repetições cada lado | ",AU27="U","Realizar "&amp;AN26&amp;" repetições de um lado e trocar para o outro na sequência | ",AT27="P",OFFSET(Biblioteca!$H$2,MATCH(AU26,Biblioteca!$A$3:$A$200,0),0),TRUE,"")&amp;IF(AV27="R","Ajuste a carga para que tenha "&amp;$K$2&amp;" repetições de reserva",""))</f>
        <v>- Correr 15 km no menor tempo possível.
</v>
      </c>
      <c r="AM27" s="118" t="str">
        <f>IF(AI26="","",IFS(AT27="H","Carga Sugerida: "&amp;ROUNDUP(AW26/2,0)&amp;" kg de cada lado (Total: "&amp;ROUNDUP(AW26/2,0)*2&amp;" kg)",AT27="C","Este exercício usa o Peso Corporal como carga",AT27="E","Este exercício usa a resistência da banda elástica como carga",AT27="O","Carga Sugerida: "&amp;INT(AW26)&amp;" kg",TRUE,""))</f>
        <v/>
      </c>
      <c r="AR27" s="66"/>
      <c r="AS27" s="126">
        <f>AS26</f>
        <v>1</v>
      </c>
      <c r="AT27" s="120" t="str">
        <f>LEFT(AW27)</f>
        <v>A</v>
      </c>
      <c r="AU27" s="121" t="str">
        <f>MID(AW27,2,1)</f>
        <v>-</v>
      </c>
      <c r="AV27" s="122" t="str">
        <f>RIGHT(AW27)</f>
        <v>-</v>
      </c>
      <c r="AW27" s="123" t="str">
        <f>IF(AU26="","",OFFSET(Biblioteca!$I$2,MATCH(AU26,Biblioteca!$A$3:$A$200,0),0))</f>
        <v>A--</v>
      </c>
      <c r="AX27" s="124"/>
      <c r="AY27" s="125"/>
      <c r="AZ27" s="117" t="str">
        <f>IF(AZ26="","",IFS(BK27="A",Montagem!$F$180,BM27="T","Realizar a maior quantidade de repetições por "&amp;BE26&amp;" segundos | ",BM27="I",IF(BL27="U","Manter a posição por "&amp;BE26&amp;" segundos de um lado e trocar para o outro na sequência | ","Manter a posição por "&amp;BE26&amp;" segundos | "),BL27="A","Realizar alternadamente "&amp;BE26&amp;" repetições cada lado | ",BL27="U","Realizar "&amp;BE26&amp;" repetições de um lado e trocar para o outro na sequência | ",BK27="P",OFFSET(Biblioteca!$H$2,MATCH(BL26,Biblioteca!$A$3:$A$200,0),0),TRUE,"")&amp;IF(BM27="R","Ajuste a carga para que tenha "&amp;$K$2&amp;" repetições de reserva",""))</f>
        <v/>
      </c>
      <c r="BD27" s="118" t="str">
        <f>IF(AZ26="","",IFS(BK27="H","Carga Sugerida: "&amp;ROUNDUP(BN26/2,0)&amp;" kg de cada lado (Total: "&amp;ROUNDUP(BN26/2,0)*2&amp;" kg)",BK27="C","Este exercício usa o Peso Corporal como carga",BK27="E","Este exercício usa a resistência da banda elástica como carga",BK27="O","Carga Sugerida: "&amp;INT(BN26)&amp;" kg",TRUE,""))</f>
        <v/>
      </c>
      <c r="BI27" s="66"/>
      <c r="BJ27" s="126">
        <f>BJ26</f>
        <v>1</v>
      </c>
      <c r="BK27" s="120" t="str">
        <f>LEFT(BN27)</f>
        <v/>
      </c>
      <c r="BL27" s="121" t="str">
        <f>MID(BN27,2,1)</f>
        <v/>
      </c>
      <c r="BM27" s="122" t="str">
        <f>RIGHT(BN27)</f>
        <v/>
      </c>
      <c r="BN27" s="123" t="str">
        <f>IF(BL26="","",OFFSET(Biblioteca!$I$2,MATCH(BL26,Biblioteca!$A$3:$A$200,0),0))</f>
        <v/>
      </c>
      <c r="BO27" s="124"/>
      <c r="BP27" s="125"/>
      <c r="BQ27" s="117" t="str">
        <f>IF(BQ26="","",IFS(CB27="A",Montagem!$G$180,CD27="T","Realizar a maior quantidade de repetições por "&amp;BV26&amp;" segundos | ",CD27="I",IF(CC27="U","Manter a posição por "&amp;BV26&amp;" segundos de um lado e trocar para o outro na sequência | ","Manter a posição por "&amp;BV26&amp;" segundos | "),CC27="A","Realizar alternadamente "&amp;BV26&amp;" repetições cada lado | ",CC27="U","Realizar "&amp;BV26&amp;" repetições de um lado e trocar para o outro na sequência | ",CB27="P",OFFSET(Biblioteca!$H$2,MATCH(CC26,Biblioteca!$A$3:$A$200,0),0),TRUE,"")&amp;IF(CD27="R","Ajuste a carga para que tenha "&amp;$K$2&amp;" repetições de reserva",""))</f>
        <v>1x (5m all out)</v>
      </c>
      <c r="BU27" s="118" t="str">
        <f>IF(BQ26="","",IFS(CB27="H","Carga Sugerida: "&amp;ROUNDUP(CE26/2,0)&amp;" kg de cada lado (Total: "&amp;ROUNDUP(CE26/2,0)*2&amp;" kg)",CB27="C","Este exercício usa o Peso Corporal como carga",CB27="E","Este exercício usa a resistência da banda elástica como carga",CB27="O","Carga Sugerida: "&amp;INT(CE26)&amp;" kg",TRUE,""))</f>
        <v/>
      </c>
      <c r="BZ27" s="66"/>
      <c r="CA27" s="126">
        <f>CA26</f>
        <v>1</v>
      </c>
      <c r="CB27" s="120" t="str">
        <f>LEFT(CE27)</f>
        <v>A</v>
      </c>
      <c r="CC27" s="121" t="str">
        <f>MID(CE27,2,1)</f>
        <v>T</v>
      </c>
      <c r="CD27" s="122" t="str">
        <f>RIGHT(CE27)</f>
        <v>T</v>
      </c>
      <c r="CE27" s="123" t="str">
        <f>IF(CC26="","",OFFSET(Biblioteca!$I$2,MATCH(CC26,Biblioteca!$A$3:$A$200,0),0))</f>
        <v>AT</v>
      </c>
      <c r="CF27" s="124"/>
      <c r="CG27" s="125"/>
      <c r="CH27" s="117" t="str">
        <f>IF(CH26="","",IFS(CS27="A",Montagem!$H$180,CU27="T","Realizar a maior quantidade de repetições por "&amp;CM26&amp;" segundos | ",CU27="I",IF(CT27="U","Manter a posição por "&amp;CM26&amp;" segundos de um lado e trocar para o outro na sequência | ","Manter a posição por "&amp;CM26&amp;" segundos | "),CT27="A","Realizar alternadamente "&amp;CM26&amp;" repetições cada lado | ",CT27="U","Realizar "&amp;CM26&amp;" repetições de um lado e trocar para o outro na sequência | ",CS27="P",OFFSET(Biblioteca!$H$2,MATCH(CT26,Biblioteca!$A$3:$A$200,0),0),TRUE,"")&amp;IF(CU27="R","Ajuste a carga para que tenha "&amp;$K$2&amp;" repetições de reserva",""))</f>
        <v>***TRAJETO***
- 2 km à 11,0km/h;
- 26km à 12,5 km/h;
- 2 km All out </v>
      </c>
      <c r="CL27" s="118" t="str">
        <f>IF(CH26="","",IFS(CS27="H","Carga Sugerida: "&amp;ROUNDUP(CV26/2,0)&amp;" kg de cada lado (Total: "&amp;ROUNDUP(CV26/2,0)*2&amp;" kg)",CS27="C","Este exercício usa o Peso Corporal como carga",CS27="E","Este exercício usa a resistência da banda elástica como carga",CS27="O","Carga Sugerida: "&amp;INT(CV26)&amp;" kg",TRUE,""))</f>
        <v/>
      </c>
      <c r="CQ27" s="66"/>
      <c r="CR27" s="126">
        <f>CR26</f>
        <v>1</v>
      </c>
      <c r="CS27" s="120" t="str">
        <f>LEFT(CV27)</f>
        <v>A</v>
      </c>
      <c r="CT27" s="121" t="str">
        <f>MID(CV27,2,1)</f>
        <v>-</v>
      </c>
      <c r="CU27" s="122" t="str">
        <f>RIGHT(CV27)</f>
        <v>-</v>
      </c>
      <c r="CV27" s="123" t="str">
        <f>IF(CT26="","",OFFSET(Biblioteca!$I$2,MATCH(CT26,Biblioteca!$A$3:$A$200,0),0))</f>
        <v>A--</v>
      </c>
      <c r="CW27" s="124"/>
      <c r="CX27" s="125"/>
      <c r="CY27" s="117" t="str">
        <f>IF(CY26="","",IFS(DJ27="A",Montagem!$I$180,DL27="T","Realizar a maior quantidade de repetições por "&amp;DD26&amp;" segundos | ",DL27="I",IF(DK27="U","Manter a posição por "&amp;DD26&amp;" segundos de um lado e trocar para o outro na sequência | ","Manter a posição por "&amp;DD26&amp;" segundos | "),DK27="A","Realizar alternadamente "&amp;DD26&amp;" repetições cada lado | ",DK27="U","Realizar "&amp;DD26&amp;" repetições de um lado e trocar para o outro na sequência | ",DJ27="P",OFFSET(Biblioteca!$H$2,MATCH(DK26,Biblioteca!$A$3:$A$200,0),0),TRUE,"")&amp;IF(DL27="R","Ajuste a carga para que tenha "&amp;$K$2&amp;" repetições de reserva",""))</f>
        <v/>
      </c>
      <c r="DC27" s="118" t="str">
        <f>IF(CY26="","",IFS(DJ27="H","Carga Sugerida: "&amp;ROUNDUP(DM26/2,0)&amp;" kg de cada lado (Total: "&amp;ROUNDUP(DM26/2,0)*2&amp;" kg)",DJ27="C","Este exercício usa o Peso Corporal como carga",DJ27="E","Este exercício usa a resistência da banda elástica como carga",DJ27="O","Carga Sugerida: "&amp;INT(DM26)&amp;" kg",TRUE,""))</f>
        <v/>
      </c>
      <c r="DH27" s="66"/>
      <c r="DI27" s="126">
        <f>DI26</f>
        <v>1</v>
      </c>
      <c r="DJ27" s="120" t="str">
        <f>LEFT(DM27)</f>
        <v/>
      </c>
      <c r="DK27" s="121" t="str">
        <f>MID(DM27,2,1)</f>
        <v/>
      </c>
      <c r="DL27" s="122" t="str">
        <f>RIGHT(DM27)</f>
        <v/>
      </c>
      <c r="DM27" s="123" t="str">
        <f>IF(DK26="","",OFFSET(Biblioteca!$I$2,MATCH(DK26,Biblioteca!$A$3:$A$200,0),0))</f>
        <v/>
      </c>
      <c r="DN27" s="124"/>
      <c r="DO27" s="125"/>
      <c r="DP27" s="57"/>
      <c r="DQ27" s="56"/>
      <c r="DR27" s="56"/>
      <c r="DS27" s="56"/>
      <c r="DT27" s="56"/>
      <c r="DU27" s="56"/>
      <c r="DV27" s="56"/>
      <c r="DW27" s="56"/>
      <c r="DX27" s="56"/>
      <c r="DY27" s="56"/>
    </row>
    <row r="28">
      <c r="A28" s="102" t="str">
        <f>IF(M28="","",HYPERLINK(OFFSET(Biblioteca!$B$2,MATCH(M28,Biblioteca!$A$3:$A$200,0),0),M28))</f>
        <v>Supino</v>
      </c>
      <c r="D28" s="103" t="str">
        <f>Montagem!Q172</f>
        <v>Bi-SET</v>
      </c>
      <c r="E28" s="104">
        <f>Montagem!R172</f>
        <v>3</v>
      </c>
      <c r="F28" s="104">
        <f>Montagem!S172</f>
        <v>8</v>
      </c>
      <c r="G28" s="104" t="str">
        <f>Montagem!T172</f>
        <v/>
      </c>
      <c r="H28" s="104">
        <f>Montagem!U172</f>
        <v>1</v>
      </c>
      <c r="I28" s="127">
        <f>Montagem!V172</f>
        <v>2</v>
      </c>
      <c r="J28" s="105"/>
      <c r="K28" s="106">
        <f>Montagem!K172</f>
        <v>2</v>
      </c>
      <c r="L28" s="111">
        <f>Montagem!W172</f>
        <v>66.15</v>
      </c>
      <c r="M28" s="111" t="str">
        <f>Montagem!L172</f>
        <v>Supino</v>
      </c>
      <c r="N28" s="111" t="str">
        <f>Montagem!X172</f>
        <v/>
      </c>
      <c r="O28" s="106">
        <f>IF(N28="",L28,N28)</f>
        <v>66.15</v>
      </c>
      <c r="P28" s="106">
        <f>IF(L29="C",'Dados de Base'!$D$5*0.1,IF(L29="E",5,IF(J28="",O28,J28)))</f>
        <v>66.15</v>
      </c>
      <c r="Q28" s="108"/>
      <c r="R28" s="102" t="str">
        <f>IF(AD28="","",HYPERLINK(OFFSET(Biblioteca!$B$2,MATCH(AD28,Biblioteca!$A$3:$A$200,0),0),AD28))</f>
        <v>Agachamento</v>
      </c>
      <c r="U28" s="109" t="str">
        <f>Montagem!AF172</f>
        <v>Bi-SET</v>
      </c>
      <c r="V28" s="110">
        <f>Montagem!AG172</f>
        <v>3</v>
      </c>
      <c r="W28" s="110">
        <f>Montagem!AH172</f>
        <v>8</v>
      </c>
      <c r="X28" s="110" t="str">
        <f>Montagem!AI172</f>
        <v/>
      </c>
      <c r="Y28" s="110">
        <f>Montagem!AJ172</f>
        <v>1</v>
      </c>
      <c r="Z28" s="110">
        <f>Montagem!AK172</f>
        <v>2</v>
      </c>
      <c r="AA28" s="113"/>
      <c r="AB28" s="111">
        <f>Montagem!Z172</f>
        <v>2</v>
      </c>
      <c r="AC28" s="111">
        <f>Montagem!AL172</f>
        <v>99.225</v>
      </c>
      <c r="AD28" s="129" t="str">
        <f>Montagem!AA172</f>
        <v>Agachamento</v>
      </c>
      <c r="AE28" s="111" t="str">
        <f>Montagem!AM172</f>
        <v/>
      </c>
      <c r="AF28" s="106">
        <f>IF(AE28="",AC28,AE28)</f>
        <v>99.225</v>
      </c>
      <c r="AG28" s="106">
        <f>IF(AC29="C",'Dados de Base'!$D$5*0.1,IF(AC29="E",5,IF(AA28="",AF28,AA28)))</f>
        <v>99.225</v>
      </c>
      <c r="AH28" s="108"/>
      <c r="AI28" s="115" t="str">
        <f>IF(AU28="","",HYPERLINK(OFFSET(Biblioteca!$B$2,MATCH(AU28,Biblioteca!$A$3:$A$200,0),0),AU28))</f>
        <v/>
      </c>
      <c r="AL28" s="109" t="str">
        <f>Montagem!AU172</f>
        <v/>
      </c>
      <c r="AM28" s="110" t="str">
        <f>Montagem!AV172</f>
        <v/>
      </c>
      <c r="AN28" s="110" t="str">
        <f>Montagem!AW172</f>
        <v/>
      </c>
      <c r="AO28" s="110" t="str">
        <f>Montagem!AX172</f>
        <v/>
      </c>
      <c r="AP28" s="110" t="str">
        <f>Montagem!AY172</f>
        <v/>
      </c>
      <c r="AQ28" s="110" t="str">
        <f>Montagem!AZ172</f>
        <v/>
      </c>
      <c r="AR28" s="114"/>
      <c r="AS28" s="111">
        <f>Montagem!AO172</f>
        <v>1</v>
      </c>
      <c r="AT28" s="111" t="str">
        <f>Montagem!BA172</f>
        <v/>
      </c>
      <c r="AU28" s="111" t="str">
        <f>Montagem!AP172</f>
        <v/>
      </c>
      <c r="AV28" s="111" t="str">
        <f>Montagem!BB172</f>
        <v/>
      </c>
      <c r="AW28" s="106" t="str">
        <f>IF(AV28="",AT28,AV28)</f>
        <v/>
      </c>
      <c r="AX28" s="106" t="str">
        <f>IF(AT29="C",'Dados de Base'!$D$5*0.1,IF(AT29="E",5,IF(AR28="",AW28,AR28)))</f>
        <v/>
      </c>
      <c r="AY28" s="108"/>
      <c r="AZ28" s="102" t="str">
        <f>IF(BL28="","",HYPERLINK(OFFSET(Biblioteca!$B$2,MATCH(BL28,Biblioteca!$A$3:$A$200,0),0),BL28))</f>
        <v>Remada Horizontal com Movimentação do Tronco</v>
      </c>
      <c r="BC28" s="109" t="str">
        <f>Montagem!BJ172</f>
        <v>Bi-SET</v>
      </c>
      <c r="BD28" s="110">
        <f>Montagem!BK172</f>
        <v>3</v>
      </c>
      <c r="BE28" s="110">
        <f>Montagem!BL172</f>
        <v>8</v>
      </c>
      <c r="BF28" s="110">
        <f>Montagem!BM172</f>
        <v>60</v>
      </c>
      <c r="BG28" s="110">
        <f>Montagem!BN172</f>
        <v>1</v>
      </c>
      <c r="BH28" s="110">
        <f>Montagem!BO172</f>
        <v>2</v>
      </c>
      <c r="BI28" s="113"/>
      <c r="BJ28" s="111">
        <f>Montagem!BD172</f>
        <v>1</v>
      </c>
      <c r="BK28" s="111">
        <f>Montagem!BP172</f>
        <v>12.1550625</v>
      </c>
      <c r="BL28" s="111" t="str">
        <f>Montagem!BE172</f>
        <v>Remada Horizontal com Movimentação do Tronco</v>
      </c>
      <c r="BM28" s="111" t="str">
        <f>Montagem!BQ172</f>
        <v/>
      </c>
      <c r="BN28" s="106">
        <f>IF(BM28="",BK28,BM28)</f>
        <v>12.1550625</v>
      </c>
      <c r="BO28" s="106">
        <f>IF(BK29="C",'Dados de Base'!$D$5*0.1,IF(BK29="E",5,IF(BI28="",BN28,BI28)))</f>
        <v>12.1550625</v>
      </c>
      <c r="BP28" s="108"/>
      <c r="BQ28" s="102" t="str">
        <f>IF(CC28="","",HYPERLINK(OFFSET(Biblioteca!$B$2,MATCH(CC28,Biblioteca!$A$3:$A$200,0),0),CC28))</f>
        <v>Levantamento Terra</v>
      </c>
      <c r="BT28" s="109" t="str">
        <f>Montagem!BY172</f>
        <v>Bi-SET</v>
      </c>
      <c r="BU28" s="110">
        <f>Montagem!BZ172</f>
        <v>3</v>
      </c>
      <c r="BV28" s="110">
        <f>Montagem!CA172</f>
        <v>8</v>
      </c>
      <c r="BW28" s="110" t="str">
        <f>Montagem!CB172</f>
        <v/>
      </c>
      <c r="BX28" s="110">
        <f>Montagem!CC172</f>
        <v>1</v>
      </c>
      <c r="BY28" s="110">
        <f>Montagem!CD172</f>
        <v>2</v>
      </c>
      <c r="BZ28" s="113"/>
      <c r="CA28" s="111">
        <f>Montagem!BS172</f>
        <v>2</v>
      </c>
      <c r="CB28" s="111">
        <f>Montagem!CE172</f>
        <v>85.995</v>
      </c>
      <c r="CC28" s="111" t="str">
        <f>Montagem!BT172</f>
        <v>Levantamento Terra</v>
      </c>
      <c r="CD28" s="111" t="str">
        <f>Montagem!CF172</f>
        <v/>
      </c>
      <c r="CE28" s="106">
        <f>IF(CD28="",CB28,CD28)</f>
        <v>85.995</v>
      </c>
      <c r="CF28" s="106">
        <f>IF(CB29="C",'Dados de Base'!$D$5*0.1,IF(CB29="E",5,IF(BZ28="",CE28,BZ28)))</f>
        <v>85.995</v>
      </c>
      <c r="CG28" s="108"/>
      <c r="CH28" s="115" t="str">
        <f>IF(CT28="","",HYPERLINK(OFFSET(Biblioteca!$B$2,MATCH(CT28,Biblioteca!$A$3:$A$200,0),0),CT28))</f>
        <v/>
      </c>
      <c r="CK28" s="109" t="str">
        <f>Montagem!CN172</f>
        <v/>
      </c>
      <c r="CL28" s="110" t="str">
        <f>Montagem!CO172</f>
        <v/>
      </c>
      <c r="CM28" s="110" t="str">
        <f>Montagem!CP172</f>
        <v/>
      </c>
      <c r="CN28" s="110" t="str">
        <f>Montagem!CQ172</f>
        <v/>
      </c>
      <c r="CO28" s="110" t="str">
        <f>Montagem!CR172</f>
        <v/>
      </c>
      <c r="CP28" s="110" t="str">
        <f>Montagem!CS172</f>
        <v/>
      </c>
      <c r="CQ28" s="114"/>
      <c r="CR28" s="111">
        <f>Montagem!CH172</f>
        <v>1</v>
      </c>
      <c r="CS28" s="111" t="str">
        <f>Montagem!CT172</f>
        <v/>
      </c>
      <c r="CT28" s="111" t="str">
        <f>Montagem!CI172</f>
        <v/>
      </c>
      <c r="CU28" s="111" t="str">
        <f>Montagem!CU172</f>
        <v/>
      </c>
      <c r="CV28" s="106" t="str">
        <f>IF(CU28="",CS28,CU28)</f>
        <v/>
      </c>
      <c r="CW28" s="106" t="str">
        <f>IF(CS29="C",'Dados de Base'!$D$5*0.1,IF(CS29="E",5,IF(CQ28="",CV28,CQ28)))</f>
        <v/>
      </c>
      <c r="CX28" s="108"/>
      <c r="CY28" s="115" t="str">
        <f>IF(DK28="","",HYPERLINK(OFFSET(Biblioteca!$B$2,MATCH(DK28,Biblioteca!$A$3:$A$200,0),0),DK28))</f>
        <v/>
      </c>
      <c r="DB28" s="130" t="str">
        <f>Montagem!DC172</f>
        <v/>
      </c>
      <c r="DC28" s="131" t="str">
        <f>Montagem!DD172</f>
        <v/>
      </c>
      <c r="DD28" s="131" t="str">
        <f>Montagem!DE172</f>
        <v/>
      </c>
      <c r="DE28" s="131" t="str">
        <f>Montagem!DF172</f>
        <v/>
      </c>
      <c r="DF28" s="131" t="str">
        <f>Montagem!DG172</f>
        <v/>
      </c>
      <c r="DG28" s="131" t="str">
        <f>Montagem!DH172</f>
        <v/>
      </c>
      <c r="DH28" s="114"/>
      <c r="DI28" s="111">
        <f>Montagem!CW172</f>
        <v>1</v>
      </c>
      <c r="DJ28" s="111" t="str">
        <f>Montagem!DI172</f>
        <v/>
      </c>
      <c r="DK28" s="111" t="str">
        <f>Montagem!CX172</f>
        <v/>
      </c>
      <c r="DL28" s="111" t="str">
        <f>Montagem!DJ172</f>
        <v/>
      </c>
      <c r="DM28" s="106" t="str">
        <f>IF(DL28="",DJ28,DL28)</f>
        <v/>
      </c>
      <c r="DN28" s="106" t="str">
        <f>IF(DJ29="C",'Dados de Base'!$D$5*0.1,IF(DJ29="E",5,IF(DH28="",DM28,DH28)))</f>
        <v/>
      </c>
      <c r="DO28" s="108"/>
      <c r="DP28" s="106"/>
      <c r="DQ28" s="106"/>
      <c r="DR28" s="106"/>
      <c r="DS28" s="106"/>
      <c r="DT28" s="106"/>
      <c r="DU28" s="106"/>
      <c r="DV28" s="106"/>
      <c r="DW28" s="106"/>
      <c r="DX28" s="106"/>
      <c r="DY28" s="106"/>
    </row>
    <row r="29">
      <c r="A29" s="117" t="str">
        <f>IF(A28="","",IFS(L29="A",Montagem!$C$180,N29="T","Realizar a maior quantidade de repetições por "&amp;F28&amp;" segundos | ",N29="I",IF(M29="U","Manter a posição por "&amp;F28&amp;" segundos de um lado e trocar para o outro na sequência | ","Manter a posição por "&amp;F28&amp;" segundos | "),M29="A","Realizar alternadamente "&amp;F28&amp;" repetições cada lado | ",M29="U","Realizar "&amp;F28&amp;" repetições de um lado e trocar para o outro na sequência | ",L29="P",OFFSET(Biblioteca!$H$2,MATCH(M28,Biblioteca!$A$3:$A$200,0),0),TRUE,"")&amp;IF(N29="R","Ajuste a carga para que tenha "&amp;$K$2&amp;" repetições de reserva",""))</f>
        <v>Ajuste a carga para que tenha 0 a 2 repetições de reserva</v>
      </c>
      <c r="E29" s="118" t="str">
        <f>IF(A28="","",IFS(L29="H","Carga Sugerida: "&amp;ROUNDUP(O28/2,0)&amp;" kg de cada lado (Total: "&amp;ROUNDUP(O28/2,0)*2&amp;" kg)",L29="C","Este exercício usa o Peso Corporal como carga",L29="E","Este exercício usa a resistência da banda elástica como carga",L29="O","Carga Sugerida: "&amp;INT(O28)&amp;" kg",TRUE,""))</f>
        <v>Carga Sugerida: 66 kg</v>
      </c>
      <c r="J29" s="66"/>
      <c r="K29" s="126">
        <f>K28</f>
        <v>2</v>
      </c>
      <c r="L29" s="120" t="str">
        <f>LEFT(O29)</f>
        <v>O</v>
      </c>
      <c r="M29" s="121" t="str">
        <f>MID(O29,2,1)</f>
        <v>O</v>
      </c>
      <c r="N29" s="122" t="str">
        <f>RIGHT(O29)</f>
        <v>R</v>
      </c>
      <c r="O29" s="123" t="str">
        <f>IF(M28="","",OFFSET(Biblioteca!$I$2,MATCH(M28,Biblioteca!$A$3:$A$200,0),0))</f>
        <v>OOR</v>
      </c>
      <c r="P29" s="124"/>
      <c r="Q29" s="125"/>
      <c r="R29" s="117" t="str">
        <f>IF(R28="","",IFS(AC29="A",Montagem!$D$180,AE29="T","Realizar a maior quantidade de repetições por "&amp;W28&amp;" segundos | ",AE29="I",IF(AD29="U","Manter a posição por "&amp;W28&amp;" segundos de um lado e trocar para o outro na sequência | ","Manter a posição por "&amp;W28&amp;" segundos | "),AD29="A","Realizar alternadamente "&amp;W28&amp;" repetições cada lado | ",AD29="U","Realizar "&amp;W28&amp;" repetições de um lado e trocar para o outro na sequência | ",AC29="P",OFFSET(Biblioteca!$H$2,MATCH(AD28,Biblioteca!$A$3:$A$200,0),0),TRUE,"")&amp;IF(AE29="R","Ajuste a carga para que tenha "&amp;$K$2&amp;" repetições de reserva",""))</f>
        <v>Ajuste a carga para que tenha 0 a 2 repetições de reserva</v>
      </c>
      <c r="V29" s="118" t="str">
        <f>IF(R28="","",IFS(AC29="H","Carga Sugerida: "&amp;ROUNDUP(AF28/2,0)&amp;" kg de cada lado (Total: "&amp;ROUNDUP(AF28/2,0)*2&amp;" kg)",AC29="C","Este exercício usa o Peso Corporal como carga",AC29="E","Este exercício usa a resistência da banda elástica como carga",AC29="O","Carga Sugerida: "&amp;INT(AF28)&amp;" kg",TRUE,""))</f>
        <v>Carga Sugerida: 99 kg</v>
      </c>
      <c r="AA29" s="66"/>
      <c r="AB29" s="126">
        <f>AB28</f>
        <v>2</v>
      </c>
      <c r="AC29" s="120" t="str">
        <f>LEFT(AF29)</f>
        <v>O</v>
      </c>
      <c r="AD29" s="121" t="str">
        <f>MID(AF29,2,1)</f>
        <v>O</v>
      </c>
      <c r="AE29" s="122" t="str">
        <f>RIGHT(AF29)</f>
        <v>R</v>
      </c>
      <c r="AF29" s="123" t="str">
        <f>IF(AD28="","",OFFSET(Biblioteca!$I$2,MATCH(AD28,Biblioteca!$A$3:$A$200,0),0))</f>
        <v>OOR</v>
      </c>
      <c r="AG29" s="124"/>
      <c r="AH29" s="125"/>
      <c r="AI29" s="117" t="str">
        <f>IF(AI28="","",IFS(AT29="A",Montagem!$E$180,AV29="T","Realizar a maior quantidade de repetições por "&amp;AN28&amp;" segundos | ",AV29="I",IF(AU29="U","Manter a posição por "&amp;AN28&amp;" segundos de um lado e trocar para o outro na sequência | ","Manter a posição por "&amp;AN28&amp;" segundos | "),AU29="A","Realizar alternadamente "&amp;AN28&amp;" repetições cada lado | ",AU29="U","Realizar "&amp;AN28&amp;" repetições de um lado e trocar para o outro na sequência | ",AT29="P",OFFSET(Biblioteca!$H$2,MATCH(AU28,Biblioteca!$A$3:$A$200,0),0),TRUE,"")&amp;IF(AV29="R","Ajuste a carga para que tenha "&amp;$K$2&amp;" repetições de reserva",""))</f>
        <v/>
      </c>
      <c r="AM29" s="118" t="str">
        <f>IF(AI28="","",IFS(AT29="H","Carga Sugerida: "&amp;ROUNDUP(AW28/2,0)&amp;" kg de cada lado (Total: "&amp;ROUNDUP(AW28/2,0)*2&amp;" kg)",AT29="C","Este exercício usa o Peso Corporal como carga",AT29="E","Este exercício usa a resistência da banda elástica como carga",AT29="O","Carga Sugerida: "&amp;INT(AW28)&amp;" kg",TRUE,""))</f>
        <v/>
      </c>
      <c r="AR29" s="66"/>
      <c r="AS29" s="126">
        <f>AS28</f>
        <v>1</v>
      </c>
      <c r="AT29" s="120" t="str">
        <f>LEFT(AW29)</f>
        <v/>
      </c>
      <c r="AU29" s="121" t="str">
        <f>MID(AW29,2,1)</f>
        <v/>
      </c>
      <c r="AV29" s="122" t="str">
        <f>RIGHT(AW29)</f>
        <v/>
      </c>
      <c r="AW29" s="123" t="str">
        <f>IF(AU28="","",OFFSET(Biblioteca!$I$2,MATCH(AU28,Biblioteca!$A$3:$A$200,0),0))</f>
        <v/>
      </c>
      <c r="AX29" s="124"/>
      <c r="AY29" s="125"/>
      <c r="AZ29" s="117" t="str">
        <f>IF(AZ28="","",IFS(BK29="A",Montagem!$F$180,BM29="T","Realizar a maior quantidade de repetições por "&amp;BE28&amp;" segundos | ",BM29="I",IF(BL29="U","Manter a posição por "&amp;BE28&amp;" segundos de um lado e trocar para o outro na sequência | ","Manter a posição por "&amp;BE28&amp;" segundos | "),BL29="A","Realizar alternadamente "&amp;BE28&amp;" repetições cada lado | ",BL29="U","Realizar "&amp;BE28&amp;" repetições de um lado e trocar para o outro na sequência | ",BK29="P",OFFSET(Biblioteca!$H$2,MATCH(BL28,Biblioteca!$A$3:$A$200,0),0),TRUE,"")&amp;IF(BM29="R","Ajuste a carga para que tenha "&amp;$K$2&amp;" repetições de reserva",""))</f>
        <v>Ajuste a carga para que tenha 0 a 2 repetições de reserva</v>
      </c>
      <c r="BD29" s="118" t="str">
        <f>IF(AZ28="","",IFS(BK29="H","Carga Sugerida: "&amp;ROUNDUP(BN28/2,0)&amp;" kg de cada lado (Total: "&amp;ROUNDUP(BN28/2,0)*2&amp;" kg)",BK29="C","Este exercício usa o Peso Corporal como carga",BK29="E","Este exercício usa a resistência da banda elástica como carga",BK29="O","Carga Sugerida: "&amp;INT(BN28)&amp;" kg",TRUE,""))</f>
        <v>Carga Sugerida: 12 kg</v>
      </c>
      <c r="BI29" s="66"/>
      <c r="BJ29" s="126">
        <f>BJ28</f>
        <v>1</v>
      </c>
      <c r="BK29" s="120" t="str">
        <f>LEFT(BN29)</f>
        <v>O</v>
      </c>
      <c r="BL29" s="121" t="str">
        <f>MID(BN29,2,1)</f>
        <v>O</v>
      </c>
      <c r="BM29" s="122" t="str">
        <f>RIGHT(BN29)</f>
        <v>R</v>
      </c>
      <c r="BN29" s="123" t="str">
        <f>IF(BL28="","",OFFSET(Biblioteca!$I$2,MATCH(BL28,Biblioteca!$A$3:$A$200,0),0))</f>
        <v>OOR</v>
      </c>
      <c r="BO29" s="124"/>
      <c r="BP29" s="125"/>
      <c r="BQ29" s="117" t="str">
        <f>IF(BQ28="","",IFS(CB29="A",Montagem!$G$180,CD29="T","Realizar a maior quantidade de repetições por "&amp;BV28&amp;" segundos | ",CD29="I",IF(CC29="U","Manter a posição por "&amp;BV28&amp;" segundos de um lado e trocar para o outro na sequência | ","Manter a posição por "&amp;BV28&amp;" segundos | "),CC29="A","Realizar alternadamente "&amp;BV28&amp;" repetições cada lado | ",CC29="U","Realizar "&amp;BV28&amp;" repetições de um lado e trocar para o outro na sequência | ",CB29="P",OFFSET(Biblioteca!$H$2,MATCH(CC28,Biblioteca!$A$3:$A$200,0),0),TRUE,"")&amp;IF(CD29="R","Ajuste a carga para que tenha "&amp;$K$2&amp;" repetições de reserva",""))</f>
        <v>Ajuste a carga para que tenha 0 a 2 repetições de reserva</v>
      </c>
      <c r="BU29" s="118" t="str">
        <f>IF(BQ28="","",IFS(CB29="H","Carga Sugerida: "&amp;ROUNDUP(CE28/2,0)&amp;" kg de cada lado (Total: "&amp;ROUNDUP(CE28/2,0)*2&amp;" kg)",CB29="C","Este exercício usa o Peso Corporal como carga",CB29="E","Este exercício usa a resistência da banda elástica como carga",CB29="O","Carga Sugerida: "&amp;INT(CE28)&amp;" kg",TRUE,""))</f>
        <v>Carga Sugerida: 85 kg</v>
      </c>
      <c r="BZ29" s="66"/>
      <c r="CA29" s="126">
        <f>CA28</f>
        <v>2</v>
      </c>
      <c r="CB29" s="120" t="str">
        <f>LEFT(CE29)</f>
        <v>O</v>
      </c>
      <c r="CC29" s="121" t="str">
        <f>MID(CE29,2,1)</f>
        <v>O</v>
      </c>
      <c r="CD29" s="122" t="str">
        <f>RIGHT(CE29)</f>
        <v>R</v>
      </c>
      <c r="CE29" s="123" t="str">
        <f>IF(CC28="","",OFFSET(Biblioteca!$I$2,MATCH(CC28,Biblioteca!$A$3:$A$200,0),0))</f>
        <v>OOR</v>
      </c>
      <c r="CF29" s="124"/>
      <c r="CG29" s="125"/>
      <c r="CH29" s="117" t="str">
        <f>IF(CH28="","",IFS(CS29="A",Montagem!$H$180,CU29="T","Realizar a maior quantidade de repetições por "&amp;CM28&amp;" segundos | ",CU29="I",IF(CT29="U","Manter a posição por "&amp;CM28&amp;" segundos de um lado e trocar para o outro na sequência | ","Manter a posição por "&amp;CM28&amp;" segundos | "),CT29="A","Realizar alternadamente "&amp;CM28&amp;" repetições cada lado | ",CT29="U","Realizar "&amp;CM28&amp;" repetições de um lado e trocar para o outro na sequência | ",CS29="P",OFFSET(Biblioteca!$H$2,MATCH(CT28,Biblioteca!$A$3:$A$200,0),0),TRUE,"")&amp;IF(CU29="R","Ajuste a carga para que tenha "&amp;$K$2&amp;" repetições de reserva",""))</f>
        <v/>
      </c>
      <c r="CL29" s="118" t="str">
        <f>IF(CH28="","",IFS(CS29="H","Carga Sugerida: "&amp;ROUNDUP(CV28/2,0)&amp;" kg de cada lado (Total: "&amp;ROUNDUP(CV28/2,0)*2&amp;" kg)",CS29="C","Este exercício usa o Peso Corporal como carga",CS29="E","Este exercício usa a resistência da banda elástica como carga",CS29="O","Carga Sugerida: "&amp;INT(CV28)&amp;" kg",TRUE,""))</f>
        <v/>
      </c>
      <c r="CQ29" s="66"/>
      <c r="CR29" s="126">
        <f>CR28</f>
        <v>1</v>
      </c>
      <c r="CS29" s="120" t="str">
        <f>LEFT(CV29)</f>
        <v/>
      </c>
      <c r="CT29" s="121" t="str">
        <f>MID(CV29,2,1)</f>
        <v/>
      </c>
      <c r="CU29" s="122" t="str">
        <f>RIGHT(CV29)</f>
        <v/>
      </c>
      <c r="CV29" s="123" t="str">
        <f>IF(CT28="","",OFFSET(Biblioteca!$I$2,MATCH(CT28,Biblioteca!$A$3:$A$200,0),0))</f>
        <v/>
      </c>
      <c r="CW29" s="124"/>
      <c r="CX29" s="125"/>
      <c r="CY29" s="117" t="str">
        <f>IF(CY28="","",IFS(DJ29="A",Montagem!$I$180,DL29="T","Realizar a maior quantidade de repetições por "&amp;DD28&amp;" segundos | ",DL29="I",IF(DK29="U","Manter a posição por "&amp;DD28&amp;" segundos de um lado e trocar para o outro na sequência | ","Manter a posição por "&amp;DD28&amp;" segundos | "),DK29="A","Realizar alternadamente "&amp;DD28&amp;" repetições cada lado | ",DK29="U","Realizar "&amp;DD28&amp;" repetições de um lado e trocar para o outro na sequência | ",DJ29="P",OFFSET(Biblioteca!$H$2,MATCH(DK28,Biblioteca!$A$3:$A$200,0),0),TRUE,"")&amp;IF(DL29="R","Ajuste a carga para que tenha "&amp;$K$2&amp;" repetições de reserva",""))</f>
        <v/>
      </c>
      <c r="DC29" s="118" t="str">
        <f>IF(CY28="","",IFS(DJ29="H","Carga Sugerida: "&amp;ROUNDUP(DM28/2,0)&amp;" kg de cada lado (Total: "&amp;ROUNDUP(DM28/2,0)*2&amp;" kg)",DJ29="C","Este exercício usa o Peso Corporal como carga",DJ29="E","Este exercício usa a resistência da banda elástica como carga",DJ29="O","Carga Sugerida: "&amp;INT(DM28)&amp;" kg",TRUE,""))</f>
        <v/>
      </c>
      <c r="DH29" s="66"/>
      <c r="DI29" s="126">
        <f>DI28</f>
        <v>1</v>
      </c>
      <c r="DJ29" s="120" t="str">
        <f>LEFT(DM29)</f>
        <v/>
      </c>
      <c r="DK29" s="121" t="str">
        <f>MID(DM29,2,1)</f>
        <v/>
      </c>
      <c r="DL29" s="122" t="str">
        <f>RIGHT(DM29)</f>
        <v/>
      </c>
      <c r="DM29" s="123" t="str">
        <f>IF(DK28="","",OFFSET(Biblioteca!$I$2,MATCH(DK28,Biblioteca!$A$3:$A$200,0),0))</f>
        <v/>
      </c>
      <c r="DN29" s="124"/>
      <c r="DO29" s="125"/>
      <c r="DP29" s="57"/>
      <c r="DQ29" s="56"/>
      <c r="DR29" s="56"/>
      <c r="DS29" s="56"/>
      <c r="DT29" s="56"/>
      <c r="DU29" s="56"/>
      <c r="DV29" s="56"/>
      <c r="DW29" s="56"/>
      <c r="DX29" s="56"/>
      <c r="DY29" s="56"/>
    </row>
    <row r="30">
      <c r="A30" s="102" t="str">
        <f>IF(M30="","",HYPERLINK(OFFSET(Biblioteca!$B$2,MATCH(M30,Biblioteca!$A$3:$A$200,0),0),M30))</f>
        <v>Remada Frontal Máquina</v>
      </c>
      <c r="D30" s="103" t="str">
        <f>Montagem!Q173</f>
        <v>Bi-SET</v>
      </c>
      <c r="E30" s="104">
        <f>Montagem!R173</f>
        <v>3</v>
      </c>
      <c r="F30" s="104">
        <f>Montagem!S173</f>
        <v>8</v>
      </c>
      <c r="G30" s="104">
        <f>Montagem!T173</f>
        <v>60</v>
      </c>
      <c r="H30" s="104">
        <f>Montagem!U173</f>
        <v>1</v>
      </c>
      <c r="I30" s="127">
        <f>Montagem!V173</f>
        <v>2</v>
      </c>
      <c r="J30" s="105"/>
      <c r="K30" s="106">
        <f>Montagem!K173</f>
        <v>2</v>
      </c>
      <c r="L30" s="111">
        <f>Montagem!W173</f>
        <v>74.97</v>
      </c>
      <c r="M30" s="111" t="str">
        <f>Montagem!L173</f>
        <v>Remada Frontal Máquina</v>
      </c>
      <c r="N30" s="111" t="str">
        <f>Montagem!X173</f>
        <v/>
      </c>
      <c r="O30" s="106">
        <f>IF(N30="",L30,N30)</f>
        <v>74.97</v>
      </c>
      <c r="P30" s="106">
        <f>IF(L31="C",'Dados de Base'!$D$5*0.1,IF(L31="E",5,IF(J30="",O30,J30)))</f>
        <v>74.97</v>
      </c>
      <c r="Q30" s="108"/>
      <c r="R30" s="102" t="str">
        <f>IF(AD30="","",HYPERLINK(OFFSET(Biblioteca!$B$2,MATCH(AD30,Biblioteca!$A$3:$A$200,0),0),AD30))</f>
        <v>Stiff</v>
      </c>
      <c r="U30" s="109" t="str">
        <f>Montagem!AF173</f>
        <v>Bi-SET</v>
      </c>
      <c r="V30" s="110">
        <f>Montagem!AG173</f>
        <v>3</v>
      </c>
      <c r="W30" s="110">
        <f>Montagem!AH173</f>
        <v>8</v>
      </c>
      <c r="X30" s="110">
        <f>Montagem!AI173</f>
        <v>60</v>
      </c>
      <c r="Y30" s="110">
        <f>Montagem!AJ173</f>
        <v>1</v>
      </c>
      <c r="Z30" s="110">
        <f>Montagem!AK173</f>
        <v>2</v>
      </c>
      <c r="AA30" s="113"/>
      <c r="AB30" s="111">
        <f>Montagem!Z173</f>
        <v>2</v>
      </c>
      <c r="AC30" s="111">
        <f>Montagem!AL173</f>
        <v>110.25</v>
      </c>
      <c r="AD30" s="129" t="str">
        <f>Montagem!AA173</f>
        <v>Stiff</v>
      </c>
      <c r="AE30" s="111" t="str">
        <f>Montagem!AM173</f>
        <v/>
      </c>
      <c r="AF30" s="106">
        <f>IF(AE30="",AC30,AE30)</f>
        <v>110.25</v>
      </c>
      <c r="AG30" s="106">
        <f>IF(AC31="C",'Dados de Base'!$D$5*0.1,IF(AC31="E",5,IF(AA30="",AF30,AA30)))</f>
        <v>110.25</v>
      </c>
      <c r="AH30" s="108"/>
      <c r="AI30" s="115" t="str">
        <f>IF(AU30="","",HYPERLINK(OFFSET(Biblioteca!$B$2,MATCH(AU30,Biblioteca!$A$3:$A$200,0),0),AU30))</f>
        <v/>
      </c>
      <c r="AL30" s="109" t="str">
        <f>Montagem!AU173</f>
        <v/>
      </c>
      <c r="AM30" s="110" t="str">
        <f>Montagem!AV173</f>
        <v/>
      </c>
      <c r="AN30" s="110" t="str">
        <f>Montagem!AW173</f>
        <v/>
      </c>
      <c r="AO30" s="110" t="str">
        <f>Montagem!AX173</f>
        <v/>
      </c>
      <c r="AP30" s="110" t="str">
        <f>Montagem!AY173</f>
        <v/>
      </c>
      <c r="AQ30" s="110" t="str">
        <f>Montagem!AZ173</f>
        <v/>
      </c>
      <c r="AR30" s="114"/>
      <c r="AS30" s="111">
        <f>Montagem!AO173</f>
        <v>1</v>
      </c>
      <c r="AT30" s="111" t="str">
        <f>Montagem!BA173</f>
        <v/>
      </c>
      <c r="AU30" s="111" t="str">
        <f>Montagem!AP173</f>
        <v/>
      </c>
      <c r="AV30" s="111" t="str">
        <f>Montagem!BB173</f>
        <v/>
      </c>
      <c r="AW30" s="106" t="str">
        <f>IF(AV30="",AT30,AV30)</f>
        <v/>
      </c>
      <c r="AX30" s="106" t="str">
        <f>IF(AT31="C",'Dados de Base'!$D$5*0.1,IF(AT31="E",5,IF(AR30="",AW30,AR30)))</f>
        <v/>
      </c>
      <c r="AY30" s="108"/>
      <c r="AZ30" s="102" t="str">
        <f>IF(BL30="","",HYPERLINK(OFFSET(Biblioteca!$B$2,MATCH(BL30,Biblioteca!$A$3:$A$200,0),0),BL30))</f>
        <v>Remada Alta na Polia</v>
      </c>
      <c r="BC30" s="109" t="str">
        <f>Montagem!BJ173</f>
        <v>Bi-SET</v>
      </c>
      <c r="BD30" s="110">
        <f>Montagem!BK173</f>
        <v>3</v>
      </c>
      <c r="BE30" s="110">
        <f>Montagem!BL173</f>
        <v>8</v>
      </c>
      <c r="BF30" s="110" t="str">
        <f>Montagem!BM173</f>
        <v/>
      </c>
      <c r="BG30" s="110">
        <f>Montagem!BN173</f>
        <v>1</v>
      </c>
      <c r="BH30" s="110">
        <f>Montagem!BO173</f>
        <v>2</v>
      </c>
      <c r="BI30" s="113"/>
      <c r="BJ30" s="111">
        <f>Montagem!BD173</f>
        <v>2</v>
      </c>
      <c r="BK30" s="111">
        <f>Montagem!BP173</f>
        <v>8.910336938</v>
      </c>
      <c r="BL30" s="111" t="str">
        <f>Montagem!BE173</f>
        <v>Remada Alta na Polia</v>
      </c>
      <c r="BM30" s="111" t="str">
        <f>Montagem!BQ173</f>
        <v/>
      </c>
      <c r="BN30" s="106">
        <f>IF(BM30="",BK30,BM30)</f>
        <v>8.910336938</v>
      </c>
      <c r="BO30" s="106">
        <f>IF(BK31="C",'Dados de Base'!$D$5*0.1,IF(BK31="E",5,IF(BI30="",BN30,BI30)))</f>
        <v>8.910336938</v>
      </c>
      <c r="BP30" s="108"/>
      <c r="BQ30" s="102" t="str">
        <f>IF(CC30="","",HYPERLINK(OFFSET(Biblioteca!$B$2,MATCH(CC30,Biblioteca!$A$3:$A$200,0),0),CC30))</f>
        <v>Banco Sóleo</v>
      </c>
      <c r="BT30" s="109" t="str">
        <f>Montagem!BY173</f>
        <v>Bi-SET</v>
      </c>
      <c r="BU30" s="110">
        <f>Montagem!BZ173</f>
        <v>3</v>
      </c>
      <c r="BV30" s="110">
        <f>Montagem!CA173</f>
        <v>8</v>
      </c>
      <c r="BW30" s="110">
        <f>Montagem!CB173</f>
        <v>60</v>
      </c>
      <c r="BX30" s="110">
        <f>Montagem!CC173</f>
        <v>1</v>
      </c>
      <c r="BY30" s="110">
        <f>Montagem!CD173</f>
        <v>2</v>
      </c>
      <c r="BZ30" s="113"/>
      <c r="CA30" s="111">
        <f>Montagem!BS173</f>
        <v>2</v>
      </c>
      <c r="CB30" s="111">
        <f>Montagem!CE173</f>
        <v>85.995</v>
      </c>
      <c r="CC30" s="111" t="str">
        <f>Montagem!BT173</f>
        <v>Banco Sóleo</v>
      </c>
      <c r="CD30" s="111" t="str">
        <f>Montagem!CF173</f>
        <v/>
      </c>
      <c r="CE30" s="106">
        <f>IF(CD30="",CB30,CD30)</f>
        <v>85.995</v>
      </c>
      <c r="CF30" s="106">
        <f>IF(CB31="C",'Dados de Base'!$D$5*0.1,IF(CB31="E",5,IF(BZ30="",CE30,BZ30)))</f>
        <v>85.995</v>
      </c>
      <c r="CG30" s="108"/>
      <c r="CH30" s="115" t="str">
        <f>IF(CT30="","",HYPERLINK(OFFSET(Biblioteca!$B$2,MATCH(CT30,Biblioteca!$A$3:$A$200,0),0),CT30))</f>
        <v/>
      </c>
      <c r="CK30" s="109" t="str">
        <f>Montagem!CN173</f>
        <v/>
      </c>
      <c r="CL30" s="110" t="str">
        <f>Montagem!CO173</f>
        <v/>
      </c>
      <c r="CM30" s="110" t="str">
        <f>Montagem!CP173</f>
        <v/>
      </c>
      <c r="CN30" s="110" t="str">
        <f>Montagem!CQ173</f>
        <v/>
      </c>
      <c r="CO30" s="110" t="str">
        <f>Montagem!CR173</f>
        <v/>
      </c>
      <c r="CP30" s="110" t="str">
        <f>Montagem!CS173</f>
        <v/>
      </c>
      <c r="CQ30" s="114"/>
      <c r="CR30" s="111">
        <f>Montagem!CH173</f>
        <v>1</v>
      </c>
      <c r="CS30" s="111" t="str">
        <f>Montagem!CT173</f>
        <v/>
      </c>
      <c r="CT30" s="111" t="str">
        <f>Montagem!CI173</f>
        <v/>
      </c>
      <c r="CU30" s="111" t="str">
        <f>Montagem!CU173</f>
        <v/>
      </c>
      <c r="CV30" s="106" t="str">
        <f>IF(CU30="",CS30,CU30)</f>
        <v/>
      </c>
      <c r="CW30" s="106" t="str">
        <f>IF(CS31="C",'Dados de Base'!$D$5*0.1,IF(CS31="E",5,IF(CQ30="",CV30,CQ30)))</f>
        <v/>
      </c>
      <c r="CX30" s="108"/>
      <c r="CY30" s="115" t="str">
        <f>IF(DK30="","",HYPERLINK(OFFSET(Biblioteca!$B$2,MATCH(DK30,Biblioteca!$A$3:$A$200,0),0),DK30))</f>
        <v/>
      </c>
      <c r="DB30" s="130" t="str">
        <f>Montagem!DC173</f>
        <v/>
      </c>
      <c r="DC30" s="131" t="str">
        <f>Montagem!DD173</f>
        <v/>
      </c>
      <c r="DD30" s="131" t="str">
        <f>Montagem!DE173</f>
        <v/>
      </c>
      <c r="DE30" s="131" t="str">
        <f>Montagem!DF173</f>
        <v/>
      </c>
      <c r="DF30" s="131" t="str">
        <f>Montagem!DG173</f>
        <v/>
      </c>
      <c r="DG30" s="131" t="str">
        <f>Montagem!DH173</f>
        <v/>
      </c>
      <c r="DH30" s="114"/>
      <c r="DI30" s="111">
        <f>Montagem!CW173</f>
        <v>1</v>
      </c>
      <c r="DJ30" s="111" t="str">
        <f>Montagem!DI173</f>
        <v/>
      </c>
      <c r="DK30" s="111" t="str">
        <f>Montagem!CX173</f>
        <v/>
      </c>
      <c r="DL30" s="111" t="str">
        <f>Montagem!DJ173</f>
        <v/>
      </c>
      <c r="DM30" s="106" t="str">
        <f>IF(DL30="",DJ30,DL30)</f>
        <v/>
      </c>
      <c r="DN30" s="106" t="str">
        <f>IF(DJ31="C",'Dados de Base'!$D$5*0.1,IF(DJ31="E",5,IF(DH30="",DM30,DH30)))</f>
        <v/>
      </c>
      <c r="DO30" s="108"/>
      <c r="DP30" s="106"/>
      <c r="DQ30" s="106"/>
      <c r="DR30" s="106"/>
      <c r="DS30" s="106"/>
      <c r="DT30" s="106"/>
      <c r="DU30" s="106"/>
      <c r="DV30" s="106"/>
      <c r="DW30" s="106"/>
      <c r="DX30" s="106"/>
      <c r="DY30" s="106"/>
    </row>
    <row r="31">
      <c r="A31" s="117" t="str">
        <f>IF(A30="","",IFS(L31="A",Montagem!$C$180,N31="T","Realizar a maior quantidade de repetições por "&amp;F30&amp;" segundos | ",N31="I",IF(M31="U","Manter a posição por "&amp;F30&amp;" segundos de um lado e trocar para o outro na sequência | ","Manter a posição por "&amp;F30&amp;" segundos | "),M31="A","Realizar alternadamente "&amp;F30&amp;" repetições cada lado | ",M31="U","Realizar "&amp;F30&amp;" repetições de um lado e trocar para o outro na sequência | ",L31="P",OFFSET(Biblioteca!$H$2,MATCH(M30,Biblioteca!$A$3:$A$200,0),0),TRUE,"")&amp;IF(N31="R","Ajuste a carga para que tenha "&amp;$K$2&amp;" repetições de reserva",""))</f>
        <v>Ajuste a carga para que tenha 0 a 2 repetições de reserva</v>
      </c>
      <c r="E31" s="118" t="str">
        <f>IF(A30="","",IFS(L31="H","Carga Sugerida: "&amp;ROUNDUP(O30/2,0)&amp;" kg de cada lado (Total: "&amp;ROUNDUP(O30/2,0)*2&amp;" kg)",L31="C","Este exercício usa o Peso Corporal como carga",L31="E","Este exercício usa a resistência da banda elástica como carga",L31="O","Carga Sugerida: "&amp;INT(O30)&amp;" kg",TRUE,""))</f>
        <v>Carga Sugerida: 74 kg</v>
      </c>
      <c r="J31" s="66"/>
      <c r="K31" s="126">
        <f>K30</f>
        <v>2</v>
      </c>
      <c r="L31" s="120" t="str">
        <f>LEFT(O31)</f>
        <v>O</v>
      </c>
      <c r="M31" s="121" t="str">
        <f>MID(O31,2,1)</f>
        <v>O</v>
      </c>
      <c r="N31" s="122" t="str">
        <f>RIGHT(O31)</f>
        <v>R</v>
      </c>
      <c r="O31" s="123" t="str">
        <f>IF(M30="","",OFFSET(Biblioteca!$I$2,MATCH(M30,Biblioteca!$A$3:$A$200,0),0))</f>
        <v>OOR</v>
      </c>
      <c r="P31" s="124"/>
      <c r="Q31" s="125"/>
      <c r="R31" s="117" t="str">
        <f>IF(R30="","",IFS(AC31="A",Montagem!$D$180,AE31="T","Realizar a maior quantidade de repetições por "&amp;W30&amp;" segundos | ",AE31="I",IF(AD31="U","Manter a posição por "&amp;W30&amp;" segundos de um lado e trocar para o outro na sequência | ","Manter a posição por "&amp;W30&amp;" segundos | "),AD31="A","Realizar alternadamente "&amp;W30&amp;" repetições cada lado | ",AD31="U","Realizar "&amp;W30&amp;" repetições de um lado e trocar para o outro na sequência | ",AC31="P",OFFSET(Biblioteca!$H$2,MATCH(AD30,Biblioteca!$A$3:$A$200,0),0),TRUE,"")&amp;IF(AE31="R","Ajuste a carga para que tenha "&amp;$K$2&amp;" repetições de reserva",""))</f>
        <v>Ajuste a carga para que tenha 0 a 2 repetições de reserva</v>
      </c>
      <c r="V31" s="118" t="str">
        <f>IF(R30="","",IFS(AC31="H","Carga Sugerida: "&amp;ROUNDUP(AF30/2,0)&amp;" kg de cada lado (Total: "&amp;ROUNDUP(AF30/2,0)*2&amp;" kg)",AC31="C","Este exercício usa o Peso Corporal como carga",AC31="E","Este exercício usa a resistência da banda elástica como carga",AC31="O","Carga Sugerida: "&amp;INT(AF30)&amp;" kg",TRUE,""))</f>
        <v>Carga Sugerida: 110 kg</v>
      </c>
      <c r="AA31" s="66"/>
      <c r="AB31" s="126">
        <f>AB30</f>
        <v>2</v>
      </c>
      <c r="AC31" s="120" t="str">
        <f>LEFT(AF31)</f>
        <v>O</v>
      </c>
      <c r="AD31" s="121" t="str">
        <f>MID(AF31,2,1)</f>
        <v>O</v>
      </c>
      <c r="AE31" s="122" t="str">
        <f>RIGHT(AF31)</f>
        <v>R</v>
      </c>
      <c r="AF31" s="123" t="str">
        <f>IF(AD30="","",OFFSET(Biblioteca!$I$2,MATCH(AD30,Biblioteca!$A$3:$A$200,0),0))</f>
        <v>OOR</v>
      </c>
      <c r="AG31" s="124"/>
      <c r="AH31" s="125"/>
      <c r="AI31" s="117" t="str">
        <f>IF(AI30="","",IFS(AT31="A",Montagem!$E$180,AV31="T","Realizar a maior quantidade de repetições por "&amp;AN30&amp;" segundos | ",AV31="I",IF(AU31="U","Manter a posição por "&amp;AN30&amp;" segundos de um lado e trocar para o outro na sequência | ","Manter a posição por "&amp;AN30&amp;" segundos | "),AU31="A","Realizar alternadamente "&amp;AN30&amp;" repetições cada lado | ",AU31="U","Realizar "&amp;AN30&amp;" repetições de um lado e trocar para o outro na sequência | ",AT31="P",OFFSET(Biblioteca!$H$2,MATCH(AU30,Biblioteca!$A$3:$A$200,0),0),TRUE,"")&amp;IF(AV31="R","Ajuste a carga para que tenha "&amp;$K$2&amp;" repetições de reserva",""))</f>
        <v/>
      </c>
      <c r="AM31" s="118" t="str">
        <f>IF(AI30="","",IFS(AT31="H","Carga Sugerida: "&amp;ROUNDUP(AW30/2,0)&amp;" kg de cada lado (Total: "&amp;ROUNDUP(AW30/2,0)*2&amp;" kg)",AT31="C","Este exercício usa o Peso Corporal como carga",AT31="E","Este exercício usa a resistência da banda elástica como carga",AT31="O","Carga Sugerida: "&amp;INT(AW30)&amp;" kg",TRUE,""))</f>
        <v/>
      </c>
      <c r="AR31" s="66"/>
      <c r="AS31" s="126">
        <f>AS30</f>
        <v>1</v>
      </c>
      <c r="AT31" s="120" t="str">
        <f>LEFT(AW31)</f>
        <v/>
      </c>
      <c r="AU31" s="121" t="str">
        <f>MID(AW31,2,1)</f>
        <v/>
      </c>
      <c r="AV31" s="122" t="str">
        <f>RIGHT(AW31)</f>
        <v/>
      </c>
      <c r="AW31" s="123" t="str">
        <f>IF(AU30="","",OFFSET(Biblioteca!$I$2,MATCH(AU30,Biblioteca!$A$3:$A$200,0),0))</f>
        <v/>
      </c>
      <c r="AX31" s="124"/>
      <c r="AY31" s="125"/>
      <c r="AZ31" s="117" t="str">
        <f>IF(AZ30="","",IFS(BK31="A",Montagem!$F$180,BM31="T","Realizar a maior quantidade de repetições por "&amp;BE30&amp;" segundos | ",BM31="I",IF(BL31="U","Manter a posição por "&amp;BE30&amp;" segundos de um lado e trocar para o outro na sequência | ","Manter a posição por "&amp;BE30&amp;" segundos | "),BL31="A","Realizar alternadamente "&amp;BE30&amp;" repetições cada lado | ",BL31="U","Realizar "&amp;BE30&amp;" repetições de um lado e trocar para o outro na sequência | ",BK31="P",OFFSET(Biblioteca!$H$2,MATCH(BL30,Biblioteca!$A$3:$A$200,0),0),TRUE,"")&amp;IF(BM31="R","Ajuste a carga para que tenha "&amp;$K$2&amp;" repetições de reserva",""))</f>
        <v>Ajuste a carga para que tenha 0 a 2 repetições de reserva</v>
      </c>
      <c r="BD31" s="118" t="str">
        <f>IF(AZ30="","",IFS(BK31="H","Carga Sugerida: "&amp;ROUNDUP(BN30/2,0)&amp;" kg de cada lado (Total: "&amp;ROUNDUP(BN30/2,0)*2&amp;" kg)",BK31="C","Este exercício usa o Peso Corporal como carga",BK31="E","Este exercício usa a resistência da banda elástica como carga",BK31="O","Carga Sugerida: "&amp;INT(BN30)&amp;" kg",TRUE,""))</f>
        <v>Carga Sugerida: 8 kg</v>
      </c>
      <c r="BI31" s="66"/>
      <c r="BJ31" s="126">
        <f>BJ30</f>
        <v>2</v>
      </c>
      <c r="BK31" s="120" t="str">
        <f>LEFT(BN31)</f>
        <v>O</v>
      </c>
      <c r="BL31" s="121" t="str">
        <f>MID(BN31,2,1)</f>
        <v>O</v>
      </c>
      <c r="BM31" s="122" t="str">
        <f>RIGHT(BN31)</f>
        <v>R</v>
      </c>
      <c r="BN31" s="123" t="str">
        <f>IF(BL30="","",OFFSET(Biblioteca!$I$2,MATCH(BL30,Biblioteca!$A$3:$A$200,0),0))</f>
        <v>OOR</v>
      </c>
      <c r="BO31" s="124"/>
      <c r="BP31" s="125"/>
      <c r="BQ31" s="117" t="str">
        <f>IF(BQ30="","",IFS(CB31="A",Montagem!$G$180,CD31="T","Realizar a maior quantidade de repetições por "&amp;BV30&amp;" segundos | ",CD31="I",IF(CC31="U","Manter a posição por "&amp;BV30&amp;" segundos de um lado e trocar para o outro na sequência | ","Manter a posição por "&amp;BV30&amp;" segundos | "),CC31="A","Realizar alternadamente "&amp;BV30&amp;" repetições cada lado | ",CC31="U","Realizar "&amp;BV30&amp;" repetições de um lado e trocar para o outro na sequência | ",CB31="P",OFFSET(Biblioteca!$H$2,MATCH(CC30,Biblioteca!$A$3:$A$200,0),0),TRUE,"")&amp;IF(CD31="R","Ajuste a carga para que tenha "&amp;$K$2&amp;" repetições de reserva",""))</f>
        <v>Ajuste a carga para que tenha 0 a 2 repetições de reserva</v>
      </c>
      <c r="BU31" s="118" t="str">
        <f>IF(BQ30="","",IFS(CB31="H","Carga Sugerida: "&amp;ROUNDUP(CE30/2,0)&amp;" kg de cada lado (Total: "&amp;ROUNDUP(CE30/2,0)*2&amp;" kg)",CB31="C","Este exercício usa o Peso Corporal como carga",CB31="E","Este exercício usa a resistência da banda elástica como carga",CB31="O","Carga Sugerida: "&amp;INT(CE30)&amp;" kg",TRUE,""))</f>
        <v>Carga Sugerida: 85 kg</v>
      </c>
      <c r="BZ31" s="66"/>
      <c r="CA31" s="126">
        <f>CA30</f>
        <v>2</v>
      </c>
      <c r="CB31" s="120" t="str">
        <f>LEFT(CE31)</f>
        <v>O</v>
      </c>
      <c r="CC31" s="121" t="str">
        <f>MID(CE31,2,1)</f>
        <v>O</v>
      </c>
      <c r="CD31" s="122" t="str">
        <f>RIGHT(CE31)</f>
        <v>R</v>
      </c>
      <c r="CE31" s="123" t="str">
        <f>IF(CC30="","",OFFSET(Biblioteca!$I$2,MATCH(CC30,Biblioteca!$A$3:$A$200,0),0))</f>
        <v>OOR</v>
      </c>
      <c r="CF31" s="124"/>
      <c r="CG31" s="125"/>
      <c r="CH31" s="117" t="str">
        <f>IF(CH30="","",IFS(CS31="A",Montagem!$H$180,CU31="T","Realizar a maior quantidade de repetições por "&amp;CM30&amp;" segundos | ",CU31="I",IF(CT31="U","Manter a posição por "&amp;CM30&amp;" segundos de um lado e trocar para o outro na sequência | ","Manter a posição por "&amp;CM30&amp;" segundos | "),CT31="A","Realizar alternadamente "&amp;CM30&amp;" repetições cada lado | ",CT31="U","Realizar "&amp;CM30&amp;" repetições de um lado e trocar para o outro na sequência | ",CS31="P",OFFSET(Biblioteca!$H$2,MATCH(CT30,Biblioteca!$A$3:$A$200,0),0),TRUE,"")&amp;IF(CU31="R","Ajuste a carga para que tenha "&amp;$K$2&amp;" repetições de reserva",""))</f>
        <v/>
      </c>
      <c r="CL31" s="118" t="str">
        <f>IF(CH30="","",IFS(CS31="H","Carga Sugerida: "&amp;ROUNDUP(CV30/2,0)&amp;" kg de cada lado (Total: "&amp;ROUNDUP(CV30/2,0)*2&amp;" kg)",CS31="C","Este exercício usa o Peso Corporal como carga",CS31="E","Este exercício usa a resistência da banda elástica como carga",CS31="O","Carga Sugerida: "&amp;INT(CV30)&amp;" kg",TRUE,""))</f>
        <v/>
      </c>
      <c r="CQ31" s="66"/>
      <c r="CR31" s="126">
        <f>CR30</f>
        <v>1</v>
      </c>
      <c r="CS31" s="120" t="str">
        <f>LEFT(CV31)</f>
        <v/>
      </c>
      <c r="CT31" s="121" t="str">
        <f>MID(CV31,2,1)</f>
        <v/>
      </c>
      <c r="CU31" s="122" t="str">
        <f>RIGHT(CV31)</f>
        <v/>
      </c>
      <c r="CV31" s="123" t="str">
        <f>IF(CT30="","",OFFSET(Biblioteca!$I$2,MATCH(CT30,Biblioteca!$A$3:$A$200,0),0))</f>
        <v/>
      </c>
      <c r="CW31" s="124"/>
      <c r="CX31" s="125"/>
      <c r="CY31" s="117" t="str">
        <f>IF(CY30="","",IFS(DJ31="A",Montagem!$I$180,DL31="T","Realizar a maior quantidade de repetições por "&amp;DD30&amp;" segundos | ",DL31="I",IF(DK31="U","Manter a posição por "&amp;DD30&amp;" segundos de um lado e trocar para o outro na sequência | ","Manter a posição por "&amp;DD30&amp;" segundos | "),DK31="A","Realizar alternadamente "&amp;DD30&amp;" repetições cada lado | ",DK31="U","Realizar "&amp;DD30&amp;" repetições de um lado e trocar para o outro na sequência | ",DJ31="P",OFFSET(Biblioteca!$H$2,MATCH(DK30,Biblioteca!$A$3:$A$200,0),0),TRUE,"")&amp;IF(DL31="R","Ajuste a carga para que tenha "&amp;$K$2&amp;" repetições de reserva",""))</f>
        <v/>
      </c>
      <c r="DC31" s="118" t="str">
        <f>IF(CY30="","",IFS(DJ31="H","Carga Sugerida: "&amp;ROUNDUP(DM30/2,0)&amp;" kg de cada lado (Total: "&amp;ROUNDUP(DM30/2,0)*2&amp;" kg)",DJ31="C","Este exercício usa o Peso Corporal como carga",DJ31="E","Este exercício usa a resistência da banda elástica como carga",DJ31="O","Carga Sugerida: "&amp;INT(DM30)&amp;" kg",TRUE,""))</f>
        <v/>
      </c>
      <c r="DH31" s="66"/>
      <c r="DI31" s="126">
        <f>DI30</f>
        <v>1</v>
      </c>
      <c r="DJ31" s="120" t="str">
        <f>LEFT(DM31)</f>
        <v/>
      </c>
      <c r="DK31" s="121" t="str">
        <f>MID(DM31,2,1)</f>
        <v/>
      </c>
      <c r="DL31" s="122" t="str">
        <f>RIGHT(DM31)</f>
        <v/>
      </c>
      <c r="DM31" s="123" t="str">
        <f>IF(DK30="","",OFFSET(Biblioteca!$I$2,MATCH(DK30,Biblioteca!$A$3:$A$200,0),0))</f>
        <v/>
      </c>
      <c r="DN31" s="124"/>
      <c r="DO31" s="125"/>
      <c r="DP31" s="57"/>
      <c r="DQ31" s="56"/>
      <c r="DR31" s="56"/>
      <c r="DS31" s="56"/>
      <c r="DT31" s="56"/>
      <c r="DU31" s="56"/>
      <c r="DV31" s="56"/>
      <c r="DW31" s="56"/>
      <c r="DX31" s="56"/>
      <c r="DY31" s="56"/>
    </row>
    <row r="32">
      <c r="A32" s="115" t="str">
        <f>IF(M32="","",HYPERLINK(OFFSET(Biblioteca!$B$2,MATCH(M32,Biblioteca!$A$3:$A$200,0),0),M32))</f>
        <v>Esteira</v>
      </c>
      <c r="D32" s="103" t="str">
        <f>Montagem!Q174</f>
        <v/>
      </c>
      <c r="E32" s="104" t="str">
        <f>Montagem!R174</f>
        <v/>
      </c>
      <c r="F32" s="104" t="str">
        <f>Montagem!S174</f>
        <v/>
      </c>
      <c r="G32" s="104">
        <f>Montagem!T174</f>
        <v>60</v>
      </c>
      <c r="H32" s="104" t="str">
        <f>Montagem!U174</f>
        <v/>
      </c>
      <c r="I32" s="132" t="str">
        <f>Montagem!V174</f>
        <v/>
      </c>
      <c r="J32" s="105"/>
      <c r="K32" s="106">
        <f>Montagem!K174</f>
        <v>3</v>
      </c>
      <c r="L32" s="111">
        <f>Montagem!W174</f>
        <v>0</v>
      </c>
      <c r="M32" s="111" t="str">
        <f>Montagem!L174</f>
        <v>Esteira</v>
      </c>
      <c r="N32" s="111" t="str">
        <f>Montagem!X174</f>
        <v/>
      </c>
      <c r="O32" s="106">
        <f>IF(N32="",L32,N32)</f>
        <v>0</v>
      </c>
      <c r="P32" s="106">
        <f>IF(L33="C",'Dados de Base'!$D$5*0.1,IF(L33="E",5,IF(J32="",O32,J32)))</f>
        <v>0</v>
      </c>
      <c r="Q32" s="108"/>
      <c r="R32" s="115" t="str">
        <f>IF(AD32="","",HYPERLINK(OFFSET(Biblioteca!$B$2,MATCH(AD32,Biblioteca!$A$3:$A$200,0),0),AD32))</f>
        <v>Bicicleta</v>
      </c>
      <c r="U32" s="109" t="str">
        <f>Montagem!AF174</f>
        <v/>
      </c>
      <c r="V32" s="110" t="str">
        <f>Montagem!AG174</f>
        <v/>
      </c>
      <c r="W32" s="110" t="str">
        <f>Montagem!AH174</f>
        <v/>
      </c>
      <c r="X32" s="110">
        <f>Montagem!AI174</f>
        <v>60</v>
      </c>
      <c r="Y32" s="110" t="str">
        <f>Montagem!AJ174</f>
        <v/>
      </c>
      <c r="Z32" s="110" t="str">
        <f>Montagem!AK174</f>
        <v/>
      </c>
      <c r="AA32" s="113"/>
      <c r="AB32" s="111">
        <f>Montagem!Z174</f>
        <v>3</v>
      </c>
      <c r="AC32" s="111">
        <f>Montagem!AL174</f>
        <v>0</v>
      </c>
      <c r="AD32" s="129" t="str">
        <f>Montagem!AA174</f>
        <v>Bicicleta</v>
      </c>
      <c r="AE32" s="111" t="str">
        <f>Montagem!AM174</f>
        <v/>
      </c>
      <c r="AF32" s="106">
        <f>IF(AE32="",AC32,AE32)</f>
        <v>0</v>
      </c>
      <c r="AG32" s="106">
        <f>IF(AC33="C",'Dados de Base'!$D$5*0.1,IF(AC33="E",5,IF(AA32="",AF32,AA32)))</f>
        <v>0</v>
      </c>
      <c r="AH32" s="108"/>
      <c r="AI32" s="115" t="str">
        <f>IF(AU32="","",HYPERLINK(OFFSET(Biblioteca!$B$2,MATCH(AU32,Biblioteca!$A$3:$A$200,0),0),AU32))</f>
        <v/>
      </c>
      <c r="AL32" s="109" t="str">
        <f>Montagem!AU174</f>
        <v/>
      </c>
      <c r="AM32" s="110" t="str">
        <f>Montagem!AV174</f>
        <v/>
      </c>
      <c r="AN32" s="110" t="str">
        <f>Montagem!AW174</f>
        <v/>
      </c>
      <c r="AO32" s="110" t="str">
        <f>Montagem!AX174</f>
        <v/>
      </c>
      <c r="AP32" s="110" t="str">
        <f>Montagem!AY174</f>
        <v/>
      </c>
      <c r="AQ32" s="110" t="str">
        <f>Montagem!AZ174</f>
        <v/>
      </c>
      <c r="AR32" s="114"/>
      <c r="AS32" s="111">
        <f>Montagem!AO174</f>
        <v>1</v>
      </c>
      <c r="AT32" s="111" t="str">
        <f>Montagem!BA174</f>
        <v/>
      </c>
      <c r="AU32" s="111" t="str">
        <f>Montagem!AP174</f>
        <v/>
      </c>
      <c r="AV32" s="111" t="str">
        <f>Montagem!BB174</f>
        <v/>
      </c>
      <c r="AW32" s="106" t="str">
        <f>IF(AV32="",AT32,AV32)</f>
        <v/>
      </c>
      <c r="AX32" s="106" t="str">
        <f>IF(AT33="C",'Dados de Base'!$D$5*0.1,IF(AT33="E",5,IF(AR32="",AW32,AR32)))</f>
        <v/>
      </c>
      <c r="AY32" s="108"/>
      <c r="AZ32" s="102" t="str">
        <f>IF(BL32="","",HYPERLINK(OFFSET(Biblioteca!$B$2,MATCH(BL32,Biblioteca!$A$3:$A$200,0),0),BL32))</f>
        <v>Arremesso</v>
      </c>
      <c r="BC32" s="109" t="str">
        <f>Montagem!BJ174</f>
        <v>Bi-SET</v>
      </c>
      <c r="BD32" s="110">
        <f>Montagem!BK174</f>
        <v>3</v>
      </c>
      <c r="BE32" s="110">
        <f>Montagem!BL174</f>
        <v>8</v>
      </c>
      <c r="BF32" s="110">
        <f>Montagem!BM174</f>
        <v>60</v>
      </c>
      <c r="BG32" s="110">
        <f>Montagem!BN174</f>
        <v>1</v>
      </c>
      <c r="BH32" s="110">
        <f>Montagem!BO174</f>
        <v>2</v>
      </c>
      <c r="BI32" s="113"/>
      <c r="BJ32" s="111">
        <f>Montagem!BD174</f>
        <v>2</v>
      </c>
      <c r="BK32" s="111">
        <f>Montagem!BP174</f>
        <v>7.776643991</v>
      </c>
      <c r="BL32" s="111" t="str">
        <f>Montagem!BE174</f>
        <v>Arremesso</v>
      </c>
      <c r="BM32" s="111" t="str">
        <f>Montagem!BQ174</f>
        <v/>
      </c>
      <c r="BN32" s="106">
        <f>IF(BM32="",BK32,BM32)</f>
        <v>7.776643991</v>
      </c>
      <c r="BO32" s="106">
        <f>IF(BK33="C",'Dados de Base'!$D$5*0.1,IF(BK33="E",5,IF(BI32="",BN32,BI32)))</f>
        <v>7.776643991</v>
      </c>
      <c r="BP32" s="108"/>
      <c r="BQ32" s="102" t="str">
        <f>IF(CC32="","",HYPERLINK(OFFSET(Biblioteca!$B$2,MATCH(CC32,Biblioteca!$A$3:$A$200,0),0),CC32))</f>
        <v>Flexão Nórdica</v>
      </c>
      <c r="BT32" s="109" t="str">
        <f>Montagem!BY174</f>
        <v>Bi-SET</v>
      </c>
      <c r="BU32" s="110">
        <f>Montagem!BZ174</f>
        <v>3</v>
      </c>
      <c r="BV32" s="110">
        <f>Montagem!CA174</f>
        <v>8</v>
      </c>
      <c r="BW32" s="110" t="str">
        <f>Montagem!CB174</f>
        <v/>
      </c>
      <c r="BX32" s="110">
        <f>Montagem!CC174</f>
        <v>1</v>
      </c>
      <c r="BY32" s="110">
        <f>Montagem!CD174</f>
        <v>2</v>
      </c>
      <c r="BZ32" s="113"/>
      <c r="CA32" s="111">
        <f>Montagem!BS174</f>
        <v>3</v>
      </c>
      <c r="CB32" s="111">
        <f>Montagem!CE174</f>
        <v>0</v>
      </c>
      <c r="CC32" s="111" t="str">
        <f>Montagem!BT174</f>
        <v>Flexão Nórdica</v>
      </c>
      <c r="CD32" s="111" t="str">
        <f>Montagem!CF174</f>
        <v/>
      </c>
      <c r="CE32" s="106">
        <f>IF(CD32="",CB32,CD32)</f>
        <v>0</v>
      </c>
      <c r="CF32" s="106">
        <f>IF(CB33="C",'Dados de Base'!$D$5*0.1,IF(CB33="E",5,IF(BZ32="",CE32,BZ32)))</f>
        <v>6.3</v>
      </c>
      <c r="CG32" s="108"/>
      <c r="CH32" s="115" t="str">
        <f>IF(CT32="","",HYPERLINK(OFFSET(Biblioteca!$B$2,MATCH(CT32,Biblioteca!$A$3:$A$200,0),0),CT32))</f>
        <v/>
      </c>
      <c r="CK32" s="109" t="str">
        <f>Montagem!CN174</f>
        <v/>
      </c>
      <c r="CL32" s="110" t="str">
        <f>Montagem!CO174</f>
        <v/>
      </c>
      <c r="CM32" s="110" t="str">
        <f>Montagem!CP174</f>
        <v/>
      </c>
      <c r="CN32" s="110" t="str">
        <f>Montagem!CQ174</f>
        <v/>
      </c>
      <c r="CO32" s="110" t="str">
        <f>Montagem!CR174</f>
        <v/>
      </c>
      <c r="CP32" s="110" t="str">
        <f>Montagem!CS174</f>
        <v/>
      </c>
      <c r="CQ32" s="114"/>
      <c r="CR32" s="111">
        <f>Montagem!CH174</f>
        <v>1</v>
      </c>
      <c r="CS32" s="111" t="str">
        <f>Montagem!CT174</f>
        <v/>
      </c>
      <c r="CT32" s="111" t="str">
        <f>Montagem!CI174</f>
        <v/>
      </c>
      <c r="CU32" s="111" t="str">
        <f>Montagem!CU174</f>
        <v/>
      </c>
      <c r="CV32" s="106" t="str">
        <f>IF(CU32="",CS32,CU32)</f>
        <v/>
      </c>
      <c r="CW32" s="106" t="str">
        <f>IF(CS33="C",'Dados de Base'!$D$5*0.1,IF(CS33="E",5,IF(CQ32="",CV32,CQ32)))</f>
        <v/>
      </c>
      <c r="CX32" s="108"/>
      <c r="CY32" s="115" t="str">
        <f>IF(DK32="","",HYPERLINK(OFFSET(Biblioteca!$B$2,MATCH(DK32,Biblioteca!$A$3:$A$200,0),0),DK32))</f>
        <v/>
      </c>
      <c r="DB32" s="130" t="str">
        <f>Montagem!DC174</f>
        <v/>
      </c>
      <c r="DC32" s="131" t="str">
        <f>Montagem!DD174</f>
        <v/>
      </c>
      <c r="DD32" s="131" t="str">
        <f>Montagem!DE174</f>
        <v/>
      </c>
      <c r="DE32" s="131" t="str">
        <f>Montagem!DF174</f>
        <v/>
      </c>
      <c r="DF32" s="131" t="str">
        <f>Montagem!DG174</f>
        <v/>
      </c>
      <c r="DG32" s="131" t="str">
        <f>Montagem!DH174</f>
        <v/>
      </c>
      <c r="DH32" s="114"/>
      <c r="DI32" s="111">
        <f>Montagem!CW174</f>
        <v>1</v>
      </c>
      <c r="DJ32" s="111" t="str">
        <f>Montagem!DI174</f>
        <v/>
      </c>
      <c r="DK32" s="111" t="str">
        <f>Montagem!CX174</f>
        <v/>
      </c>
      <c r="DL32" s="111" t="str">
        <f>Montagem!DJ174</f>
        <v/>
      </c>
      <c r="DM32" s="106" t="str">
        <f>IF(DL32="",DJ32,DL32)</f>
        <v/>
      </c>
      <c r="DN32" s="106" t="str">
        <f>IF(DJ33="C",'Dados de Base'!$D$5*0.1,IF(DJ33="E",5,IF(DH32="",DM32,DH32)))</f>
        <v/>
      </c>
      <c r="DO32" s="108"/>
      <c r="DP32" s="106"/>
      <c r="DQ32" s="106"/>
      <c r="DR32" s="106"/>
      <c r="DS32" s="106"/>
      <c r="DT32" s="106"/>
      <c r="DU32" s="106"/>
      <c r="DV32" s="106"/>
      <c r="DW32" s="106"/>
      <c r="DX32" s="106"/>
      <c r="DY32" s="106"/>
    </row>
    <row r="33">
      <c r="A33" s="117" t="str">
        <f>IF(A32="","",IFS(L33="A",Montagem!$C$180,N33="T","Realizar a maior quantidade de repetições por "&amp;F32&amp;" segundos | ",N33="I",IF(M33="U","Manter a posição por "&amp;F32&amp;" segundos de um lado e trocar para o outro na sequência | ","Manter a posição por "&amp;F32&amp;" segundos | "),M33="A","Realizar alternadamente "&amp;F32&amp;" repetições cada lado | ",M33="U","Realizar "&amp;F32&amp;" repetições de um lado e trocar para o outro na sequência | ",L33="P",OFFSET(Biblioteca!$H$2,MATCH(M32,Biblioteca!$A$3:$A$200,0),0),TRUE,"")&amp;IF(N33="R","Ajuste a carga para que tenha "&amp;$K$2&amp;" repetições de reserva",""))</f>
        <v>1x (3m a 142,95 - 148,3 bpm-&gt; 15,4 - 16,4km/h)</v>
      </c>
      <c r="E33" s="118" t="str">
        <f>IF(A32="","",IFS(L33="H","Carga Sugerida: "&amp;ROUNDUP(O32/2,0)&amp;" kg de cada lado (Total: "&amp;ROUNDUP(O32/2,0)*2&amp;" kg)",L33="C","Este exercício usa o Peso Corporal como carga",L33="E","Este exercício usa a resistência da banda elástica como carga",L33="O","Carga Sugerida: "&amp;INT(O32)&amp;" kg",TRUE,""))</f>
        <v/>
      </c>
      <c r="J33" s="66"/>
      <c r="K33" s="126">
        <f>K32</f>
        <v>3</v>
      </c>
      <c r="L33" s="120" t="str">
        <f>LEFT(O33)</f>
        <v>A</v>
      </c>
      <c r="M33" s="121" t="str">
        <f>MID(O33,2,1)</f>
        <v>-</v>
      </c>
      <c r="N33" s="122" t="str">
        <f>RIGHT(O33)</f>
        <v>-</v>
      </c>
      <c r="O33" s="123" t="str">
        <f>IF(M32="","",OFFSET(Biblioteca!$I$2,MATCH(M32,Biblioteca!$A$3:$A$200,0),0))</f>
        <v>A--</v>
      </c>
      <c r="P33" s="124"/>
      <c r="Q33" s="125"/>
      <c r="R33" s="117" t="str">
        <f>IF(R32="","",IFS(AC33="A",Montagem!$D$180,AE33="T","Realizar a maior quantidade de repetições por "&amp;W32&amp;" segundos | ",AE33="I",IF(AD33="U","Manter a posição por "&amp;W32&amp;" segundos de um lado e trocar para o outro na sequência | ","Manter a posição por "&amp;W32&amp;" segundos | "),AD33="A","Realizar alternadamente "&amp;W32&amp;" repetições cada lado | ",AD33="U","Realizar "&amp;W32&amp;" repetições de um lado e trocar para o outro na sequência | ",AC33="P",OFFSET(Biblioteca!$H$2,MATCH(AD32,Biblioteca!$A$3:$A$200,0),0),TRUE,"")&amp;IF(AE33="R","Ajuste a carga para que tenha "&amp;$K$2&amp;" repetições de reserva",""))</f>
        <v>1x (3m all out)</v>
      </c>
      <c r="V33" s="118" t="str">
        <f>IF(R32="","",IFS(AC33="H","Carga Sugerida: "&amp;ROUNDUP(AF32/2,0)&amp;" kg de cada lado (Total: "&amp;ROUNDUP(AF32/2,0)*2&amp;" kg)",AC33="C","Este exercício usa o Peso Corporal como carga",AC33="E","Este exercício usa a resistência da banda elástica como carga",AC33="O","Carga Sugerida: "&amp;INT(AF32)&amp;" kg",TRUE,""))</f>
        <v/>
      </c>
      <c r="AA33" s="66"/>
      <c r="AB33" s="126">
        <f>AB32</f>
        <v>3</v>
      </c>
      <c r="AC33" s="120" t="str">
        <f>LEFT(AF33)</f>
        <v>A</v>
      </c>
      <c r="AD33" s="121" t="str">
        <f>MID(AF33,2,1)</f>
        <v>-</v>
      </c>
      <c r="AE33" s="122" t="str">
        <f>RIGHT(AF33)</f>
        <v>-</v>
      </c>
      <c r="AF33" s="123" t="str">
        <f>IF(AD32="","",OFFSET(Biblioteca!$I$2,MATCH(AD32,Biblioteca!$A$3:$A$200,0),0))</f>
        <v>A--</v>
      </c>
      <c r="AG33" s="124"/>
      <c r="AH33" s="125"/>
      <c r="AI33" s="117" t="str">
        <f>IF(AI32="","",IFS(AT33="A",Montagem!$E$180,AV33="T","Realizar a maior quantidade de repetições por "&amp;AN32&amp;" segundos | ",AV33="I",IF(AU33="U","Manter a posição por "&amp;AN32&amp;" segundos de um lado e trocar para o outro na sequência | ","Manter a posição por "&amp;AN32&amp;" segundos | "),AU33="A","Realizar alternadamente "&amp;AN32&amp;" repetições cada lado | ",AU33="U","Realizar "&amp;AN32&amp;" repetições de um lado e trocar para o outro na sequência | ",AT33="P",OFFSET(Biblioteca!$H$2,MATCH(AU32,Biblioteca!$A$3:$A$200,0),0),TRUE,"")&amp;IF(AV33="R","Ajuste a carga para que tenha "&amp;$K$2&amp;" repetições de reserva",""))</f>
        <v/>
      </c>
      <c r="AM33" s="118" t="str">
        <f>IF(AI32="","",IFS(AT33="H","Carga Sugerida: "&amp;ROUNDUP(AW32/2,0)&amp;" kg de cada lado (Total: "&amp;ROUNDUP(AW32/2,0)*2&amp;" kg)",AT33="C","Este exercício usa o Peso Corporal como carga",AT33="E","Este exercício usa a resistência da banda elástica como carga",AT33="O","Carga Sugerida: "&amp;INT(AW32)&amp;" kg",TRUE,""))</f>
        <v/>
      </c>
      <c r="AR33" s="66"/>
      <c r="AS33" s="126">
        <f>AS32</f>
        <v>1</v>
      </c>
      <c r="AT33" s="120" t="str">
        <f>LEFT(AW33)</f>
        <v/>
      </c>
      <c r="AU33" s="121" t="str">
        <f>MID(AW33,2,1)</f>
        <v/>
      </c>
      <c r="AV33" s="122" t="str">
        <f>RIGHT(AW33)</f>
        <v/>
      </c>
      <c r="AW33" s="123" t="str">
        <f>IF(AU32="","",OFFSET(Biblioteca!$I$2,MATCH(AU32,Biblioteca!$A$3:$A$200,0),0))</f>
        <v/>
      </c>
      <c r="AX33" s="124"/>
      <c r="AY33" s="125"/>
      <c r="AZ33" s="117" t="str">
        <f>IF(AZ32="","",IFS(BK33="A",Montagem!$F$180,BM33="T","Realizar a maior quantidade de repetições por "&amp;BE32&amp;" segundos | ",BM33="I",IF(BL33="U","Manter a posição por "&amp;BE32&amp;" segundos de um lado e trocar para o outro na sequência | ","Manter a posição por "&amp;BE32&amp;" segundos | "),BL33="A","Realizar alternadamente "&amp;BE32&amp;" repetições cada lado | ",BL33="U","Realizar "&amp;BE32&amp;" repetições de um lado e trocar para o outro na sequência | ",BK33="P",OFFSET(Biblioteca!$H$2,MATCH(BL32,Biblioteca!$A$3:$A$200,0),0),TRUE,"")&amp;IF(BM33="R","Ajuste a carga para que tenha "&amp;$K$2&amp;" repetições de reserva",""))</f>
        <v>Ajuste a carga para que tenha 0 a 2 repetições de reserva</v>
      </c>
      <c r="BD33" s="118" t="str">
        <f>IF(AZ32="","",IFS(BK33="H","Carga Sugerida: "&amp;ROUNDUP(BN32/2,0)&amp;" kg de cada lado (Total: "&amp;ROUNDUP(BN32/2,0)*2&amp;" kg)",BK33="C","Este exercício usa o Peso Corporal como carga",BK33="E","Este exercício usa a resistência da banda elástica como carga",BK33="O","Carga Sugerida: "&amp;INT(BN32)&amp;" kg",TRUE,""))</f>
        <v>Carga Sugerida: 7 kg</v>
      </c>
      <c r="BI33" s="66"/>
      <c r="BJ33" s="126">
        <f>BJ32</f>
        <v>2</v>
      </c>
      <c r="BK33" s="120" t="str">
        <f>LEFT(BN33)</f>
        <v>O</v>
      </c>
      <c r="BL33" s="121" t="str">
        <f>MID(BN33,2,1)</f>
        <v>O</v>
      </c>
      <c r="BM33" s="122" t="str">
        <f>RIGHT(BN33)</f>
        <v>R</v>
      </c>
      <c r="BN33" s="123" t="str">
        <f>IF(BL32="","",OFFSET(Biblioteca!$I$2,MATCH(BL32,Biblioteca!$A$3:$A$200,0),0))</f>
        <v>OOR</v>
      </c>
      <c r="BO33" s="124"/>
      <c r="BP33" s="125"/>
      <c r="BQ33" s="117" t="str">
        <f>IF(BQ32="","",IFS(CB33="A",Montagem!$G$180,CD33="T","Realizar a maior quantidade de repetições por "&amp;BV32&amp;" segundos | ",CD33="I",IF(CC33="U","Manter a posição por "&amp;BV32&amp;" segundos de um lado e trocar para o outro na sequência | ","Manter a posição por "&amp;BV32&amp;" segundos | "),CC33="A","Realizar alternadamente "&amp;BV32&amp;" repetições cada lado | ",CC33="U","Realizar "&amp;BV32&amp;" repetições de um lado e trocar para o outro na sequência | ",CB33="P",OFFSET(Biblioteca!$H$2,MATCH(CC32,Biblioteca!$A$3:$A$200,0),0),TRUE,"")&amp;IF(CD33="R","Ajuste a carga para que tenha "&amp;$K$2&amp;" repetições de reserva",""))</f>
        <v>Ajuste a carga para que tenha 0 a 2 repetições de reserva</v>
      </c>
      <c r="BU33" s="118" t="str">
        <f>IF(BQ32="","",IFS(CB33="H","Carga Sugerida: "&amp;ROUNDUP(CE32/2,0)&amp;" kg de cada lado (Total: "&amp;ROUNDUP(CE32/2,0)*2&amp;" kg)",CB33="C","Este exercício usa o Peso Corporal como carga",CB33="E","Este exercício usa a resistência da banda elástica como carga",CB33="O","Carga Sugerida: "&amp;INT(CE32)&amp;" kg",TRUE,""))</f>
        <v>Este exercício usa o Peso Corporal como carga</v>
      </c>
      <c r="BZ33" s="66"/>
      <c r="CA33" s="126">
        <f>CA32</f>
        <v>3</v>
      </c>
      <c r="CB33" s="120" t="str">
        <f>LEFT(CE33)</f>
        <v>C</v>
      </c>
      <c r="CC33" s="121" t="str">
        <f>MID(CE33,2,1)</f>
        <v>O</v>
      </c>
      <c r="CD33" s="122" t="str">
        <f>RIGHT(CE33)</f>
        <v>R</v>
      </c>
      <c r="CE33" s="123" t="str">
        <f>IF(CC32="","",OFFSET(Biblioteca!$I$2,MATCH(CC32,Biblioteca!$A$3:$A$200,0),0))</f>
        <v>COR</v>
      </c>
      <c r="CF33" s="124"/>
      <c r="CG33" s="125"/>
      <c r="CH33" s="117" t="str">
        <f>IF(CH32="","",IFS(CS33="A",Montagem!$H$180,CU33="T","Realizar a maior quantidade de repetições por "&amp;CM32&amp;" segundos | ",CU33="I",IF(CT33="U","Manter a posição por "&amp;CM32&amp;" segundos de um lado e trocar para o outro na sequência | ","Manter a posição por "&amp;CM32&amp;" segundos | "),CT33="A","Realizar alternadamente "&amp;CM32&amp;" repetições cada lado | ",CT33="U","Realizar "&amp;CM32&amp;" repetições de um lado e trocar para o outro na sequência | ",CS33="P",OFFSET(Biblioteca!$H$2,MATCH(CT32,Biblioteca!$A$3:$A$200,0),0),TRUE,"")&amp;IF(CU33="R","Ajuste a carga para que tenha "&amp;$K$2&amp;" repetições de reserva",""))</f>
        <v/>
      </c>
      <c r="CL33" s="118" t="str">
        <f>IF(CH32="","",IFS(CS33="H","Carga Sugerida: "&amp;ROUNDUP(CV32/2,0)&amp;" kg de cada lado (Total: "&amp;ROUNDUP(CV32/2,0)*2&amp;" kg)",CS33="C","Este exercício usa o Peso Corporal como carga",CS33="E","Este exercício usa a resistência da banda elástica como carga",CS33="O","Carga Sugerida: "&amp;INT(CV32)&amp;" kg",TRUE,""))</f>
        <v/>
      </c>
      <c r="CQ33" s="66"/>
      <c r="CR33" s="126">
        <f>CR32</f>
        <v>1</v>
      </c>
      <c r="CS33" s="120" t="str">
        <f>LEFT(CV33)</f>
        <v/>
      </c>
      <c r="CT33" s="121" t="str">
        <f>MID(CV33,2,1)</f>
        <v/>
      </c>
      <c r="CU33" s="122" t="str">
        <f>RIGHT(CV33)</f>
        <v/>
      </c>
      <c r="CV33" s="123" t="str">
        <f>IF(CT32="","",OFFSET(Biblioteca!$I$2,MATCH(CT32,Biblioteca!$A$3:$A$200,0),0))</f>
        <v/>
      </c>
      <c r="CW33" s="124"/>
      <c r="CX33" s="125"/>
      <c r="CY33" s="117" t="str">
        <f>IF(CY32="","",IFS(DJ33="A",Montagem!$I$180,DL33="T","Realizar a maior quantidade de repetições por "&amp;DD32&amp;" segundos | ",DL33="I",IF(DK33="U","Manter a posição por "&amp;DD32&amp;" segundos de um lado e trocar para o outro na sequência | ","Manter a posição por "&amp;DD32&amp;" segundos | "),DK33="A","Realizar alternadamente "&amp;DD32&amp;" repetições cada lado | ",DK33="U","Realizar "&amp;DD32&amp;" repetições de um lado e trocar para o outro na sequência | ",DJ33="P",OFFSET(Biblioteca!$H$2,MATCH(DK32,Biblioteca!$A$3:$A$200,0),0),TRUE,"")&amp;IF(DL33="R","Ajuste a carga para que tenha "&amp;$K$2&amp;" repetições de reserva",""))</f>
        <v/>
      </c>
      <c r="DC33" s="118" t="str">
        <f>IF(CY32="","",IFS(DJ33="H","Carga Sugerida: "&amp;ROUNDUP(DM32/2,0)&amp;" kg de cada lado (Total: "&amp;ROUNDUP(DM32/2,0)*2&amp;" kg)",DJ33="C","Este exercício usa o Peso Corporal como carga",DJ33="E","Este exercício usa a resistência da banda elástica como carga",DJ33="O","Carga Sugerida: "&amp;INT(DM32)&amp;" kg",TRUE,""))</f>
        <v/>
      </c>
      <c r="DH33" s="66"/>
      <c r="DI33" s="126">
        <f>DI32</f>
        <v>1</v>
      </c>
      <c r="DJ33" s="120" t="str">
        <f>LEFT(DM33)</f>
        <v/>
      </c>
      <c r="DK33" s="121" t="str">
        <f>MID(DM33,2,1)</f>
        <v/>
      </c>
      <c r="DL33" s="122" t="str">
        <f>RIGHT(DM33)</f>
        <v/>
      </c>
      <c r="DM33" s="123" t="str">
        <f>IF(DK32="","",OFFSET(Biblioteca!$I$2,MATCH(DK32,Biblioteca!$A$3:$A$200,0),0))</f>
        <v/>
      </c>
      <c r="DN33" s="124"/>
      <c r="DO33" s="125"/>
      <c r="DP33" s="57"/>
      <c r="DQ33" s="56"/>
      <c r="DR33" s="56"/>
      <c r="DS33" s="56"/>
      <c r="DT33" s="56"/>
      <c r="DU33" s="56"/>
      <c r="DV33" s="56"/>
      <c r="DW33" s="56"/>
      <c r="DX33" s="56"/>
      <c r="DY33" s="56"/>
    </row>
    <row r="34">
      <c r="A34" s="102" t="str">
        <f>IF(M34="","",HYPERLINK(OFFSET(Biblioteca!$B$2,MATCH(M34,Biblioteca!$A$3:$A$200,0),0),M34))</f>
        <v>Supino Inclinado</v>
      </c>
      <c r="D34" s="103" t="str">
        <f>Montagem!Q175</f>
        <v>Bi-SET</v>
      </c>
      <c r="E34" s="104">
        <f>Montagem!R175</f>
        <v>3</v>
      </c>
      <c r="F34" s="104">
        <f>Montagem!S175</f>
        <v>8</v>
      </c>
      <c r="G34" s="104" t="str">
        <f>Montagem!T175</f>
        <v/>
      </c>
      <c r="H34" s="104">
        <f>Montagem!U175</f>
        <v>1</v>
      </c>
      <c r="I34" s="132">
        <f>Montagem!V175</f>
        <v>2</v>
      </c>
      <c r="J34" s="105"/>
      <c r="K34" s="106">
        <f>Montagem!K175</f>
        <v>4</v>
      </c>
      <c r="L34" s="111">
        <f>Montagem!W175</f>
        <v>55.125</v>
      </c>
      <c r="M34" s="111" t="str">
        <f>Montagem!L175</f>
        <v>Supino Inclinado</v>
      </c>
      <c r="N34" s="111" t="str">
        <f>Montagem!X175</f>
        <v/>
      </c>
      <c r="O34" s="106">
        <f>IF(N34="",L34,N34)</f>
        <v>55.125</v>
      </c>
      <c r="P34" s="106">
        <f>IF(L35="C",'Dados de Base'!$D$5*0.1,IF(L35="E",5,IF(J34="",O34,J34)))</f>
        <v>55.125</v>
      </c>
      <c r="Q34" s="108"/>
      <c r="R34" s="102" t="str">
        <f>IF(AD34="","",HYPERLINK(OFFSET(Biblioteca!$B$2,MATCH(AD34,Biblioteca!$A$3:$A$200,0),0),AD34))</f>
        <v>Elevação Pélvica</v>
      </c>
      <c r="U34" s="109" t="str">
        <f>Montagem!AF175</f>
        <v>Bi-SET</v>
      </c>
      <c r="V34" s="110">
        <f>Montagem!AG175</f>
        <v>3</v>
      </c>
      <c r="W34" s="110">
        <f>Montagem!AH175</f>
        <v>8</v>
      </c>
      <c r="X34" s="110" t="str">
        <f>Montagem!AI175</f>
        <v/>
      </c>
      <c r="Y34" s="110">
        <f>Montagem!AJ175</f>
        <v>1</v>
      </c>
      <c r="Z34" s="110">
        <f>Montagem!AK175</f>
        <v>2</v>
      </c>
      <c r="AA34" s="113"/>
      <c r="AB34" s="111">
        <f>Montagem!Z175</f>
        <v>4</v>
      </c>
      <c r="AC34" s="111">
        <f>Montagem!AL175</f>
        <v>121.550625</v>
      </c>
      <c r="AD34" s="129" t="str">
        <f>Montagem!AA175</f>
        <v>Elevação Pélvica</v>
      </c>
      <c r="AE34" s="111" t="str">
        <f>Montagem!AM175</f>
        <v/>
      </c>
      <c r="AF34" s="106">
        <f>IF(AE34="",AC34,AE34)</f>
        <v>121.550625</v>
      </c>
      <c r="AG34" s="106">
        <f>IF(AC35="C",'Dados de Base'!$D$5*0.1,IF(AC35="E",5,IF(AA34="",AF34,AA34)))</f>
        <v>121.550625</v>
      </c>
      <c r="AH34" s="108"/>
      <c r="AI34" s="115" t="str">
        <f>IF(AU34="","",HYPERLINK(OFFSET(Biblioteca!$B$2,MATCH(AU34,Biblioteca!$A$3:$A$200,0),0),AU34))</f>
        <v/>
      </c>
      <c r="AL34" s="109" t="str">
        <f>Montagem!AU175</f>
        <v/>
      </c>
      <c r="AM34" s="110" t="str">
        <f>Montagem!AV175</f>
        <v/>
      </c>
      <c r="AN34" s="110" t="str">
        <f>Montagem!AW175</f>
        <v/>
      </c>
      <c r="AO34" s="110" t="str">
        <f>Montagem!AX175</f>
        <v/>
      </c>
      <c r="AP34" s="110" t="str">
        <f>Montagem!AY175</f>
        <v/>
      </c>
      <c r="AQ34" s="110" t="str">
        <f>Montagem!AZ175</f>
        <v/>
      </c>
      <c r="AR34" s="114"/>
      <c r="AS34" s="111">
        <f>Montagem!AO175</f>
        <v>1</v>
      </c>
      <c r="AT34" s="111" t="str">
        <f>Montagem!BA175</f>
        <v/>
      </c>
      <c r="AU34" s="111" t="str">
        <f>Montagem!AP175</f>
        <v/>
      </c>
      <c r="AV34" s="111" t="str">
        <f>Montagem!BB175</f>
        <v/>
      </c>
      <c r="AW34" s="106" t="str">
        <f>IF(AV34="",AT34,AV34)</f>
        <v/>
      </c>
      <c r="AX34" s="106" t="str">
        <f>IF(AT35="C",'Dados de Base'!$D$5*0.1,IF(AT35="E",5,IF(AR34="",AW34,AR34)))</f>
        <v/>
      </c>
      <c r="AY34" s="108"/>
      <c r="AZ34" s="102" t="str">
        <f>IF(BL34="","",HYPERLINK(OFFSET(Biblioteca!$B$2,MATCH(BL34,Biblioteca!$A$3:$A$200,0),0),BL34))</f>
        <v>Lat PullDown</v>
      </c>
      <c r="BC34" s="109" t="str">
        <f>Montagem!BJ175</f>
        <v>Bi-SET</v>
      </c>
      <c r="BD34" s="110">
        <f>Montagem!BK175</f>
        <v>3</v>
      </c>
      <c r="BE34" s="110">
        <f>Montagem!BL175</f>
        <v>8</v>
      </c>
      <c r="BF34" s="110" t="str">
        <f>Montagem!BM175</f>
        <v/>
      </c>
      <c r="BG34" s="110">
        <f>Montagem!BN175</f>
        <v>1</v>
      </c>
      <c r="BH34" s="110">
        <f>Montagem!BO175</f>
        <v>2</v>
      </c>
      <c r="BI34" s="113"/>
      <c r="BJ34" s="111">
        <f>Montagem!BD175</f>
        <v>3</v>
      </c>
      <c r="BK34" s="111">
        <f>Montagem!BP175</f>
        <v>9.2378475</v>
      </c>
      <c r="BL34" s="111" t="str">
        <f>Montagem!BE175</f>
        <v>Lat PullDown</v>
      </c>
      <c r="BM34" s="111" t="str">
        <f>Montagem!BQ175</f>
        <v/>
      </c>
      <c r="BN34" s="106">
        <f>IF(BM34="",BK34,BM34)</f>
        <v>9.2378475</v>
      </c>
      <c r="BO34" s="106">
        <f>IF(BK35="C",'Dados de Base'!$D$5*0.1,IF(BK35="E",5,IF(BI34="",BN34,BI34)))</f>
        <v>9.2378475</v>
      </c>
      <c r="BP34" s="108"/>
      <c r="BQ34" s="102" t="str">
        <f>IF(CC34="","",HYPERLINK(OFFSET(Biblioteca!$B$2,MATCH(CC34,Biblioteca!$A$3:$A$200,0),0),CC34))</f>
        <v>Cadeira Extensora</v>
      </c>
      <c r="BT34" s="109" t="str">
        <f>Montagem!BY175</f>
        <v>Bi-SET</v>
      </c>
      <c r="BU34" s="110">
        <f>Montagem!BZ175</f>
        <v>3</v>
      </c>
      <c r="BV34" s="110">
        <f>Montagem!CA175</f>
        <v>8</v>
      </c>
      <c r="BW34" s="110">
        <f>Montagem!CB175</f>
        <v>60</v>
      </c>
      <c r="BX34" s="110">
        <f>Montagem!CC175</f>
        <v>1</v>
      </c>
      <c r="BY34" s="110">
        <f>Montagem!CD175</f>
        <v>2</v>
      </c>
      <c r="BZ34" s="113"/>
      <c r="CA34" s="111">
        <f>Montagem!BS175</f>
        <v>3</v>
      </c>
      <c r="CB34" s="111">
        <f>Montagem!CE175</f>
        <v>17.0170875</v>
      </c>
      <c r="CC34" s="111" t="str">
        <f>Montagem!BT175</f>
        <v>Cadeira Extensora</v>
      </c>
      <c r="CD34" s="111" t="str">
        <f>Montagem!CF175</f>
        <v/>
      </c>
      <c r="CE34" s="106">
        <f>IF(CD34="",CB34,CD34)</f>
        <v>17.0170875</v>
      </c>
      <c r="CF34" s="106">
        <f>IF(CB35="C",'Dados de Base'!$D$5*0.1,IF(CB35="E",5,IF(BZ34="",CE34,BZ34)))</f>
        <v>17.0170875</v>
      </c>
      <c r="CG34" s="108"/>
      <c r="CH34" s="115" t="str">
        <f>IF(CT34="","",HYPERLINK(OFFSET(Biblioteca!$B$2,MATCH(CT34,Biblioteca!$A$3:$A$200,0),0),CT34))</f>
        <v/>
      </c>
      <c r="CK34" s="109" t="str">
        <f>Montagem!CN175</f>
        <v/>
      </c>
      <c r="CL34" s="110" t="str">
        <f>Montagem!CO175</f>
        <v/>
      </c>
      <c r="CM34" s="110" t="str">
        <f>Montagem!CP175</f>
        <v/>
      </c>
      <c r="CN34" s="110" t="str">
        <f>Montagem!CQ175</f>
        <v/>
      </c>
      <c r="CO34" s="110" t="str">
        <f>Montagem!CR175</f>
        <v/>
      </c>
      <c r="CP34" s="110" t="str">
        <f>Montagem!CS175</f>
        <v/>
      </c>
      <c r="CQ34" s="114"/>
      <c r="CR34" s="111">
        <f>Montagem!CH175</f>
        <v>1</v>
      </c>
      <c r="CS34" s="111" t="str">
        <f>Montagem!CT175</f>
        <v/>
      </c>
      <c r="CT34" s="111" t="str">
        <f>Montagem!CI175</f>
        <v/>
      </c>
      <c r="CU34" s="111" t="str">
        <f>Montagem!CU175</f>
        <v/>
      </c>
      <c r="CV34" s="106" t="str">
        <f>IF(CU34="",CS34,CU34)</f>
        <v/>
      </c>
      <c r="CW34" s="106" t="str">
        <f>IF(CS35="C",'Dados de Base'!$D$5*0.1,IF(CS35="E",5,IF(CQ34="",CV34,CQ34)))</f>
        <v/>
      </c>
      <c r="CX34" s="108"/>
      <c r="CY34" s="115" t="str">
        <f>IF(DK34="","",HYPERLINK(OFFSET(Biblioteca!$B$2,MATCH(DK34,Biblioteca!$A$3:$A$200,0),0),DK34))</f>
        <v/>
      </c>
      <c r="DB34" s="130" t="str">
        <f>Montagem!DC175</f>
        <v/>
      </c>
      <c r="DC34" s="131" t="str">
        <f>Montagem!DD175</f>
        <v/>
      </c>
      <c r="DD34" s="131" t="str">
        <f>Montagem!DE175</f>
        <v/>
      </c>
      <c r="DE34" s="131" t="str">
        <f>Montagem!DF175</f>
        <v/>
      </c>
      <c r="DF34" s="131" t="str">
        <f>Montagem!DG175</f>
        <v/>
      </c>
      <c r="DG34" s="131" t="str">
        <f>Montagem!DH175</f>
        <v/>
      </c>
      <c r="DH34" s="114"/>
      <c r="DI34" s="111">
        <f>Montagem!CW175</f>
        <v>1</v>
      </c>
      <c r="DJ34" s="111" t="str">
        <f>Montagem!DI175</f>
        <v/>
      </c>
      <c r="DK34" s="111" t="str">
        <f>Montagem!CX175</f>
        <v/>
      </c>
      <c r="DL34" s="111" t="str">
        <f>Montagem!DJ175</f>
        <v/>
      </c>
      <c r="DM34" s="106" t="str">
        <f>IF(DL34="",DJ34,DL34)</f>
        <v/>
      </c>
      <c r="DN34" s="106" t="str">
        <f>IF(DJ35="C",'Dados de Base'!$D$5*0.1,IF(DJ35="E",5,IF(DH34="",DM34,DH34)))</f>
        <v/>
      </c>
      <c r="DO34" s="108"/>
      <c r="DP34" s="106"/>
      <c r="DQ34" s="106"/>
      <c r="DR34" s="106"/>
      <c r="DS34" s="106"/>
      <c r="DT34" s="106"/>
      <c r="DU34" s="106"/>
      <c r="DV34" s="106"/>
      <c r="DW34" s="106"/>
      <c r="DX34" s="106"/>
      <c r="DY34" s="106"/>
    </row>
    <row r="35">
      <c r="A35" s="117" t="str">
        <f>IF(A34="","",IFS(L35="A",Montagem!$C$180,N35="T","Realizar a maior quantidade de repetições por "&amp;F34&amp;" segundos | ",N35="I",IF(M35="U","Manter a posição por "&amp;F34&amp;" segundos de um lado e trocar para o outro na sequência | ","Manter a posição por "&amp;F34&amp;" segundos | "),M35="A","Realizar alternadamente "&amp;F34&amp;" repetições cada lado | ",M35="U","Realizar "&amp;F34&amp;" repetições de um lado e trocar para o outro na sequência | ",L35="P",OFFSET(Biblioteca!$H$2,MATCH(M34,Biblioteca!$A$3:$A$200,0),0),TRUE,"")&amp;IF(N35="R","Ajuste a carga para que tenha "&amp;$K$2&amp;" repetições de reserva",""))</f>
        <v>Ajuste a carga para que tenha 0 a 2 repetições de reserva</v>
      </c>
      <c r="E35" s="118" t="str">
        <f>IF(A34="","",IFS(L35="H","Carga Sugerida: "&amp;ROUNDUP(O34/2,0)&amp;" kg de cada lado (Total: "&amp;ROUNDUP(O34/2,0)*2&amp;" kg)",L35="C","Este exercício usa o Peso Corporal como carga",L35="E","Este exercício usa a resistência da banda elástica como carga",L35="O","Carga Sugerida: "&amp;INT(O34)&amp;" kg",TRUE,""))</f>
        <v>Carga Sugerida: 55 kg</v>
      </c>
      <c r="J35" s="66"/>
      <c r="K35" s="126">
        <f>K34</f>
        <v>4</v>
      </c>
      <c r="L35" s="120" t="str">
        <f>LEFT(O35)</f>
        <v>O</v>
      </c>
      <c r="M35" s="121" t="str">
        <f>MID(O35,2,1)</f>
        <v>O</v>
      </c>
      <c r="N35" s="122" t="str">
        <f>RIGHT(O35)</f>
        <v>R</v>
      </c>
      <c r="O35" s="123" t="str">
        <f>IF(M34="","",OFFSET(Biblioteca!$I$2,MATCH(M34,Biblioteca!$A$3:$A$200,0),0))</f>
        <v>OOR</v>
      </c>
      <c r="P35" s="124"/>
      <c r="Q35" s="125"/>
      <c r="R35" s="117" t="str">
        <f>IF(R34="","",IFS(AC35="A",Montagem!$D$180,AE35="T","Realizar a maior quantidade de repetições por "&amp;W34&amp;" segundos | ",AE35="I",IF(AD35="U","Manter a posição por "&amp;W34&amp;" segundos de um lado e trocar para o outro na sequência | ","Manter a posição por "&amp;W34&amp;" segundos | "),AD35="A","Realizar alternadamente "&amp;W34&amp;" repetições cada lado | ",AD35="U","Realizar "&amp;W34&amp;" repetições de um lado e trocar para o outro na sequência | ",AC35="P",OFFSET(Biblioteca!$H$2,MATCH(AD34,Biblioteca!$A$3:$A$200,0),0),TRUE,"")&amp;IF(AE35="R","Ajuste a carga para que tenha "&amp;$K$2&amp;" repetições de reserva",""))</f>
        <v>Ajuste a carga para que tenha 0 a 2 repetições de reserva</v>
      </c>
      <c r="V35" s="118" t="str">
        <f>IF(R34="","",IFS(AC35="H","Carga Sugerida: "&amp;ROUNDUP(AF34/2,0)&amp;" kg de cada lado (Total: "&amp;ROUNDUP(AF34/2,0)*2&amp;" kg)",AC35="C","Este exercício usa o Peso Corporal como carga",AC35="E","Este exercício usa a resistência da banda elástica como carga",AC35="O","Carga Sugerida: "&amp;INT(AF34)&amp;" kg",TRUE,""))</f>
        <v>Carga Sugerida: 121 kg</v>
      </c>
      <c r="AA35" s="66"/>
      <c r="AB35" s="126">
        <f>AB34</f>
        <v>4</v>
      </c>
      <c r="AC35" s="120" t="str">
        <f>LEFT(AF35)</f>
        <v>O</v>
      </c>
      <c r="AD35" s="121" t="str">
        <f>MID(AF35,2,1)</f>
        <v>O</v>
      </c>
      <c r="AE35" s="122" t="str">
        <f>RIGHT(AF35)</f>
        <v>R</v>
      </c>
      <c r="AF35" s="123" t="str">
        <f>IF(AD34="","",OFFSET(Biblioteca!$I$2,MATCH(AD34,Biblioteca!$A$3:$A$200,0),0))</f>
        <v>OOR</v>
      </c>
      <c r="AG35" s="124"/>
      <c r="AH35" s="125"/>
      <c r="AI35" s="117" t="str">
        <f>IF(AI34="","",IFS(AT35="A",Montagem!$E$180,AV35="T","Realizar a maior quantidade de repetições por "&amp;AN34&amp;" segundos | ",AV35="I",IF(AU35="U","Manter a posição por "&amp;AN34&amp;" segundos de um lado e trocar para o outro na sequência | ","Manter a posição por "&amp;AN34&amp;" segundos | "),AU35="A","Realizar alternadamente "&amp;AN34&amp;" repetições cada lado | ",AU35="U","Realizar "&amp;AN34&amp;" repetições de um lado e trocar para o outro na sequência | ",AT35="P",OFFSET(Biblioteca!$H$2,MATCH(AU34,Biblioteca!$A$3:$A$200,0),0),TRUE,"")&amp;IF(AV35="R","Ajuste a carga para que tenha "&amp;$K$2&amp;" repetições de reserva",""))</f>
        <v/>
      </c>
      <c r="AM35" s="118" t="str">
        <f>IF(AI34="","",IFS(AT35="H","Carga Sugerida: "&amp;ROUNDUP(AW34/2,0)&amp;" kg de cada lado (Total: "&amp;ROUNDUP(AW34/2,0)*2&amp;" kg)",AT35="C","Este exercício usa o Peso Corporal como carga",AT35="E","Este exercício usa a resistência da banda elástica como carga",AT35="O","Carga Sugerida: "&amp;INT(AW34)&amp;" kg",TRUE,""))</f>
        <v/>
      </c>
      <c r="AR35" s="66"/>
      <c r="AS35" s="126">
        <f>AS34</f>
        <v>1</v>
      </c>
      <c r="AT35" s="120" t="str">
        <f>LEFT(AW35)</f>
        <v/>
      </c>
      <c r="AU35" s="121" t="str">
        <f>MID(AW35,2,1)</f>
        <v/>
      </c>
      <c r="AV35" s="122" t="str">
        <f>RIGHT(AW35)</f>
        <v/>
      </c>
      <c r="AW35" s="123" t="str">
        <f>IF(AU34="","",OFFSET(Biblioteca!$I$2,MATCH(AU34,Biblioteca!$A$3:$A$200,0),0))</f>
        <v/>
      </c>
      <c r="AX35" s="124"/>
      <c r="AY35" s="125"/>
      <c r="AZ35" s="117" t="str">
        <f>IF(AZ34="","",IFS(BK35="A",Montagem!$F$180,BM35="T","Realizar a maior quantidade de repetições por "&amp;BE34&amp;" segundos | ",BM35="I",IF(BL35="U","Manter a posição por "&amp;BE34&amp;" segundos de um lado e trocar para o outro na sequência | ","Manter a posição por "&amp;BE34&amp;" segundos | "),BL35="A","Realizar alternadamente "&amp;BE34&amp;" repetições cada lado | ",BL35="U","Realizar "&amp;BE34&amp;" repetições de um lado e trocar para o outro na sequência | ",BK35="P",OFFSET(Biblioteca!$H$2,MATCH(BL34,Biblioteca!$A$3:$A$200,0),0),TRUE,"")&amp;IF(BM35="R","Ajuste a carga para que tenha "&amp;$K$2&amp;" repetições de reserva",""))</f>
        <v>Ajuste a carga para que tenha 0 a 2 repetições de reserva</v>
      </c>
      <c r="BD35" s="118" t="str">
        <f>IF(AZ34="","",IFS(BK35="H","Carga Sugerida: "&amp;ROUNDUP(BN34/2,0)&amp;" kg de cada lado (Total: "&amp;ROUNDUP(BN34/2,0)*2&amp;" kg)",BK35="C","Este exercício usa o Peso Corporal como carga",BK35="E","Este exercício usa a resistência da banda elástica como carga",BK35="O","Carga Sugerida: "&amp;INT(BN34)&amp;" kg",TRUE,""))</f>
        <v>Carga Sugerida: 9 kg</v>
      </c>
      <c r="BI35" s="66"/>
      <c r="BJ35" s="126">
        <f>BJ34</f>
        <v>3</v>
      </c>
      <c r="BK35" s="120" t="str">
        <f>LEFT(BN35)</f>
        <v>O</v>
      </c>
      <c r="BL35" s="121" t="str">
        <f>MID(BN35,2,1)</f>
        <v>O</v>
      </c>
      <c r="BM35" s="122" t="str">
        <f>RIGHT(BN35)</f>
        <v>R</v>
      </c>
      <c r="BN35" s="123" t="str">
        <f>IF(BL34="","",OFFSET(Biblioteca!$I$2,MATCH(BL34,Biblioteca!$A$3:$A$200,0),0))</f>
        <v>OOR</v>
      </c>
      <c r="BO35" s="124"/>
      <c r="BP35" s="125"/>
      <c r="BQ35" s="117" t="str">
        <f>IF(BQ34="","",IFS(CB35="A",Montagem!$G$180,CD35="T","Realizar a maior quantidade de repetições por "&amp;BV34&amp;" segundos | ",CD35="I",IF(CC35="U","Manter a posição por "&amp;BV34&amp;" segundos de um lado e trocar para o outro na sequência | ","Manter a posição por "&amp;BV34&amp;" segundos | "),CC35="A","Realizar alternadamente "&amp;BV34&amp;" repetições cada lado | ",CC35="U","Realizar "&amp;BV34&amp;" repetições de um lado e trocar para o outro na sequência | ",CB35="P",OFFSET(Biblioteca!$H$2,MATCH(CC34,Biblioteca!$A$3:$A$200,0),0),TRUE,"")&amp;IF(CD35="R","Ajuste a carga para que tenha "&amp;$K$2&amp;" repetições de reserva",""))</f>
        <v>Ajuste a carga para que tenha 0 a 2 repetições de reserva</v>
      </c>
      <c r="BU35" s="118" t="str">
        <f>IF(BQ34="","",IFS(CB35="H","Carga Sugerida: "&amp;ROUNDUP(CE34/2,0)&amp;" kg de cada lado (Total: "&amp;ROUNDUP(CE34/2,0)*2&amp;" kg)",CB35="C","Este exercício usa o Peso Corporal como carga",CB35="E","Este exercício usa a resistência da banda elástica como carga",CB35="O","Carga Sugerida: "&amp;INT(CE34)&amp;" kg",TRUE,""))</f>
        <v>Carga Sugerida: 17 kg</v>
      </c>
      <c r="BZ35" s="66"/>
      <c r="CA35" s="126">
        <f>CA34</f>
        <v>3</v>
      </c>
      <c r="CB35" s="120" t="str">
        <f>LEFT(CE35)</f>
        <v>O</v>
      </c>
      <c r="CC35" s="121" t="str">
        <f>MID(CE35,2,1)</f>
        <v>O</v>
      </c>
      <c r="CD35" s="122" t="str">
        <f>RIGHT(CE35)</f>
        <v>R</v>
      </c>
      <c r="CE35" s="123" t="str">
        <f>IF(CC34="","",OFFSET(Biblioteca!$I$2,MATCH(CC34,Biblioteca!$A$3:$A$200,0),0))</f>
        <v>OOR</v>
      </c>
      <c r="CF35" s="124"/>
      <c r="CG35" s="125"/>
      <c r="CH35" s="117" t="str">
        <f>IF(CH34="","",IFS(CS35="A",Montagem!$H$180,CU35="T","Realizar a maior quantidade de repetições por "&amp;CM34&amp;" segundos | ",CU35="I",IF(CT35="U","Manter a posição por "&amp;CM34&amp;" segundos de um lado e trocar para o outro na sequência | ","Manter a posição por "&amp;CM34&amp;" segundos | "),CT35="A","Realizar alternadamente "&amp;CM34&amp;" repetições cada lado | ",CT35="U","Realizar "&amp;CM34&amp;" repetições de um lado e trocar para o outro na sequência | ",CS35="P",OFFSET(Biblioteca!$H$2,MATCH(CT34,Biblioteca!$A$3:$A$200,0),0),TRUE,"")&amp;IF(CU35="R","Ajuste a carga para que tenha "&amp;$K$2&amp;" repetições de reserva",""))</f>
        <v/>
      </c>
      <c r="CL35" s="118" t="str">
        <f>IF(CH34="","",IFS(CS35="H","Carga Sugerida: "&amp;ROUNDUP(CV34/2,0)&amp;" kg de cada lado (Total: "&amp;ROUNDUP(CV34/2,0)*2&amp;" kg)",CS35="C","Este exercício usa o Peso Corporal como carga",CS35="E","Este exercício usa a resistência da banda elástica como carga",CS35="O","Carga Sugerida: "&amp;INT(CV34)&amp;" kg",TRUE,""))</f>
        <v/>
      </c>
      <c r="CQ35" s="66"/>
      <c r="CR35" s="126">
        <f>CR34</f>
        <v>1</v>
      </c>
      <c r="CS35" s="120" t="str">
        <f>LEFT(CV35)</f>
        <v/>
      </c>
      <c r="CT35" s="121" t="str">
        <f>MID(CV35,2,1)</f>
        <v/>
      </c>
      <c r="CU35" s="122" t="str">
        <f>RIGHT(CV35)</f>
        <v/>
      </c>
      <c r="CV35" s="123" t="str">
        <f>IF(CT34="","",OFFSET(Biblioteca!$I$2,MATCH(CT34,Biblioteca!$A$3:$A$200,0),0))</f>
        <v/>
      </c>
      <c r="CW35" s="124"/>
      <c r="CX35" s="125"/>
      <c r="CY35" s="117" t="str">
        <f>IF(CY34="","",IFS(DJ35="A",Montagem!$I$180,DL35="T","Realizar a maior quantidade de repetições por "&amp;DD34&amp;" segundos | ",DL35="I",IF(DK35="U","Manter a posição por "&amp;DD34&amp;" segundos de um lado e trocar para o outro na sequência | ","Manter a posição por "&amp;DD34&amp;" segundos | "),DK35="A","Realizar alternadamente "&amp;DD34&amp;" repetições cada lado | ",DK35="U","Realizar "&amp;DD34&amp;" repetições de um lado e trocar para o outro na sequência | ",DJ35="P",OFFSET(Biblioteca!$H$2,MATCH(DK34,Biblioteca!$A$3:$A$200,0),0),TRUE,"")&amp;IF(DL35="R","Ajuste a carga para que tenha "&amp;$K$2&amp;" repetições de reserva",""))</f>
        <v/>
      </c>
      <c r="DC35" s="118" t="str">
        <f>IF(CY34="","",IFS(DJ35="H","Carga Sugerida: "&amp;ROUNDUP(DM34/2,0)&amp;" kg de cada lado (Total: "&amp;ROUNDUP(DM34/2,0)*2&amp;" kg)",DJ35="C","Este exercício usa o Peso Corporal como carga",DJ35="E","Este exercício usa a resistência da banda elástica como carga",DJ35="O","Carga Sugerida: "&amp;INT(DM34)&amp;" kg",TRUE,""))</f>
        <v/>
      </c>
      <c r="DH35" s="66"/>
      <c r="DI35" s="126">
        <f>DI34</f>
        <v>1</v>
      </c>
      <c r="DJ35" s="120" t="str">
        <f>LEFT(DM35)</f>
        <v/>
      </c>
      <c r="DK35" s="121" t="str">
        <f>MID(DM35,2,1)</f>
        <v/>
      </c>
      <c r="DL35" s="122" t="str">
        <f>RIGHT(DM35)</f>
        <v/>
      </c>
      <c r="DM35" s="123" t="str">
        <f>IF(DK34="","",OFFSET(Biblioteca!$I$2,MATCH(DK34,Biblioteca!$A$3:$A$200,0),0))</f>
        <v/>
      </c>
      <c r="DN35" s="124"/>
      <c r="DO35" s="125"/>
      <c r="DP35" s="57"/>
      <c r="DQ35" s="56"/>
      <c r="DR35" s="56"/>
      <c r="DS35" s="56"/>
      <c r="DT35" s="56"/>
      <c r="DU35" s="56"/>
      <c r="DV35" s="56"/>
      <c r="DW35" s="56"/>
      <c r="DX35" s="56"/>
      <c r="DY35" s="56"/>
    </row>
    <row r="36">
      <c r="A36" s="102" t="str">
        <f>IF(M36="","",HYPERLINK(OFFSET(Biblioteca!$B$2,MATCH(M36,Biblioteca!$A$3:$A$200,0),0),M36))</f>
        <v>Pulley frente</v>
      </c>
      <c r="D36" s="103" t="str">
        <f>Montagem!Q176</f>
        <v>Bi-SET</v>
      </c>
      <c r="E36" s="104">
        <f>Montagem!R176</f>
        <v>3</v>
      </c>
      <c r="F36" s="104">
        <f>Montagem!S176</f>
        <v>8</v>
      </c>
      <c r="G36" s="104">
        <f>Montagem!T176</f>
        <v>60</v>
      </c>
      <c r="H36" s="104">
        <f>Montagem!U176</f>
        <v>1</v>
      </c>
      <c r="I36" s="132">
        <f>Montagem!V176</f>
        <v>2</v>
      </c>
      <c r="J36" s="105"/>
      <c r="K36" s="106">
        <f>Montagem!K176</f>
        <v>4</v>
      </c>
      <c r="L36" s="111">
        <f>Montagem!W176</f>
        <v>10.39257844</v>
      </c>
      <c r="M36" s="111" t="str">
        <f>Montagem!L176</f>
        <v>Pulley frente</v>
      </c>
      <c r="N36" s="111" t="str">
        <f>Montagem!X176</f>
        <v/>
      </c>
      <c r="O36" s="106">
        <f>IF(N36="",L36,N36)</f>
        <v>10.39257844</v>
      </c>
      <c r="P36" s="106">
        <f>IF(L37="C",'Dados de Base'!$D$5*0.1,IF(L37="E",5,IF(J36="",O36,J36)))</f>
        <v>10.39257844</v>
      </c>
      <c r="Q36" s="108"/>
      <c r="R36" s="102" t="str">
        <f>IF(AD36="","",HYPERLINK(OFFSET(Biblioteca!$B$2,MATCH(AD36,Biblioteca!$A$3:$A$200,0),0),AD36))</f>
        <v>Cadeira Abdutora</v>
      </c>
      <c r="U36" s="109" t="str">
        <f>Montagem!AF176</f>
        <v>Bi-SET</v>
      </c>
      <c r="V36" s="110">
        <f>Montagem!AG176</f>
        <v>3</v>
      </c>
      <c r="W36" s="110">
        <f>Montagem!AH176</f>
        <v>8</v>
      </c>
      <c r="X36" s="110">
        <f>Montagem!AI176</f>
        <v>60</v>
      </c>
      <c r="Y36" s="110">
        <f>Montagem!AJ176</f>
        <v>1</v>
      </c>
      <c r="Z36" s="110">
        <f>Montagem!AK176</f>
        <v>2</v>
      </c>
      <c r="AA36" s="113"/>
      <c r="AB36" s="111">
        <f>Montagem!Z176</f>
        <v>4</v>
      </c>
      <c r="AC36" s="111">
        <f>Montagem!AL176</f>
        <v>5.5125</v>
      </c>
      <c r="AD36" s="129" t="str">
        <f>Montagem!AA176</f>
        <v>Cadeira Abdutora</v>
      </c>
      <c r="AE36" s="111" t="str">
        <f>Montagem!AM176</f>
        <v/>
      </c>
      <c r="AF36" s="106">
        <f>IF(AE36="",AC36,AE36)</f>
        <v>5.5125</v>
      </c>
      <c r="AG36" s="106">
        <f>IF(AC37="C",'Dados de Base'!$D$5*0.1,IF(AC37="E",5,IF(AA36="",AF36,AA36)))</f>
        <v>5.5125</v>
      </c>
      <c r="AH36" s="108"/>
      <c r="AI36" s="115" t="str">
        <f>IF(AU36="","",HYPERLINK(OFFSET(Biblioteca!$B$2,MATCH(AU36,Biblioteca!$A$3:$A$200,0),0),AU36))</f>
        <v/>
      </c>
      <c r="AL36" s="109" t="str">
        <f>Montagem!AU176</f>
        <v/>
      </c>
      <c r="AM36" s="110" t="str">
        <f>Montagem!AV176</f>
        <v/>
      </c>
      <c r="AN36" s="110" t="str">
        <f>Montagem!AW176</f>
        <v/>
      </c>
      <c r="AO36" s="110" t="str">
        <f>Montagem!AX176</f>
        <v/>
      </c>
      <c r="AP36" s="110" t="str">
        <f>Montagem!AY176</f>
        <v/>
      </c>
      <c r="AQ36" s="110" t="str">
        <f>Montagem!AZ176</f>
        <v/>
      </c>
      <c r="AR36" s="114"/>
      <c r="AS36" s="111">
        <f>Montagem!AO176</f>
        <v>1</v>
      </c>
      <c r="AT36" s="111" t="str">
        <f>Montagem!BA176</f>
        <v/>
      </c>
      <c r="AU36" s="111" t="str">
        <f>Montagem!AP176</f>
        <v/>
      </c>
      <c r="AV36" s="111" t="str">
        <f>Montagem!BB176</f>
        <v/>
      </c>
      <c r="AW36" s="106" t="str">
        <f>IF(AV36="",AT36,AV36)</f>
        <v/>
      </c>
      <c r="AX36" s="106" t="str">
        <f>IF(AT37="C",'Dados de Base'!$D$5*0.1,IF(AT37="E",5,IF(AR36="",AW36,AR36)))</f>
        <v/>
      </c>
      <c r="AY36" s="108"/>
      <c r="AZ36" s="102" t="str">
        <f>IF(BL36="","",HYPERLINK(OFFSET(Biblioteca!$B$2,MATCH(BL36,Biblioteca!$A$3:$A$200,0),0),BL36))</f>
        <v>Desenvolvimento Deltoide</v>
      </c>
      <c r="BC36" s="109" t="str">
        <f>Montagem!BJ176</f>
        <v>Bi-SET</v>
      </c>
      <c r="BD36" s="110">
        <f>Montagem!BK176</f>
        <v>3</v>
      </c>
      <c r="BE36" s="110">
        <f>Montagem!BL176</f>
        <v>8</v>
      </c>
      <c r="BF36" s="110">
        <f>Montagem!BM176</f>
        <v>60</v>
      </c>
      <c r="BG36" s="110">
        <f>Montagem!BN176</f>
        <v>1</v>
      </c>
      <c r="BH36" s="110">
        <f>Montagem!BO176</f>
        <v>2</v>
      </c>
      <c r="BI36" s="113"/>
      <c r="BJ36" s="111">
        <f>Montagem!BD176</f>
        <v>3</v>
      </c>
      <c r="BK36" s="111">
        <f>Montagem!BP176</f>
        <v>22.05</v>
      </c>
      <c r="BL36" s="111" t="str">
        <f>Montagem!BE176</f>
        <v>Desenvolvimento Deltoide</v>
      </c>
      <c r="BM36" s="111" t="str">
        <f>Montagem!BQ176</f>
        <v/>
      </c>
      <c r="BN36" s="106">
        <f>IF(BM36="",BK36,BM36)</f>
        <v>22.05</v>
      </c>
      <c r="BO36" s="106">
        <f>IF(BK37="C",'Dados de Base'!$D$5*0.1,IF(BK37="E",5,IF(BI36="",BN36,BI36)))</f>
        <v>22.05</v>
      </c>
      <c r="BP36" s="108"/>
      <c r="BQ36" s="102" t="str">
        <f>IF(CC36="","",HYPERLINK(OFFSET(Biblioteca!$B$2,MATCH(CC36,Biblioteca!$A$3:$A$200,0),0),CC36))</f>
        <v>Flexão Nórdica Reversa</v>
      </c>
      <c r="BT36" s="109" t="str">
        <f>Montagem!BY176</f>
        <v>Bi-SET</v>
      </c>
      <c r="BU36" s="110">
        <f>Montagem!BZ176</f>
        <v>3</v>
      </c>
      <c r="BV36" s="110">
        <f>Montagem!CA176</f>
        <v>8</v>
      </c>
      <c r="BW36" s="110" t="str">
        <f>Montagem!CB176</f>
        <v/>
      </c>
      <c r="BX36" s="110">
        <f>Montagem!CC176</f>
        <v>1</v>
      </c>
      <c r="BY36" s="110">
        <f>Montagem!CD176</f>
        <v>2</v>
      </c>
      <c r="BZ36" s="113"/>
      <c r="CA36" s="111">
        <f>Montagem!BS176</f>
        <v>4</v>
      </c>
      <c r="CB36" s="111">
        <f>Montagem!CE176</f>
        <v>0</v>
      </c>
      <c r="CC36" s="111" t="str">
        <f>Montagem!BT176</f>
        <v>Flexão Nórdica Reversa</v>
      </c>
      <c r="CD36" s="111" t="str">
        <f>Montagem!CF176</f>
        <v/>
      </c>
      <c r="CE36" s="106">
        <f>IF(CD36="",CB36,CD36)</f>
        <v>0</v>
      </c>
      <c r="CF36" s="106">
        <f>IF(CB37="C",'Dados de Base'!$D$5*0.1,IF(CB37="E",5,IF(BZ36="",CE36,BZ36)))</f>
        <v>6.3</v>
      </c>
      <c r="CG36" s="108"/>
      <c r="CH36" s="115" t="str">
        <f>IF(CT36="","",HYPERLINK(OFFSET(Biblioteca!$B$2,MATCH(CT36,Biblioteca!$A$3:$A$200,0),0),CT36))</f>
        <v/>
      </c>
      <c r="CK36" s="109" t="str">
        <f>Montagem!CN176</f>
        <v/>
      </c>
      <c r="CL36" s="110" t="str">
        <f>Montagem!CO176</f>
        <v/>
      </c>
      <c r="CM36" s="110" t="str">
        <f>Montagem!CP176</f>
        <v/>
      </c>
      <c r="CN36" s="110" t="str">
        <f>Montagem!CQ176</f>
        <v/>
      </c>
      <c r="CO36" s="110" t="str">
        <f>Montagem!CR176</f>
        <v/>
      </c>
      <c r="CP36" s="110" t="str">
        <f>Montagem!CS176</f>
        <v/>
      </c>
      <c r="CQ36" s="114"/>
      <c r="CR36" s="111">
        <f>Montagem!CH176</f>
        <v>1</v>
      </c>
      <c r="CS36" s="111" t="str">
        <f>Montagem!CT176</f>
        <v/>
      </c>
      <c r="CT36" s="111" t="str">
        <f>Montagem!CI176</f>
        <v/>
      </c>
      <c r="CU36" s="111" t="str">
        <f>Montagem!CU176</f>
        <v/>
      </c>
      <c r="CV36" s="106" t="str">
        <f>IF(CU36="",CS36,CU36)</f>
        <v/>
      </c>
      <c r="CW36" s="106" t="str">
        <f>IF(CS37="C",'Dados de Base'!$D$5*0.1,IF(CS37="E",5,IF(CQ36="",CV36,CQ36)))</f>
        <v/>
      </c>
      <c r="CX36" s="108"/>
      <c r="CY36" s="115" t="str">
        <f>IF(DK36="","",HYPERLINK(OFFSET(Biblioteca!$B$2,MATCH(DK36,Biblioteca!$A$3:$A$200,0),0),DK36))</f>
        <v/>
      </c>
      <c r="DB36" s="130" t="str">
        <f>Montagem!DC176</f>
        <v/>
      </c>
      <c r="DC36" s="131" t="str">
        <f>Montagem!DD176</f>
        <v/>
      </c>
      <c r="DD36" s="131" t="str">
        <f>Montagem!DE176</f>
        <v/>
      </c>
      <c r="DE36" s="131" t="str">
        <f>Montagem!DF176</f>
        <v/>
      </c>
      <c r="DF36" s="131" t="str">
        <f>Montagem!DG176</f>
        <v/>
      </c>
      <c r="DG36" s="131" t="str">
        <f>Montagem!DH176</f>
        <v/>
      </c>
      <c r="DH36" s="114"/>
      <c r="DI36" s="111">
        <f>Montagem!CW176</f>
        <v>1</v>
      </c>
      <c r="DJ36" s="111" t="str">
        <f>Montagem!DI176</f>
        <v/>
      </c>
      <c r="DK36" s="111" t="str">
        <f>Montagem!CX176</f>
        <v/>
      </c>
      <c r="DL36" s="111" t="str">
        <f>Montagem!DJ176</f>
        <v/>
      </c>
      <c r="DM36" s="106" t="str">
        <f>IF(DL36="",DJ36,DL36)</f>
        <v/>
      </c>
      <c r="DN36" s="106" t="str">
        <f>IF(DJ37="C",'Dados de Base'!$D$5*0.1,IF(DJ37="E",5,IF(DH36="",DM36,DH36)))</f>
        <v/>
      </c>
      <c r="DO36" s="108"/>
      <c r="DP36" s="106"/>
      <c r="DQ36" s="106"/>
      <c r="DR36" s="106"/>
      <c r="DS36" s="106"/>
      <c r="DT36" s="106"/>
      <c r="DU36" s="106"/>
      <c r="DV36" s="106"/>
      <c r="DW36" s="106"/>
      <c r="DX36" s="106"/>
      <c r="DY36" s="106"/>
    </row>
    <row r="37">
      <c r="A37" s="117" t="str">
        <f>IF(A36="","",IFS(L37="A",Montagem!$C$180,N37="T","Realizar a maior quantidade de repetições por "&amp;F36&amp;" segundos | ",N37="I",IF(M37="U","Manter a posição por "&amp;F36&amp;" segundos de um lado e trocar para o outro na sequência | ","Manter a posição por "&amp;F36&amp;" segundos | "),M37="A","Realizar alternadamente "&amp;F36&amp;" repetições cada lado | ",M37="U","Realizar "&amp;F36&amp;" repetições de um lado e trocar para o outro na sequência | ",L37="P",OFFSET(Biblioteca!$H$2,MATCH(M36,Biblioteca!$A$3:$A$200,0),0),TRUE,"")&amp;IF(N37="R","Ajuste a carga para que tenha "&amp;$K$2&amp;" repetições de reserva",""))</f>
        <v>Ajuste a carga para que tenha 0 a 2 repetições de reserva</v>
      </c>
      <c r="E37" s="118" t="str">
        <f>IF(A36="","",IFS(L37="H","Carga Sugerida: "&amp;ROUNDUP(O36/2,0)&amp;" kg de cada lado (Total: "&amp;ROUNDUP(O36/2,0)*2&amp;" kg)",L37="C","Este exercício usa o Peso Corporal como carga",L37="E","Este exercício usa a resistência da banda elástica como carga",L37="O","Carga Sugerida: "&amp;INT(O36)&amp;" kg",TRUE,""))</f>
        <v>Carga Sugerida: 10 kg</v>
      </c>
      <c r="J37" s="66"/>
      <c r="K37" s="106">
        <f>K36</f>
        <v>4</v>
      </c>
      <c r="L37" s="120" t="str">
        <f>LEFT(O37)</f>
        <v>O</v>
      </c>
      <c r="M37" s="121" t="str">
        <f>MID(O37,2,1)</f>
        <v>O</v>
      </c>
      <c r="N37" s="122" t="str">
        <f>RIGHT(O37)</f>
        <v>R</v>
      </c>
      <c r="O37" s="123" t="str">
        <f>IF(M36="","",OFFSET(Biblioteca!$I$2,MATCH(M36,Biblioteca!$A$3:$A$200,0),0))</f>
        <v>OOR</v>
      </c>
      <c r="P37" s="124"/>
      <c r="Q37" s="125"/>
      <c r="R37" s="117" t="str">
        <f>IF(R36="","",IFS(AC37="A",Montagem!$D$180,AE37="T","Realizar a maior quantidade de repetições por "&amp;W36&amp;" segundos | ",AE37="I",IF(AD37="U","Manter a posição por "&amp;W36&amp;" segundos de um lado e trocar para o outro na sequência | ","Manter a posição por "&amp;W36&amp;" segundos | "),AD37="A","Realizar alternadamente "&amp;W36&amp;" repetições cada lado | ",AD37="U","Realizar "&amp;W36&amp;" repetições de um lado e trocar para o outro na sequência | ",AC37="P",OFFSET(Biblioteca!$H$2,MATCH(AD36,Biblioteca!$A$3:$A$200,0),0),TRUE,"")&amp;IF(AE37="R","Ajuste a carga para que tenha "&amp;$K$2&amp;" repetições de reserva",""))</f>
        <v>Ajuste a carga para que tenha 0 a 2 repetições de reserva</v>
      </c>
      <c r="V37" s="118" t="str">
        <f>IF(R36="","",IFS(AC37="H","Carga Sugerida: "&amp;ROUNDUP(AF36/2,0)&amp;" kg de cada lado (Total: "&amp;ROUNDUP(AF36/2,0)*2&amp;" kg)",AC37="C","Este exercício usa o Peso Corporal como carga",AC37="E","Este exercício usa a resistência da banda elástica como carga",AC37="O","Carga Sugerida: "&amp;INT(AF36)&amp;" kg",TRUE,""))</f>
        <v>Carga Sugerida: 5 kg</v>
      </c>
      <c r="AA37" s="66"/>
      <c r="AB37" s="126">
        <f>AB36</f>
        <v>4</v>
      </c>
      <c r="AC37" s="120" t="str">
        <f>LEFT(AF37)</f>
        <v>O</v>
      </c>
      <c r="AD37" s="121" t="str">
        <f>MID(AF37,2,1)</f>
        <v>O</v>
      </c>
      <c r="AE37" s="122" t="str">
        <f>RIGHT(AF37)</f>
        <v>R</v>
      </c>
      <c r="AF37" s="123" t="str">
        <f>IF(AD36="","",OFFSET(Biblioteca!$I$2,MATCH(AD36,Biblioteca!$A$3:$A$200,0),0))</f>
        <v>OOR</v>
      </c>
      <c r="AG37" s="124"/>
      <c r="AH37" s="125"/>
      <c r="AI37" s="117" t="str">
        <f>IF(AI36="","",IFS(AT37="A",Montagem!$E$180,AV37="T","Realizar a maior quantidade de repetições por "&amp;AN36&amp;" segundos | ",AV37="I",IF(AU37="U","Manter a posição por "&amp;AN36&amp;" segundos de um lado e trocar para o outro na sequência | ","Manter a posição por "&amp;AN36&amp;" segundos | "),AU37="A","Realizar alternadamente "&amp;AN36&amp;" repetições cada lado | ",AU37="U","Realizar "&amp;AN36&amp;" repetições de um lado e trocar para o outro na sequência | ",AT37="P",OFFSET(Biblioteca!$H$2,MATCH(AU36,Biblioteca!$A$3:$A$200,0),0),TRUE,"")&amp;IF(AV37="R","Ajuste a carga para que tenha "&amp;$K$2&amp;" repetições de reserva",""))</f>
        <v/>
      </c>
      <c r="AM37" s="118" t="str">
        <f>IF(AI36="","",IFS(AT37="H","Carga Sugerida: "&amp;ROUNDUP(AW36/2,0)&amp;" kg de cada lado (Total: "&amp;ROUNDUP(AW36/2,0)*2&amp;" kg)",AT37="C","Este exercício usa o Peso Corporal como carga",AT37="E","Este exercício usa a resistência da banda elástica como carga",AT37="O","Carga Sugerida: "&amp;INT(AW36)&amp;" kg",TRUE,""))</f>
        <v/>
      </c>
      <c r="AR37" s="66"/>
      <c r="AS37" s="126">
        <f>AS36</f>
        <v>1</v>
      </c>
      <c r="AT37" s="120" t="str">
        <f>LEFT(AW37)</f>
        <v/>
      </c>
      <c r="AU37" s="121" t="str">
        <f>MID(AW37,2,1)</f>
        <v/>
      </c>
      <c r="AV37" s="122" t="str">
        <f>RIGHT(AW37)</f>
        <v/>
      </c>
      <c r="AW37" s="123" t="str">
        <f>IF(AU36="","",OFFSET(Biblioteca!$I$2,MATCH(AU36,Biblioteca!$A$3:$A$200,0),0))</f>
        <v/>
      </c>
      <c r="AX37" s="124"/>
      <c r="AY37" s="125"/>
      <c r="AZ37" s="117" t="str">
        <f>IF(AZ36="","",IFS(BK37="A",Montagem!$F$180,BM37="T","Realizar a maior quantidade de repetições por "&amp;BE36&amp;" segundos | ",BM37="I",IF(BL37="U","Manter a posição por "&amp;BE36&amp;" segundos de um lado e trocar para o outro na sequência | ","Manter a posição por "&amp;BE36&amp;" segundos | "),BL37="A","Realizar alternadamente "&amp;BE36&amp;" repetições cada lado | ",BL37="U","Realizar "&amp;BE36&amp;" repetições de um lado e trocar para o outro na sequência | ",BK37="P",OFFSET(Biblioteca!$H$2,MATCH(BL36,Biblioteca!$A$3:$A$200,0),0),TRUE,"")&amp;IF(BM37="R","Ajuste a carga para que tenha "&amp;$K$2&amp;" repetições de reserva",""))</f>
        <v>Ajuste a carga para que tenha 0 a 2 repetições de reserva</v>
      </c>
      <c r="BD37" s="118" t="str">
        <f>IF(AZ36="","",IFS(BK37="H","Carga Sugerida: "&amp;ROUNDUP(BN36/2,0)&amp;" kg de cada lado (Total: "&amp;ROUNDUP(BN36/2,0)*2&amp;" kg)",BK37="C","Este exercício usa o Peso Corporal como carga",BK37="E","Este exercício usa a resistência da banda elástica como carga",BK37="O","Carga Sugerida: "&amp;INT(BN36)&amp;" kg",TRUE,""))</f>
        <v>Carga Sugerida: 22 kg</v>
      </c>
      <c r="BI37" s="66"/>
      <c r="BJ37" s="126">
        <f>BJ36</f>
        <v>3</v>
      </c>
      <c r="BK37" s="120" t="str">
        <f>LEFT(BN37)</f>
        <v>O</v>
      </c>
      <c r="BL37" s="121" t="str">
        <f>MID(BN37,2,1)</f>
        <v>O</v>
      </c>
      <c r="BM37" s="122" t="str">
        <f>RIGHT(BN37)</f>
        <v>R</v>
      </c>
      <c r="BN37" s="123" t="str">
        <f>IF(BL36="","",OFFSET(Biblioteca!$I$2,MATCH(BL36,Biblioteca!$A$3:$A$200,0),0))</f>
        <v>OOR</v>
      </c>
      <c r="BO37" s="124"/>
      <c r="BP37" s="125"/>
      <c r="BQ37" s="117" t="str">
        <f>IF(BQ36="","",IFS(CB37="A",Montagem!$G$180,CD37="T","Realizar a maior quantidade de repetições por "&amp;BV36&amp;" segundos | ",CD37="I",IF(CC37="U","Manter a posição por "&amp;BV36&amp;" segundos de um lado e trocar para o outro na sequência | ","Manter a posição por "&amp;BV36&amp;" segundos | "),CC37="A","Realizar alternadamente "&amp;BV36&amp;" repetições cada lado | ",CC37="U","Realizar "&amp;BV36&amp;" repetições de um lado e trocar para o outro na sequência | ",CB37="P",OFFSET(Biblioteca!$H$2,MATCH(CC36,Biblioteca!$A$3:$A$200,0),0),TRUE,"")&amp;IF(CD37="R","Ajuste a carga para que tenha "&amp;$K$2&amp;" repetições de reserva",""))</f>
        <v>Ajuste a carga para que tenha 0 a 2 repetições de reserva</v>
      </c>
      <c r="BU37" s="118" t="str">
        <f>IF(BQ36="","",IFS(CB37="H","Carga Sugerida: "&amp;ROUNDUP(CE36/2,0)&amp;" kg de cada lado (Total: "&amp;ROUNDUP(CE36/2,0)*2&amp;" kg)",CB37="C","Este exercício usa o Peso Corporal como carga",CB37="E","Este exercício usa a resistência da banda elástica como carga",CB37="O","Carga Sugerida: "&amp;INT(CE36)&amp;" kg",TRUE,""))</f>
        <v>Este exercício usa o Peso Corporal como carga</v>
      </c>
      <c r="BZ37" s="66"/>
      <c r="CA37" s="126">
        <f>CA36</f>
        <v>4</v>
      </c>
      <c r="CB37" s="120" t="str">
        <f>LEFT(CE37)</f>
        <v>C</v>
      </c>
      <c r="CC37" s="121" t="str">
        <f>MID(CE37,2,1)</f>
        <v>O</v>
      </c>
      <c r="CD37" s="122" t="str">
        <f>RIGHT(CE37)</f>
        <v>R</v>
      </c>
      <c r="CE37" s="123" t="str">
        <f>IF(CC36="","",OFFSET(Biblioteca!$I$2,MATCH(CC36,Biblioteca!$A$3:$A$200,0),0))</f>
        <v>COR</v>
      </c>
      <c r="CF37" s="124"/>
      <c r="CG37" s="125"/>
      <c r="CH37" s="117" t="str">
        <f>IF(CH36="","",IFS(CS37="A",Montagem!$H$180,CU37="T","Realizar a maior quantidade de repetições por "&amp;CM36&amp;" segundos | ",CU37="I",IF(CT37="U","Manter a posição por "&amp;CM36&amp;" segundos de um lado e trocar para o outro na sequência | ","Manter a posição por "&amp;CM36&amp;" segundos | "),CT37="A","Realizar alternadamente "&amp;CM36&amp;" repetições cada lado | ",CT37="U","Realizar "&amp;CM36&amp;" repetições de um lado e trocar para o outro na sequência | ",CS37="P",OFFSET(Biblioteca!$H$2,MATCH(CT36,Biblioteca!$A$3:$A$200,0),0),TRUE,"")&amp;IF(CU37="R","Ajuste a carga para que tenha "&amp;$K$2&amp;" repetições de reserva",""))</f>
        <v/>
      </c>
      <c r="CL37" s="118" t="str">
        <f>IF(CH36="","",IFS(CS37="H","Carga Sugerida: "&amp;ROUNDUP(CV36/2,0)&amp;" kg de cada lado (Total: "&amp;ROUNDUP(CV36/2,0)*2&amp;" kg)",CS37="C","Este exercício usa o Peso Corporal como carga",CS37="E","Este exercício usa a resistência da banda elástica como carga",CS37="O","Carga Sugerida: "&amp;INT(CV36)&amp;" kg",TRUE,""))</f>
        <v/>
      </c>
      <c r="CQ37" s="66"/>
      <c r="CR37" s="126">
        <f>CR36</f>
        <v>1</v>
      </c>
      <c r="CS37" s="120" t="str">
        <f>LEFT(CV37)</f>
        <v/>
      </c>
      <c r="CT37" s="121" t="str">
        <f>MID(CV37,2,1)</f>
        <v/>
      </c>
      <c r="CU37" s="122" t="str">
        <f>RIGHT(CV37)</f>
        <v/>
      </c>
      <c r="CV37" s="123" t="str">
        <f>IF(CT36="","",OFFSET(Biblioteca!$I$2,MATCH(CT36,Biblioteca!$A$3:$A$200,0),0))</f>
        <v/>
      </c>
      <c r="CW37" s="124"/>
      <c r="CX37" s="125"/>
      <c r="CY37" s="117" t="str">
        <f>IF(CY36="","",IFS(DJ37="A",Montagem!$I$180,DL37="T","Realizar a maior quantidade de repetições por "&amp;DD36&amp;" segundos | ",DL37="I",IF(DK37="U","Manter a posição por "&amp;DD36&amp;" segundos de um lado e trocar para o outro na sequência | ","Manter a posição por "&amp;DD36&amp;" segundos | "),DK37="A","Realizar alternadamente "&amp;DD36&amp;" repetições cada lado | ",DK37="U","Realizar "&amp;DD36&amp;" repetições de um lado e trocar para o outro na sequência | ",DJ37="P",OFFSET(Biblioteca!$H$2,MATCH(DK36,Biblioteca!$A$3:$A$200,0),0),TRUE,"")&amp;IF(DL37="R","Ajuste a carga para que tenha "&amp;$K$2&amp;" repetições de reserva",""))</f>
        <v/>
      </c>
      <c r="DC37" s="118" t="str">
        <f>IF(CY36="","",IFS(DJ37="H","Carga Sugerida: "&amp;ROUNDUP(DM36/2,0)&amp;" kg de cada lado (Total: "&amp;ROUNDUP(DM36/2,0)*2&amp;" kg)",DJ37="C","Este exercício usa o Peso Corporal como carga",DJ37="E","Este exercício usa a resistência da banda elástica como carga",DJ37="O","Carga Sugerida: "&amp;INT(DM36)&amp;" kg",TRUE,""))</f>
        <v/>
      </c>
      <c r="DH37" s="66"/>
      <c r="DI37" s="126">
        <f>DI36</f>
        <v>1</v>
      </c>
      <c r="DJ37" s="120" t="str">
        <f>LEFT(DM37)</f>
        <v/>
      </c>
      <c r="DK37" s="121" t="str">
        <f>MID(DM37,2,1)</f>
        <v/>
      </c>
      <c r="DL37" s="122" t="str">
        <f>RIGHT(DM37)</f>
        <v/>
      </c>
      <c r="DM37" s="123" t="str">
        <f>IF(DK36="","",OFFSET(Biblioteca!$I$2,MATCH(DK36,Biblioteca!$A$3:$A$200,0),0))</f>
        <v/>
      </c>
      <c r="DN37" s="124"/>
      <c r="DO37" s="125"/>
      <c r="DP37" s="57"/>
      <c r="DQ37" s="56"/>
      <c r="DR37" s="56"/>
      <c r="DS37" s="56"/>
      <c r="DT37" s="56"/>
      <c r="DU37" s="56"/>
      <c r="DV37" s="56"/>
      <c r="DW37" s="56"/>
      <c r="DX37" s="56"/>
      <c r="DY37" s="56"/>
    </row>
    <row r="38">
      <c r="A38" s="115" t="str">
        <f>IF(M38="","",HYPERLINK(OFFSET(Biblioteca!$B$2,MATCH(M38,Biblioteca!$A$3:$A$200,0),0),M38))</f>
        <v>Esteira</v>
      </c>
      <c r="D38" s="103" t="str">
        <f>Montagem!Q177</f>
        <v/>
      </c>
      <c r="E38" s="104" t="str">
        <f>Montagem!R177</f>
        <v/>
      </c>
      <c r="F38" s="104" t="str">
        <f>Montagem!S177</f>
        <v/>
      </c>
      <c r="G38" s="104">
        <f>Montagem!T177</f>
        <v>60</v>
      </c>
      <c r="H38" s="104" t="str">
        <f>Montagem!U177</f>
        <v/>
      </c>
      <c r="I38" s="132" t="str">
        <f>Montagem!V177</f>
        <v/>
      </c>
      <c r="J38" s="105"/>
      <c r="K38" s="106">
        <f>Montagem!K177</f>
        <v>5</v>
      </c>
      <c r="L38" s="111">
        <f>Montagem!W177</f>
        <v>0</v>
      </c>
      <c r="M38" s="111" t="str">
        <f>Montagem!L177</f>
        <v>Esteira</v>
      </c>
      <c r="N38" s="111" t="str">
        <f>Montagem!X177</f>
        <v/>
      </c>
      <c r="O38" s="106">
        <f>IF(N38="",L38,N38)</f>
        <v>0</v>
      </c>
      <c r="P38" s="106">
        <f>IF(L39="C",'Dados de Base'!$D$5*0.1,IF(L39="E",5,IF(J38="",O38,J38)))</f>
        <v>0</v>
      </c>
      <c r="Q38" s="108"/>
      <c r="R38" s="115" t="str">
        <f>IF(AD38="","",HYPERLINK(OFFSET(Biblioteca!$B$2,MATCH(AD38,Biblioteca!$A$3:$A$200,0),0),AD38))</f>
        <v>Bicicleta</v>
      </c>
      <c r="U38" s="109" t="str">
        <f>Montagem!AF177</f>
        <v/>
      </c>
      <c r="V38" s="110" t="str">
        <f>Montagem!AG177</f>
        <v/>
      </c>
      <c r="W38" s="110" t="str">
        <f>Montagem!AH177</f>
        <v/>
      </c>
      <c r="X38" s="110">
        <f>Montagem!AI177</f>
        <v>60</v>
      </c>
      <c r="Y38" s="110" t="str">
        <f>Montagem!AJ177</f>
        <v/>
      </c>
      <c r="Z38" s="110" t="str">
        <f>Montagem!AK177</f>
        <v/>
      </c>
      <c r="AA38" s="113"/>
      <c r="AB38" s="111">
        <f>Montagem!Z177</f>
        <v>5</v>
      </c>
      <c r="AC38" s="111">
        <f>Montagem!AL177</f>
        <v>0</v>
      </c>
      <c r="AD38" s="129" t="str">
        <f>Montagem!AA177</f>
        <v>Bicicleta</v>
      </c>
      <c r="AE38" s="111" t="str">
        <f>Montagem!AM177</f>
        <v/>
      </c>
      <c r="AF38" s="106">
        <f>IF(AE38="",AC38,AE38)</f>
        <v>0</v>
      </c>
      <c r="AG38" s="106">
        <f>IF(AC39="C",'Dados de Base'!$D$5*0.1,IF(AC39="E",5,IF(AA38="",AF38,AA38)))</f>
        <v>0</v>
      </c>
      <c r="AH38" s="108"/>
      <c r="AI38" s="115" t="str">
        <f>IF(AU38="","",HYPERLINK(OFFSET(Biblioteca!$B$2,MATCH(AU38,Biblioteca!$A$3:$A$200,0),0),AU38))</f>
        <v/>
      </c>
      <c r="AL38" s="109" t="str">
        <f>Montagem!AU177</f>
        <v/>
      </c>
      <c r="AM38" s="110" t="str">
        <f>Montagem!AV177</f>
        <v/>
      </c>
      <c r="AN38" s="110" t="str">
        <f>Montagem!AW177</f>
        <v/>
      </c>
      <c r="AO38" s="110" t="str">
        <f>Montagem!AX177</f>
        <v/>
      </c>
      <c r="AP38" s="110" t="str">
        <f>Montagem!AY177</f>
        <v/>
      </c>
      <c r="AQ38" s="110" t="str">
        <f>Montagem!AZ177</f>
        <v/>
      </c>
      <c r="AR38" s="114"/>
      <c r="AS38" s="111">
        <f>Montagem!AO177</f>
        <v>1</v>
      </c>
      <c r="AT38" s="111" t="str">
        <f>Montagem!BA177</f>
        <v/>
      </c>
      <c r="AU38" s="111" t="str">
        <f>Montagem!AP177</f>
        <v/>
      </c>
      <c r="AV38" s="111" t="str">
        <f>Montagem!BB177</f>
        <v/>
      </c>
      <c r="AW38" s="106" t="str">
        <f>IF(AV38="",AT38,AV38)</f>
        <v/>
      </c>
      <c r="AX38" s="106" t="str">
        <f>IF(AT39="C",'Dados de Base'!$D$5*0.1,IF(AT39="E",5,IF(AR38="",AW38,AR38)))</f>
        <v/>
      </c>
      <c r="AY38" s="108"/>
      <c r="AZ38" s="102" t="str">
        <f>IF(BL38="","",HYPERLINK(OFFSET(Biblioteca!$B$2,MATCH(BL38,Biblioteca!$A$3:$A$200,0),0),BL38))</f>
        <v>Triceps Coice na Polia</v>
      </c>
      <c r="BC38" s="109" t="str">
        <f>Montagem!BJ177</f>
        <v>Bi-SET</v>
      </c>
      <c r="BD38" s="110">
        <f>Montagem!BK177</f>
        <v>3</v>
      </c>
      <c r="BE38" s="110">
        <f>Montagem!BL177</f>
        <v>8</v>
      </c>
      <c r="BF38" s="110" t="str">
        <f>Montagem!BM177</f>
        <v/>
      </c>
      <c r="BG38" s="110">
        <f>Montagem!BN177</f>
        <v>1</v>
      </c>
      <c r="BH38" s="110">
        <f>Montagem!BO177</f>
        <v>2</v>
      </c>
      <c r="BI38" s="113"/>
      <c r="BJ38" s="111">
        <f>Montagem!BD177</f>
        <v>4</v>
      </c>
      <c r="BK38" s="111">
        <f>Montagem!BP177</f>
        <v>2.4310125</v>
      </c>
      <c r="BL38" s="111" t="str">
        <f>Montagem!BE177</f>
        <v>Triceps Coice na Polia</v>
      </c>
      <c r="BM38" s="111" t="str">
        <f>Montagem!BQ177</f>
        <v/>
      </c>
      <c r="BN38" s="106">
        <f>IF(BM38="",BK38,BM38)</f>
        <v>2.4310125</v>
      </c>
      <c r="BO38" s="106">
        <f>IF(BK39="C",'Dados de Base'!$D$5*0.1,IF(BK39="E",5,IF(BI38="",BN38,BI38)))</f>
        <v>2.4310125</v>
      </c>
      <c r="BP38" s="108"/>
      <c r="BQ38" s="102" t="str">
        <f>IF(CC38="","",HYPERLINK(OFFSET(Biblioteca!$B$2,MATCH(CC38,Biblioteca!$A$3:$A$200,0),0),CC38))</f>
        <v>Cadeira Flexora</v>
      </c>
      <c r="BT38" s="109" t="str">
        <f>Montagem!BY177</f>
        <v>Bi-SET</v>
      </c>
      <c r="BU38" s="110">
        <f>Montagem!BZ177</f>
        <v>3</v>
      </c>
      <c r="BV38" s="110">
        <f>Montagem!CA177</f>
        <v>8</v>
      </c>
      <c r="BW38" s="110">
        <f>Montagem!CB177</f>
        <v>60</v>
      </c>
      <c r="BX38" s="110">
        <f>Montagem!CC177</f>
        <v>1</v>
      </c>
      <c r="BY38" s="110">
        <f>Montagem!CD177</f>
        <v>2</v>
      </c>
      <c r="BZ38" s="113"/>
      <c r="CA38" s="111">
        <f>Montagem!BS177</f>
        <v>4</v>
      </c>
      <c r="CB38" s="111">
        <f>Montagem!CE177</f>
        <v>17.0170875</v>
      </c>
      <c r="CC38" s="111" t="str">
        <f>Montagem!BT177</f>
        <v>Cadeira Flexora</v>
      </c>
      <c r="CD38" s="111" t="str">
        <f>Montagem!CF177</f>
        <v/>
      </c>
      <c r="CE38" s="106">
        <f>IF(CD38="",CB38,CD38)</f>
        <v>17.0170875</v>
      </c>
      <c r="CF38" s="106">
        <f>IF(CB39="C",'Dados de Base'!$D$5*0.1,IF(CB39="E",5,IF(BZ38="",CE38,BZ38)))</f>
        <v>17.0170875</v>
      </c>
      <c r="CG38" s="108"/>
      <c r="CH38" s="115" t="str">
        <f>IF(CT38="","",HYPERLINK(OFFSET(Biblioteca!$B$2,MATCH(CT38,Biblioteca!$A$3:$A$200,0),0),CT38))</f>
        <v/>
      </c>
      <c r="CK38" s="109" t="str">
        <f>Montagem!CN177</f>
        <v/>
      </c>
      <c r="CL38" s="110" t="str">
        <f>Montagem!CO177</f>
        <v/>
      </c>
      <c r="CM38" s="110" t="str">
        <f>Montagem!CP177</f>
        <v/>
      </c>
      <c r="CN38" s="110" t="str">
        <f>Montagem!CQ177</f>
        <v/>
      </c>
      <c r="CO38" s="110" t="str">
        <f>Montagem!CR177</f>
        <v/>
      </c>
      <c r="CP38" s="110" t="str">
        <f>Montagem!CS177</f>
        <v/>
      </c>
      <c r="CQ38" s="114"/>
      <c r="CR38" s="111">
        <f>Montagem!CH177</f>
        <v>1</v>
      </c>
      <c r="CS38" s="111" t="str">
        <f>Montagem!CT177</f>
        <v/>
      </c>
      <c r="CT38" s="111" t="str">
        <f>Montagem!CI177</f>
        <v/>
      </c>
      <c r="CU38" s="111" t="str">
        <f>Montagem!CU177</f>
        <v/>
      </c>
      <c r="CV38" s="106" t="str">
        <f>IF(CU38="",CS38,CU38)</f>
        <v/>
      </c>
      <c r="CW38" s="106" t="str">
        <f>IF(CS39="C",'Dados de Base'!$D$5*0.1,IF(CS39="E",5,IF(CQ38="",CV38,CQ38)))</f>
        <v/>
      </c>
      <c r="CX38" s="108"/>
      <c r="CY38" s="115" t="str">
        <f>IF(DK38="","",HYPERLINK(OFFSET(Biblioteca!$B$2,MATCH(DK38,Biblioteca!$A$3:$A$200,0),0),DK38))</f>
        <v/>
      </c>
      <c r="DB38" s="130" t="str">
        <f>Montagem!DC177</f>
        <v/>
      </c>
      <c r="DC38" s="131" t="str">
        <f>Montagem!DD177</f>
        <v/>
      </c>
      <c r="DD38" s="131" t="str">
        <f>Montagem!DE177</f>
        <v/>
      </c>
      <c r="DE38" s="131" t="str">
        <f>Montagem!DF177</f>
        <v/>
      </c>
      <c r="DF38" s="131" t="str">
        <f>Montagem!DG177</f>
        <v/>
      </c>
      <c r="DG38" s="131" t="str">
        <f>Montagem!DH177</f>
        <v/>
      </c>
      <c r="DH38" s="114"/>
      <c r="DI38" s="111">
        <f>Montagem!CW177</f>
        <v>1</v>
      </c>
      <c r="DJ38" s="111" t="str">
        <f>Montagem!DI177</f>
        <v/>
      </c>
      <c r="DK38" s="111" t="str">
        <f>Montagem!CX177</f>
        <v/>
      </c>
      <c r="DL38" s="111" t="str">
        <f>Montagem!DJ177</f>
        <v/>
      </c>
      <c r="DM38" s="106" t="str">
        <f>IF(DL38="",DJ38,DL38)</f>
        <v/>
      </c>
      <c r="DN38" s="106" t="str">
        <f>IF(DJ39="C",'Dados de Base'!$D$5*0.1,IF(DJ39="E",5,IF(DH38="",DM38,DH38)))</f>
        <v/>
      </c>
      <c r="DO38" s="108"/>
      <c r="DP38" s="106"/>
      <c r="DQ38" s="106"/>
      <c r="DR38" s="106"/>
      <c r="DS38" s="106"/>
      <c r="DT38" s="106"/>
      <c r="DU38" s="106"/>
      <c r="DV38" s="106"/>
      <c r="DW38" s="106"/>
      <c r="DX38" s="106"/>
      <c r="DY38" s="106"/>
    </row>
    <row r="39">
      <c r="A39" s="117" t="str">
        <f>IF(A38="","",IFS(L39="A",Montagem!$C$180,N39="T","Realizar a maior quantidade de repetições por "&amp;F38&amp;" segundos | ",N39="I",IF(M39="U","Manter a posição por "&amp;F38&amp;" segundos de um lado e trocar para o outro na sequência | ","Manter a posição por "&amp;F38&amp;" segundos | "),M39="A","Realizar alternadamente "&amp;F38&amp;" repetições cada lado | ",M39="U","Realizar "&amp;F38&amp;" repetições de um lado e trocar para o outro na sequência | ",L39="P",OFFSET(Biblioteca!$H$2,MATCH(M38,Biblioteca!$A$3:$A$200,0),0),TRUE,"")&amp;IF(N39="R","Ajuste a carga para que tenha "&amp;$K$2&amp;" repetições de reserva",""))</f>
        <v>1x (3m a 142,95 - 148,3 bpm-&gt; 15,4 - 16,4km/h)</v>
      </c>
      <c r="E39" s="118" t="str">
        <f>IF(A38="","",IFS(L39="H","Carga Sugerida: "&amp;ROUNDUP(O38/2,0)&amp;" kg de cada lado (Total: "&amp;ROUNDUP(O38/2,0)*2&amp;" kg)",L39="C","Este exercício usa o Peso Corporal como carga",L39="E","Este exercício usa a resistência da banda elástica como carga",L39="O","Carga Sugerida: "&amp;INT(O38)&amp;" kg",TRUE,""))</f>
        <v/>
      </c>
      <c r="J39" s="66"/>
      <c r="K39" s="106">
        <f>K38</f>
        <v>5</v>
      </c>
      <c r="L39" s="120" t="str">
        <f>LEFT(O39)</f>
        <v>A</v>
      </c>
      <c r="M39" s="121" t="str">
        <f>MID(O39,2,1)</f>
        <v>-</v>
      </c>
      <c r="N39" s="122" t="str">
        <f>RIGHT(O39)</f>
        <v>-</v>
      </c>
      <c r="O39" s="123" t="str">
        <f>IF(M38="","",OFFSET(Biblioteca!$I$2,MATCH(M38,Biblioteca!$A$3:$A$200,0),0))</f>
        <v>A--</v>
      </c>
      <c r="P39" s="124"/>
      <c r="Q39" s="125"/>
      <c r="R39" s="117" t="str">
        <f>IF(R38="","",IFS(AC39="A",Montagem!$D$180,AE39="T","Realizar a maior quantidade de repetições por "&amp;W38&amp;" segundos | ",AE39="I",IF(AD39="U","Manter a posição por "&amp;W38&amp;" segundos de um lado e trocar para o outro na sequência | ","Manter a posição por "&amp;W38&amp;" segundos | "),AD39="A","Realizar alternadamente "&amp;W38&amp;" repetições cada lado | ",AD39="U","Realizar "&amp;W38&amp;" repetições de um lado e trocar para o outro na sequência | ",AC39="P",OFFSET(Biblioteca!$H$2,MATCH(AD38,Biblioteca!$A$3:$A$200,0),0),TRUE,"")&amp;IF(AE39="R","Ajuste a carga para que tenha "&amp;$K$2&amp;" repetições de reserva",""))</f>
        <v>1x (3m all out)</v>
      </c>
      <c r="V39" s="118" t="str">
        <f>IF(R38="","",IFS(AC39="H","Carga Sugerida: "&amp;ROUNDUP(AF38/2,0)&amp;" kg de cada lado (Total: "&amp;ROUNDUP(AF38/2,0)*2&amp;" kg)",AC39="C","Este exercício usa o Peso Corporal como carga",AC39="E","Este exercício usa a resistência da banda elástica como carga",AC39="O","Carga Sugerida: "&amp;INT(AF38)&amp;" kg",TRUE,""))</f>
        <v/>
      </c>
      <c r="AA39" s="66"/>
      <c r="AB39" s="126">
        <f>AB38</f>
        <v>5</v>
      </c>
      <c r="AC39" s="120" t="str">
        <f>LEFT(AF39)</f>
        <v>A</v>
      </c>
      <c r="AD39" s="121" t="str">
        <f>MID(AF39,2,1)</f>
        <v>-</v>
      </c>
      <c r="AE39" s="122" t="str">
        <f>RIGHT(AF39)</f>
        <v>-</v>
      </c>
      <c r="AF39" s="123" t="str">
        <f>IF(AD38="","",OFFSET(Biblioteca!$I$2,MATCH(AD38,Biblioteca!$A$3:$A$200,0),0))</f>
        <v>A--</v>
      </c>
      <c r="AG39" s="124"/>
      <c r="AH39" s="125"/>
      <c r="AI39" s="117" t="str">
        <f>IF(AI38="","",IFS(AT39="A",Montagem!$E$180,AV39="T","Realizar a maior quantidade de repetições por "&amp;AN38&amp;" segundos | ",AV39="I",IF(AU39="U","Manter a posição por "&amp;AN38&amp;" segundos de um lado e trocar para o outro na sequência | ","Manter a posição por "&amp;AN38&amp;" segundos | "),AU39="A","Realizar alternadamente "&amp;AN38&amp;" repetições cada lado | ",AU39="U","Realizar "&amp;AN38&amp;" repetições de um lado e trocar para o outro na sequência | ",AT39="P",OFFSET(Biblioteca!$H$2,MATCH(AU38,Biblioteca!$A$3:$A$200,0),0),TRUE,"")&amp;IF(AV39="R","Ajuste a carga para que tenha "&amp;$K$2&amp;" repetições de reserva",""))</f>
        <v/>
      </c>
      <c r="AM39" s="118" t="str">
        <f>IF(AI38="","",IFS(AT39="H","Carga Sugerida: "&amp;ROUNDUP(AW38/2,0)&amp;" kg de cada lado (Total: "&amp;ROUNDUP(AW38/2,0)*2&amp;" kg)",AT39="C","Este exercício usa o Peso Corporal como carga",AT39="E","Este exercício usa a resistência da banda elástica como carga",AT39="O","Carga Sugerida: "&amp;INT(AW38)&amp;" kg",TRUE,""))</f>
        <v/>
      </c>
      <c r="AR39" s="66"/>
      <c r="AS39" s="126">
        <f>AS38</f>
        <v>1</v>
      </c>
      <c r="AT39" s="120" t="str">
        <f>LEFT(AW39)</f>
        <v/>
      </c>
      <c r="AU39" s="121" t="str">
        <f>MID(AW39,2,1)</f>
        <v/>
      </c>
      <c r="AV39" s="122" t="str">
        <f>RIGHT(AW39)</f>
        <v/>
      </c>
      <c r="AW39" s="123" t="str">
        <f>IF(AU38="","",OFFSET(Biblioteca!$I$2,MATCH(AU38,Biblioteca!$A$3:$A$200,0),0))</f>
        <v/>
      </c>
      <c r="AX39" s="124"/>
      <c r="AY39" s="125"/>
      <c r="AZ39" s="117" t="str">
        <f>IF(AZ38="","",IFS(BK39="A",Montagem!$F$180,BM39="T","Realizar a maior quantidade de repetições por "&amp;BE38&amp;" segundos | ",BM39="I",IF(BL39="U","Manter a posição por "&amp;BE38&amp;" segundos de um lado e trocar para o outro na sequência | ","Manter a posição por "&amp;BE38&amp;" segundos | "),BL39="A","Realizar alternadamente "&amp;BE38&amp;" repetições cada lado | ",BL39="U","Realizar "&amp;BE38&amp;" repetições de um lado e trocar para o outro na sequência | ",BK39="P",OFFSET(Biblioteca!$H$2,MATCH(BL38,Biblioteca!$A$3:$A$200,0),0),TRUE,"")&amp;IF(BM39="R","Ajuste a carga para que tenha "&amp;$K$2&amp;" repetições de reserva",""))</f>
        <v>Realizar 8 repetições de um lado e trocar para o outro na sequência | Ajuste a carga para que tenha 0 a 2 repetições de reserva</v>
      </c>
      <c r="BD39" s="118" t="str">
        <f>IF(AZ38="","",IFS(BK39="H","Carga Sugerida: "&amp;ROUNDUP(BN38/2,0)&amp;" kg de cada lado (Total: "&amp;ROUNDUP(BN38/2,0)*2&amp;" kg)",BK39="C","Este exercício usa o Peso Corporal como carga",BK39="E","Este exercício usa a resistência da banda elástica como carga",BK39="O","Carga Sugerida: "&amp;INT(BN38)&amp;" kg",TRUE,""))</f>
        <v>Carga Sugerida: 2 kg</v>
      </c>
      <c r="BI39" s="66"/>
      <c r="BJ39" s="126">
        <f>BJ38</f>
        <v>4</v>
      </c>
      <c r="BK39" s="120" t="str">
        <f>LEFT(BN39)</f>
        <v>O</v>
      </c>
      <c r="BL39" s="121" t="str">
        <f>MID(BN39,2,1)</f>
        <v>U</v>
      </c>
      <c r="BM39" s="122" t="str">
        <f>RIGHT(BN39)</f>
        <v>R</v>
      </c>
      <c r="BN39" s="123" t="str">
        <f>IF(BL38="","",OFFSET(Biblioteca!$I$2,MATCH(BL38,Biblioteca!$A$3:$A$200,0),0))</f>
        <v>OUR</v>
      </c>
      <c r="BO39" s="124"/>
      <c r="BP39" s="125"/>
      <c r="BQ39" s="117" t="str">
        <f>IF(BQ38="","",IFS(CB39="A",Montagem!$G$180,CD39="T","Realizar a maior quantidade de repetições por "&amp;BV38&amp;" segundos | ",CD39="I",IF(CC39="U","Manter a posição por "&amp;BV38&amp;" segundos de um lado e trocar para o outro na sequência | ","Manter a posição por "&amp;BV38&amp;" segundos | "),CC39="A","Realizar alternadamente "&amp;BV38&amp;" repetições cada lado | ",CC39="U","Realizar "&amp;BV38&amp;" repetições de um lado e trocar para o outro na sequência | ",CB39="P",OFFSET(Biblioteca!$H$2,MATCH(CC38,Biblioteca!$A$3:$A$200,0),0),TRUE,"")&amp;IF(CD39="R","Ajuste a carga para que tenha "&amp;$K$2&amp;" repetições de reserva",""))</f>
        <v>Ajuste a carga para que tenha 0 a 2 repetições de reserva</v>
      </c>
      <c r="BU39" s="118" t="str">
        <f>IF(BQ38="","",IFS(CB39="H","Carga Sugerida: "&amp;ROUNDUP(CE38/2,0)&amp;" kg de cada lado (Total: "&amp;ROUNDUP(CE38/2,0)*2&amp;" kg)",CB39="C","Este exercício usa o Peso Corporal como carga",CB39="E","Este exercício usa a resistência da banda elástica como carga",CB39="O","Carga Sugerida: "&amp;INT(CE38)&amp;" kg",TRUE,""))</f>
        <v>Carga Sugerida: 17 kg</v>
      </c>
      <c r="BZ39" s="66"/>
      <c r="CA39" s="126">
        <f>CA38</f>
        <v>4</v>
      </c>
      <c r="CB39" s="120" t="str">
        <f>LEFT(CE39)</f>
        <v>O</v>
      </c>
      <c r="CC39" s="121" t="str">
        <f>MID(CE39,2,1)</f>
        <v>O</v>
      </c>
      <c r="CD39" s="122" t="str">
        <f>RIGHT(CE39)</f>
        <v>R</v>
      </c>
      <c r="CE39" s="123" t="str">
        <f>IF(CC38="","",OFFSET(Biblioteca!$I$2,MATCH(CC38,Biblioteca!$A$3:$A$200,0),0))</f>
        <v>OOR</v>
      </c>
      <c r="CF39" s="124"/>
      <c r="CG39" s="125"/>
      <c r="CH39" s="117" t="str">
        <f>IF(CH38="","",IFS(CS39="A",Montagem!$H$180,CU39="T","Realizar a maior quantidade de repetições por "&amp;CM38&amp;" segundos | ",CU39="I",IF(CT39="U","Manter a posição por "&amp;CM38&amp;" segundos de um lado e trocar para o outro na sequência | ","Manter a posição por "&amp;CM38&amp;" segundos | "),CT39="A","Realizar alternadamente "&amp;CM38&amp;" repetições cada lado | ",CT39="U","Realizar "&amp;CM38&amp;" repetições de um lado e trocar para o outro na sequência | ",CS39="P",OFFSET(Biblioteca!$H$2,MATCH(CT38,Biblioteca!$A$3:$A$200,0),0),TRUE,"")&amp;IF(CU39="R","Ajuste a carga para que tenha "&amp;$K$2&amp;" repetições de reserva",""))</f>
        <v/>
      </c>
      <c r="CL39" s="118" t="str">
        <f>IF(CH38="","",IFS(CS39="H","Carga Sugerida: "&amp;ROUNDUP(CV38/2,0)&amp;" kg de cada lado (Total: "&amp;ROUNDUP(CV38/2,0)*2&amp;" kg)",CS39="C","Este exercício usa o Peso Corporal como carga",CS39="E","Este exercício usa a resistência da banda elástica como carga",CS39="O","Carga Sugerida: "&amp;INT(CV38)&amp;" kg",TRUE,""))</f>
        <v/>
      </c>
      <c r="CQ39" s="66"/>
      <c r="CR39" s="126">
        <f>CR38</f>
        <v>1</v>
      </c>
      <c r="CS39" s="120" t="str">
        <f>LEFT(CV39)</f>
        <v/>
      </c>
      <c r="CT39" s="121" t="str">
        <f>MID(CV39,2,1)</f>
        <v/>
      </c>
      <c r="CU39" s="122" t="str">
        <f>RIGHT(CV39)</f>
        <v/>
      </c>
      <c r="CV39" s="123" t="str">
        <f>IF(CT38="","",OFFSET(Biblioteca!$I$2,MATCH(CT38,Biblioteca!$A$3:$A$200,0),0))</f>
        <v/>
      </c>
      <c r="CW39" s="124"/>
      <c r="CX39" s="125"/>
      <c r="CY39" s="117" t="str">
        <f>IF(CY38="","",IFS(DJ39="A",Montagem!$I$180,DL39="T","Realizar a maior quantidade de repetições por "&amp;DD38&amp;" segundos | ",DL39="I",IF(DK39="U","Manter a posição por "&amp;DD38&amp;" segundos de um lado e trocar para o outro na sequência | ","Manter a posição por "&amp;DD38&amp;" segundos | "),DK39="A","Realizar alternadamente "&amp;DD38&amp;" repetições cada lado | ",DK39="U","Realizar "&amp;DD38&amp;" repetições de um lado e trocar para o outro na sequência | ",DJ39="P",OFFSET(Biblioteca!$H$2,MATCH(DK38,Biblioteca!$A$3:$A$200,0),0),TRUE,"")&amp;IF(DL39="R","Ajuste a carga para que tenha "&amp;$K$2&amp;" repetições de reserva",""))</f>
        <v/>
      </c>
      <c r="DC39" s="118" t="str">
        <f>IF(CY38="","",IFS(DJ39="H","Carga Sugerida: "&amp;ROUNDUP(DM38/2,0)&amp;" kg de cada lado (Total: "&amp;ROUNDUP(DM38/2,0)*2&amp;" kg)",DJ39="C","Este exercício usa o Peso Corporal como carga",DJ39="E","Este exercício usa a resistência da banda elástica como carga",DJ39="O","Carga Sugerida: "&amp;INT(DM38)&amp;" kg",TRUE,""))</f>
        <v/>
      </c>
      <c r="DH39" s="66"/>
      <c r="DI39" s="126">
        <f>DI38</f>
        <v>1</v>
      </c>
      <c r="DJ39" s="120" t="str">
        <f>LEFT(DM39)</f>
        <v/>
      </c>
      <c r="DK39" s="121" t="str">
        <f>MID(DM39,2,1)</f>
        <v/>
      </c>
      <c r="DL39" s="122" t="str">
        <f>RIGHT(DM39)</f>
        <v/>
      </c>
      <c r="DM39" s="123" t="str">
        <f>IF(DK38="","",OFFSET(Biblioteca!$I$2,MATCH(DK38,Biblioteca!$A$3:$A$200,0),0))</f>
        <v/>
      </c>
      <c r="DN39" s="124"/>
      <c r="DO39" s="125"/>
      <c r="DP39" s="57"/>
      <c r="DQ39" s="56"/>
      <c r="DR39" s="56"/>
      <c r="DS39" s="56"/>
      <c r="DT39" s="56"/>
      <c r="DU39" s="56"/>
      <c r="DV39" s="56"/>
      <c r="DW39" s="56"/>
      <c r="DX39" s="56"/>
      <c r="DY39" s="56"/>
    </row>
    <row r="40">
      <c r="A40" s="102" t="str">
        <f>IF(M40="","",HYPERLINK(OFFSET(Biblioteca!$B$2,MATCH(M40,Biblioteca!$A$3:$A$200,0),0),M40))</f>
        <v>Fly Inverso</v>
      </c>
      <c r="D40" s="103" t="str">
        <f>Montagem!Q178</f>
        <v>Bi-SET</v>
      </c>
      <c r="E40" s="104">
        <f>Montagem!R178</f>
        <v>3</v>
      </c>
      <c r="F40" s="104">
        <f>Montagem!S178</f>
        <v>8</v>
      </c>
      <c r="G40" s="104" t="str">
        <f>Montagem!T178</f>
        <v/>
      </c>
      <c r="H40" s="104">
        <f>Montagem!U178</f>
        <v>1</v>
      </c>
      <c r="I40" s="132">
        <f>Montagem!V178</f>
        <v>2</v>
      </c>
      <c r="J40" s="105"/>
      <c r="K40" s="106">
        <f>Montagem!K178</f>
        <v>6</v>
      </c>
      <c r="L40" s="111">
        <f>Montagem!W178</f>
        <v>8.82</v>
      </c>
      <c r="M40" s="111" t="str">
        <f>Montagem!L178</f>
        <v>Fly Inverso</v>
      </c>
      <c r="N40" s="111" t="str">
        <f>Montagem!X178</f>
        <v/>
      </c>
      <c r="O40" s="106">
        <f>IF(N40="",L40,N40)</f>
        <v>8.82</v>
      </c>
      <c r="P40" s="106">
        <f>IF(L41="C",'Dados de Base'!$D$5*0.1,IF(L41="E",5,IF(J40="",O40,J40)))</f>
        <v>8.82</v>
      </c>
      <c r="Q40" s="108"/>
      <c r="R40" s="102" t="str">
        <f>IF(AD40="","",HYPERLINK(OFFSET(Biblioteca!$B$2,MATCH(AD40,Biblioteca!$A$3:$A$200,0),0),AD40))</f>
        <v>Leg Press</v>
      </c>
      <c r="U40" s="109" t="str">
        <f>Montagem!AF178</f>
        <v>Bi-SET</v>
      </c>
      <c r="V40" s="110">
        <f>Montagem!AG178</f>
        <v>3</v>
      </c>
      <c r="W40" s="110">
        <f>Montagem!AH178</f>
        <v>8</v>
      </c>
      <c r="X40" s="110" t="str">
        <f>Montagem!AI178</f>
        <v/>
      </c>
      <c r="Y40" s="110">
        <f>Montagem!AJ178</f>
        <v>1</v>
      </c>
      <c r="Z40" s="110">
        <f>Montagem!AK178</f>
        <v>2</v>
      </c>
      <c r="AA40" s="113"/>
      <c r="AB40" s="111">
        <f>Montagem!Z178</f>
        <v>6</v>
      </c>
      <c r="AC40" s="111">
        <f>Montagem!AL178</f>
        <v>187.425</v>
      </c>
      <c r="AD40" s="129" t="str">
        <f>Montagem!AA178</f>
        <v>Leg Press</v>
      </c>
      <c r="AE40" s="111" t="str">
        <f>Montagem!AM178</f>
        <v/>
      </c>
      <c r="AF40" s="106">
        <f>IF(AE40="",AC40,AE40)</f>
        <v>187.425</v>
      </c>
      <c r="AG40" s="106">
        <f>IF(AC41="C",'Dados de Base'!$D$5*0.1,IF(AC41="E",5,IF(AA40="",AF40,AA40)))</f>
        <v>187.425</v>
      </c>
      <c r="AH40" s="108"/>
      <c r="AI40" s="115" t="str">
        <f>IF(AU40="","",HYPERLINK(OFFSET(Biblioteca!$B$2,MATCH(AU40,Biblioteca!$A$3:$A$200,0),0),AU40))</f>
        <v/>
      </c>
      <c r="AL40" s="109" t="str">
        <f>Montagem!AU178</f>
        <v/>
      </c>
      <c r="AM40" s="110" t="str">
        <f>Montagem!AV178</f>
        <v/>
      </c>
      <c r="AN40" s="110" t="str">
        <f>Montagem!AW178</f>
        <v/>
      </c>
      <c r="AO40" s="110" t="str">
        <f>Montagem!AX178</f>
        <v/>
      </c>
      <c r="AP40" s="110" t="str">
        <f>Montagem!AY178</f>
        <v/>
      </c>
      <c r="AQ40" s="110" t="str">
        <f>Montagem!AZ178</f>
        <v/>
      </c>
      <c r="AR40" s="114"/>
      <c r="AS40" s="111">
        <f>Montagem!AO178</f>
        <v>1</v>
      </c>
      <c r="AT40" s="111" t="str">
        <f>Montagem!BA178</f>
        <v/>
      </c>
      <c r="AU40" s="111" t="str">
        <f>Montagem!AP178</f>
        <v/>
      </c>
      <c r="AV40" s="111" t="str">
        <f>Montagem!BB178</f>
        <v/>
      </c>
      <c r="AW40" s="106" t="str">
        <f>IF(AV40="",AT40,AV40)</f>
        <v/>
      </c>
      <c r="AX40" s="106" t="str">
        <f>IF(AT41="C",'Dados de Base'!$D$5*0.1,IF(AT41="E",5,IF(AR40="",AW40,AR40)))</f>
        <v/>
      </c>
      <c r="AY40" s="108"/>
      <c r="AZ40" s="102" t="str">
        <f>IF(BL40="","",HYPERLINK(OFFSET(Biblioteca!$B$2,MATCH(BL40,Biblioteca!$A$3:$A$200,0),0),BL40))</f>
        <v>Rosca Scott</v>
      </c>
      <c r="BC40" s="109" t="str">
        <f>Montagem!BJ178</f>
        <v>Bi-SET</v>
      </c>
      <c r="BD40" s="110">
        <f>Montagem!BK178</f>
        <v>3</v>
      </c>
      <c r="BE40" s="110">
        <f>Montagem!BL178</f>
        <v>8</v>
      </c>
      <c r="BF40" s="110">
        <f>Montagem!BM178</f>
        <v>60</v>
      </c>
      <c r="BG40" s="110">
        <f>Montagem!BN178</f>
        <v>1</v>
      </c>
      <c r="BH40" s="110">
        <f>Montagem!BO178</f>
        <v>2</v>
      </c>
      <c r="BI40" s="113"/>
      <c r="BJ40" s="111">
        <f>Montagem!BD178</f>
        <v>4</v>
      </c>
      <c r="BK40" s="111">
        <f>Montagem!BP178</f>
        <v>11.025</v>
      </c>
      <c r="BL40" s="111" t="str">
        <f>Montagem!BE178</f>
        <v>Rosca Scott</v>
      </c>
      <c r="BM40" s="111" t="str">
        <f>Montagem!BQ178</f>
        <v/>
      </c>
      <c r="BN40" s="106">
        <f>IF(BM40="",BK40,BM40)</f>
        <v>11.025</v>
      </c>
      <c r="BO40" s="106">
        <f>IF(BK41="C",'Dados de Base'!$D$5*0.1,IF(BK41="E",5,IF(BI40="",BN40,BI40)))</f>
        <v>11.025</v>
      </c>
      <c r="BP40" s="108"/>
      <c r="BQ40" s="115" t="str">
        <f>IF(CC40="","",HYPERLINK(OFFSET(Biblioteca!$B$2,MATCH(CC40,Biblioteca!$A$3:$A$200,0),0),CC40))</f>
        <v>Deslocamento Lateral com Miniband</v>
      </c>
      <c r="BT40" s="109" t="str">
        <f>Montagem!BY178</f>
        <v>Bi-SET</v>
      </c>
      <c r="BU40" s="110">
        <f>Montagem!BZ178</f>
        <v>3</v>
      </c>
      <c r="BV40" s="110">
        <f>Montagem!CA178</f>
        <v>10</v>
      </c>
      <c r="BW40" s="110" t="str">
        <f>Montagem!CB178</f>
        <v/>
      </c>
      <c r="BX40" s="110">
        <f>Montagem!CC178</f>
        <v>1</v>
      </c>
      <c r="BY40" s="110">
        <f>Montagem!CD178</f>
        <v>2</v>
      </c>
      <c r="BZ40" s="113"/>
      <c r="CA40" s="111">
        <f>Montagem!BS178</f>
        <v>5</v>
      </c>
      <c r="CB40" s="111">
        <f>Montagem!CE178</f>
        <v>0</v>
      </c>
      <c r="CC40" s="111" t="str">
        <f>Montagem!BT178</f>
        <v>Deslocamento Lateral com Miniband</v>
      </c>
      <c r="CD40" s="111" t="str">
        <f>Montagem!CF178</f>
        <v/>
      </c>
      <c r="CE40" s="106">
        <f>IF(CD40="",CB40,CD40)</f>
        <v>0</v>
      </c>
      <c r="CF40" s="106">
        <f>IF(CB41="C",'Dados de Base'!$D$5*0.1,IF(CB41="E",5,IF(BZ40="",CE40,BZ40)))</f>
        <v>5</v>
      </c>
      <c r="CG40" s="108"/>
      <c r="CH40" s="115" t="str">
        <f>IF(CT40="","",HYPERLINK(OFFSET(Biblioteca!$B$2,MATCH(CT40,Biblioteca!$A$3:$A$200,0),0),CT40))</f>
        <v/>
      </c>
      <c r="CK40" s="109" t="str">
        <f>Montagem!CN178</f>
        <v/>
      </c>
      <c r="CL40" s="110" t="str">
        <f>Montagem!CO178</f>
        <v/>
      </c>
      <c r="CM40" s="110" t="str">
        <f>Montagem!CP178</f>
        <v/>
      </c>
      <c r="CN40" s="110" t="str">
        <f>Montagem!CQ178</f>
        <v/>
      </c>
      <c r="CO40" s="110" t="str">
        <f>Montagem!CR178</f>
        <v/>
      </c>
      <c r="CP40" s="110" t="str">
        <f>Montagem!CS178</f>
        <v/>
      </c>
      <c r="CQ40" s="114"/>
      <c r="CR40" s="111">
        <f>Montagem!CH178</f>
        <v>1</v>
      </c>
      <c r="CS40" s="111" t="str">
        <f>Montagem!CT178</f>
        <v/>
      </c>
      <c r="CT40" s="111" t="str">
        <f>Montagem!CI178</f>
        <v/>
      </c>
      <c r="CU40" s="111" t="str">
        <f>Montagem!CU178</f>
        <v/>
      </c>
      <c r="CV40" s="106" t="str">
        <f>IF(CU40="",CS40,CU40)</f>
        <v/>
      </c>
      <c r="CW40" s="106" t="str">
        <f>IF(CS41="C",'Dados de Base'!$D$5*0.1,IF(CS41="E",5,IF(CQ40="",CV40,CQ40)))</f>
        <v/>
      </c>
      <c r="CX40" s="108"/>
      <c r="CY40" s="115" t="str">
        <f>IF(DK40="","",HYPERLINK(OFFSET(Biblioteca!$B$2,MATCH(DK40,Biblioteca!$A$3:$A$200,0),0),DK40))</f>
        <v/>
      </c>
      <c r="DB40" s="130" t="str">
        <f>Montagem!DC178</f>
        <v/>
      </c>
      <c r="DC40" s="131" t="str">
        <f>Montagem!DD178</f>
        <v/>
      </c>
      <c r="DD40" s="131" t="str">
        <f>Montagem!DE178</f>
        <v/>
      </c>
      <c r="DE40" s="131" t="str">
        <f>Montagem!DF178</f>
        <v/>
      </c>
      <c r="DF40" s="131" t="str">
        <f>Montagem!DG178</f>
        <v/>
      </c>
      <c r="DG40" s="131" t="str">
        <f>Montagem!DH178</f>
        <v/>
      </c>
      <c r="DH40" s="114"/>
      <c r="DI40" s="111">
        <f>Montagem!CW178</f>
        <v>1</v>
      </c>
      <c r="DJ40" s="111" t="str">
        <f>Montagem!DI178</f>
        <v/>
      </c>
      <c r="DK40" s="111" t="str">
        <f>Montagem!CX178</f>
        <v/>
      </c>
      <c r="DL40" s="111" t="str">
        <f>Montagem!DJ178</f>
        <v/>
      </c>
      <c r="DM40" s="106" t="str">
        <f>IF(DL40="",DJ40,DL40)</f>
        <v/>
      </c>
      <c r="DN40" s="106" t="str">
        <f>IF(DJ41="C",'Dados de Base'!$D$5*0.1,IF(DJ41="E",5,IF(DH40="",DM40,DH40)))</f>
        <v/>
      </c>
      <c r="DO40" s="108"/>
      <c r="DP40" s="106"/>
      <c r="DQ40" s="106"/>
      <c r="DR40" s="106"/>
      <c r="DS40" s="106"/>
      <c r="DT40" s="106"/>
      <c r="DU40" s="106"/>
      <c r="DV40" s="106"/>
      <c r="DW40" s="106"/>
      <c r="DX40" s="106"/>
      <c r="DY40" s="106"/>
    </row>
    <row r="41">
      <c r="A41" s="117" t="str">
        <f>IF(A40="","",IFS(L41="A",Montagem!$C$180,N41="T","Realizar a maior quantidade de repetições por "&amp;F40&amp;" segundos | ",N41="I",IF(M41="U","Manter a posição por "&amp;F40&amp;" segundos de um lado e trocar para o outro na sequência | ","Manter a posição por "&amp;F40&amp;" segundos | "),M41="A","Realizar alternadamente "&amp;F40&amp;" repetições cada lado | ",M41="U","Realizar "&amp;F40&amp;" repetições de um lado e trocar para o outro na sequência | ",L41="P",OFFSET(Biblioteca!$H$2,MATCH(M40,Biblioteca!$A$3:$A$200,0),0),TRUE,"")&amp;IF(N41="R","Ajuste a carga para que tenha "&amp;$K$2&amp;" repetições de reserva",""))</f>
        <v>Ajuste a carga para que tenha 0 a 2 repetições de reserva</v>
      </c>
      <c r="E41" s="118" t="str">
        <f>IF(A40="","",IFS(L41="H","Carga Sugerida: "&amp;ROUNDUP(O40/2,0)&amp;" kg de cada lado (Total: "&amp;ROUNDUP(O40/2,0)*2&amp;" kg)",L41="C","Este exercício usa o Peso Corporal como carga",L41="E","Este exercício usa a resistência da banda elástica como carga",L41="O","Carga Sugerida: "&amp;INT(O40)&amp;" kg",TRUE,""))</f>
        <v>Carga Sugerida: 8 kg</v>
      </c>
      <c r="J41" s="66"/>
      <c r="K41" s="106">
        <f>K40</f>
        <v>6</v>
      </c>
      <c r="L41" s="120" t="str">
        <f>LEFT(O41)</f>
        <v>O</v>
      </c>
      <c r="M41" s="121" t="str">
        <f>MID(O41,2,1)</f>
        <v>O</v>
      </c>
      <c r="N41" s="122" t="str">
        <f>RIGHT(O41)</f>
        <v>R</v>
      </c>
      <c r="O41" s="123" t="str">
        <f>IF(M40="","",OFFSET(Biblioteca!$I$2,MATCH(M40,Biblioteca!$A$3:$A$200,0),0))</f>
        <v>OOR</v>
      </c>
      <c r="P41" s="124"/>
      <c r="Q41" s="125"/>
      <c r="R41" s="117" t="str">
        <f>IF(R40="","",IFS(AC41="A",Montagem!$D$180,AE41="T","Realizar a maior quantidade de repetições por "&amp;W40&amp;" segundos | ",AE41="I",IF(AD41="U","Manter a posição por "&amp;W40&amp;" segundos de um lado e trocar para o outro na sequência | ","Manter a posição por "&amp;W40&amp;" segundos | "),AD41="A","Realizar alternadamente "&amp;W40&amp;" repetições cada lado | ",AD41="U","Realizar "&amp;W40&amp;" repetições de um lado e trocar para o outro na sequência | ",AC41="P",OFFSET(Biblioteca!$H$2,MATCH(AD40,Biblioteca!$A$3:$A$200,0),0),TRUE,"")&amp;IF(AE41="R","Ajuste a carga para que tenha "&amp;$K$2&amp;" repetições de reserva",""))</f>
        <v>Ajuste a carga para que tenha 0 a 2 repetições de reserva</v>
      </c>
      <c r="V41" s="118" t="str">
        <f>IF(R40="","",IFS(AC41="H","Carga Sugerida: "&amp;ROUNDUP(AF40/2,0)&amp;" kg de cada lado (Total: "&amp;ROUNDUP(AF40/2,0)*2&amp;" kg)",AC41="C","Este exercício usa o Peso Corporal como carga",AC41="E","Este exercício usa a resistência da banda elástica como carga",AC41="O","Carga Sugerida: "&amp;INT(AF40)&amp;" kg",TRUE,""))</f>
        <v>Carga Sugerida: 187 kg</v>
      </c>
      <c r="AA41" s="66"/>
      <c r="AB41" s="126">
        <f>AB40</f>
        <v>6</v>
      </c>
      <c r="AC41" s="120" t="str">
        <f>LEFT(AF41)</f>
        <v>O</v>
      </c>
      <c r="AD41" s="121" t="str">
        <f>MID(AF41,2,1)</f>
        <v>O</v>
      </c>
      <c r="AE41" s="122" t="str">
        <f>RIGHT(AF41)</f>
        <v>R</v>
      </c>
      <c r="AF41" s="123" t="str">
        <f>IF(AD40="","",OFFSET(Biblioteca!$I$2,MATCH(AD40,Biblioteca!$A$3:$A$200,0),0))</f>
        <v>OOR</v>
      </c>
      <c r="AG41" s="124"/>
      <c r="AH41" s="125"/>
      <c r="AI41" s="117" t="str">
        <f>IF(AI40="","",IFS(AT41="A",Montagem!$E$180,AV41="T","Realizar a maior quantidade de repetições por "&amp;AN40&amp;" segundos | ",AV41="I",IF(AU41="U","Manter a posição por "&amp;AN40&amp;" segundos de um lado e trocar para o outro na sequência | ","Manter a posição por "&amp;AN40&amp;" segundos | "),AU41="A","Realizar alternadamente "&amp;AN40&amp;" repetições cada lado | ",AU41="U","Realizar "&amp;AN40&amp;" repetições de um lado e trocar para o outro na sequência | ",AT41="P",OFFSET(Biblioteca!$H$2,MATCH(AU40,Biblioteca!$A$3:$A$200,0),0),TRUE,"")&amp;IF(AV41="R","Ajuste a carga para que tenha "&amp;$K$2&amp;" repetições de reserva",""))</f>
        <v/>
      </c>
      <c r="AM41" s="118" t="str">
        <f>IF(AI40="","",IFS(AT41="H","Carga Sugerida: "&amp;ROUNDUP(AW40/2,0)&amp;" kg de cada lado (Total: "&amp;ROUNDUP(AW40/2,0)*2&amp;" kg)",AT41="C","Este exercício usa o Peso Corporal como carga",AT41="E","Este exercício usa a resistência da banda elástica como carga",AT41="O","Carga Sugerida: "&amp;INT(AW40)&amp;" kg",TRUE,""))</f>
        <v/>
      </c>
      <c r="AR41" s="66"/>
      <c r="AS41" s="126">
        <f>AS40</f>
        <v>1</v>
      </c>
      <c r="AT41" s="120" t="str">
        <f>LEFT(AW41)</f>
        <v/>
      </c>
      <c r="AU41" s="121" t="str">
        <f>MID(AW41,2,1)</f>
        <v/>
      </c>
      <c r="AV41" s="122" t="str">
        <f>RIGHT(AW41)</f>
        <v/>
      </c>
      <c r="AW41" s="123" t="str">
        <f>IF(AU40="","",OFFSET(Biblioteca!$I$2,MATCH(AU40,Biblioteca!$A$3:$A$200,0),0))</f>
        <v/>
      </c>
      <c r="AX41" s="124"/>
      <c r="AY41" s="125"/>
      <c r="AZ41" s="117" t="str">
        <f>IF(AZ40="","",IFS(BK41="A",Montagem!$F$180,BM41="T","Realizar a maior quantidade de repetições por "&amp;BE40&amp;" segundos | ",BM41="I",IF(BL41="U","Manter a posição por "&amp;BE40&amp;" segundos de um lado e trocar para o outro na sequência | ","Manter a posição por "&amp;BE40&amp;" segundos | "),BL41="A","Realizar alternadamente "&amp;BE40&amp;" repetições cada lado | ",BL41="U","Realizar "&amp;BE40&amp;" repetições de um lado e trocar para o outro na sequência | ",BK41="P",OFFSET(Biblioteca!$H$2,MATCH(BL40,Biblioteca!$A$3:$A$200,0),0),TRUE,"")&amp;IF(BM41="R","Ajuste a carga para que tenha "&amp;$K$2&amp;" repetições de reserva",""))</f>
        <v>Ajuste a carga para que tenha 0 a 2 repetições de reserva</v>
      </c>
      <c r="BD41" s="118" t="str">
        <f>IF(AZ40="","",IFS(BK41="H","Carga Sugerida: "&amp;ROUNDUP(BN40/2,0)&amp;" kg de cada lado (Total: "&amp;ROUNDUP(BN40/2,0)*2&amp;" kg)",BK41="C","Este exercício usa o Peso Corporal como carga",BK41="E","Este exercício usa a resistência da banda elástica como carga",BK41="O","Carga Sugerida: "&amp;INT(BN40)&amp;" kg",TRUE,""))</f>
        <v>Carga Sugerida: 11 kg</v>
      </c>
      <c r="BI41" s="66"/>
      <c r="BJ41" s="126">
        <f>BJ40</f>
        <v>4</v>
      </c>
      <c r="BK41" s="120" t="str">
        <f>LEFT(BN41)</f>
        <v>O</v>
      </c>
      <c r="BL41" s="121" t="str">
        <f>MID(BN41,2,1)</f>
        <v>O</v>
      </c>
      <c r="BM41" s="122" t="str">
        <f>RIGHT(BN41)</f>
        <v>R</v>
      </c>
      <c r="BN41" s="123" t="str">
        <f>IF(BL40="","",OFFSET(Biblioteca!$I$2,MATCH(BL40,Biblioteca!$A$3:$A$200,0),0))</f>
        <v>OOR</v>
      </c>
      <c r="BO41" s="124"/>
      <c r="BP41" s="125"/>
      <c r="BQ41" s="117" t="str">
        <f>IF(BQ40="","",IFS(CB41="A",Montagem!$G$180,CD41="T","Realizar a maior quantidade de repetições por "&amp;BV40&amp;" segundos | ",CD41="I",IF(CC41="U","Manter a posição por "&amp;BV40&amp;" segundos de um lado e trocar para o outro na sequência | ","Manter a posição por "&amp;BV40&amp;" segundos | "),CC41="A","Realizar alternadamente "&amp;BV40&amp;" repetições cada lado | ",CC41="U","Realizar "&amp;BV40&amp;" repetições de um lado e trocar para o outro na sequência | ",CB41="P",OFFSET(Biblioteca!$H$2,MATCH(CC40,Biblioteca!$A$3:$A$200,0),0),TRUE,"")&amp;IF(CD41="R","Ajuste a carga para que tenha "&amp;$K$2&amp;" repetições de reserva",""))</f>
        <v>Realizar 10 repetições de um lado e trocar para o outro na sequência | Ajuste a carga para que tenha 0 a 2 repetições de reserva</v>
      </c>
      <c r="BU41" s="118" t="str">
        <f>IF(BQ40="","",IFS(CB41="H","Carga Sugerida: "&amp;ROUNDUP(CE40/2,0)&amp;" kg de cada lado (Total: "&amp;ROUNDUP(CE40/2,0)*2&amp;" kg)",CB41="C","Este exercício usa o Peso Corporal como carga",CB41="E","Este exercício usa a resistência da banda elástica como carga",CB41="O","Carga Sugerida: "&amp;INT(CE40)&amp;" kg",TRUE,""))</f>
        <v>Este exercício usa a resistência da banda elástica como carga</v>
      </c>
      <c r="BZ41" s="66"/>
      <c r="CA41" s="126">
        <f>CA40</f>
        <v>5</v>
      </c>
      <c r="CB41" s="120" t="str">
        <f>LEFT(CE41)</f>
        <v>E</v>
      </c>
      <c r="CC41" s="121" t="str">
        <f>MID(CE41,2,1)</f>
        <v>U</v>
      </c>
      <c r="CD41" s="122" t="str">
        <f>RIGHT(CE41)</f>
        <v>R</v>
      </c>
      <c r="CE41" s="123" t="str">
        <f>IF(CC40="","",OFFSET(Biblioteca!$I$2,MATCH(CC40,Biblioteca!$A$3:$A$200,0),0))</f>
        <v>EUR</v>
      </c>
      <c r="CF41" s="124"/>
      <c r="CG41" s="125"/>
      <c r="CH41" s="117" t="str">
        <f>IF(CH40="","",IFS(CS41="A",Montagem!$H$180,CU41="T","Realizar a maior quantidade de repetições por "&amp;CM40&amp;" segundos | ",CU41="I",IF(CT41="U","Manter a posição por "&amp;CM40&amp;" segundos de um lado e trocar para o outro na sequência | ","Manter a posição por "&amp;CM40&amp;" segundos | "),CT41="A","Realizar alternadamente "&amp;CM40&amp;" repetições cada lado | ",CT41="U","Realizar "&amp;CM40&amp;" repetições de um lado e trocar para o outro na sequência | ",CS41="P",OFFSET(Biblioteca!$H$2,MATCH(CT40,Biblioteca!$A$3:$A$200,0),0),TRUE,"")&amp;IF(CU41="R","Ajuste a carga para que tenha "&amp;$K$2&amp;" repetições de reserva",""))</f>
        <v/>
      </c>
      <c r="CL41" s="118" t="str">
        <f>IF(CH40="","",IFS(CS41="H","Carga Sugerida: "&amp;ROUNDUP(CV40/2,0)&amp;" kg de cada lado (Total: "&amp;ROUNDUP(CV40/2,0)*2&amp;" kg)",CS41="C","Este exercício usa o Peso Corporal como carga",CS41="E","Este exercício usa a resistência da banda elástica como carga",CS41="O","Carga Sugerida: "&amp;INT(CV40)&amp;" kg",TRUE,""))</f>
        <v/>
      </c>
      <c r="CQ41" s="66"/>
      <c r="CR41" s="126">
        <f>CR40</f>
        <v>1</v>
      </c>
      <c r="CS41" s="120" t="str">
        <f>LEFT(CV41)</f>
        <v/>
      </c>
      <c r="CT41" s="121" t="str">
        <f>MID(CV41,2,1)</f>
        <v/>
      </c>
      <c r="CU41" s="122" t="str">
        <f>RIGHT(CV41)</f>
        <v/>
      </c>
      <c r="CV41" s="123" t="str">
        <f>IF(CT40="","",OFFSET(Biblioteca!$I$2,MATCH(CT40,Biblioteca!$A$3:$A$200,0),0))</f>
        <v/>
      </c>
      <c r="CW41" s="124"/>
      <c r="CX41" s="125"/>
      <c r="CY41" s="117" t="str">
        <f>IF(CY40="","",IFS(DJ41="A",Montagem!$I$180,DL41="T","Realizar a maior quantidade de repetições por "&amp;DD40&amp;" segundos | ",DL41="I",IF(DK41="U","Manter a posição por "&amp;DD40&amp;" segundos de um lado e trocar para o outro na sequência | ","Manter a posição por "&amp;DD40&amp;" segundos | "),DK41="A","Realizar alternadamente "&amp;DD40&amp;" repetições cada lado | ",DK41="U","Realizar "&amp;DD40&amp;" repetições de um lado e trocar para o outro na sequência | ",DJ41="P",OFFSET(Biblioteca!$H$2,MATCH(DK40,Biblioteca!$A$3:$A$200,0),0),TRUE,"")&amp;IF(DL41="R","Ajuste a carga para que tenha "&amp;$K$2&amp;" repetições de reserva",""))</f>
        <v/>
      </c>
      <c r="DC41" s="118" t="str">
        <f>IF(CY40="","",IFS(DJ41="H","Carga Sugerida: "&amp;ROUNDUP(DM40/2,0)&amp;" kg de cada lado (Total: "&amp;ROUNDUP(DM40/2,0)*2&amp;" kg)",DJ41="C","Este exercício usa o Peso Corporal como carga",DJ41="E","Este exercício usa a resistência da banda elástica como carga",DJ41="O","Carga Sugerida: "&amp;INT(DM40)&amp;" kg",TRUE,""))</f>
        <v/>
      </c>
      <c r="DH41" s="66"/>
      <c r="DI41" s="126">
        <f>DI40</f>
        <v>1</v>
      </c>
      <c r="DJ41" s="120" t="str">
        <f>LEFT(DM41)</f>
        <v/>
      </c>
      <c r="DK41" s="121" t="str">
        <f>MID(DM41,2,1)</f>
        <v/>
      </c>
      <c r="DL41" s="122" t="str">
        <f>RIGHT(DM41)</f>
        <v/>
      </c>
      <c r="DM41" s="123" t="str">
        <f>IF(DK40="","",OFFSET(Biblioteca!$I$2,MATCH(DK40,Biblioteca!$A$3:$A$200,0),0))</f>
        <v/>
      </c>
      <c r="DN41" s="124"/>
      <c r="DO41" s="125"/>
      <c r="DP41" s="57"/>
      <c r="DQ41" s="56"/>
      <c r="DR41" s="56"/>
      <c r="DS41" s="56"/>
      <c r="DT41" s="56"/>
      <c r="DU41" s="56"/>
      <c r="DV41" s="56"/>
      <c r="DW41" s="56"/>
      <c r="DX41" s="56"/>
      <c r="DY41" s="56"/>
    </row>
    <row r="42">
      <c r="A42" s="102" t="str">
        <f>IF(M42="","",HYPERLINK(OFFSET(Biblioteca!$B$2,MATCH(M42,Biblioteca!$A$3:$A$200,0),0),M42))</f>
        <v>Rosca Direta</v>
      </c>
      <c r="D42" s="103" t="str">
        <f>Montagem!Q179</f>
        <v>Bi-SET</v>
      </c>
      <c r="E42" s="104">
        <f>Montagem!R179</f>
        <v>3</v>
      </c>
      <c r="F42" s="104">
        <f>Montagem!S179</f>
        <v>8</v>
      </c>
      <c r="G42" s="104">
        <f>Montagem!T179</f>
        <v>60</v>
      </c>
      <c r="H42" s="104">
        <f>Montagem!U179</f>
        <v>1</v>
      </c>
      <c r="I42" s="132">
        <f>Montagem!V179</f>
        <v>2</v>
      </c>
      <c r="J42" s="105"/>
      <c r="K42" s="106">
        <f>Montagem!K179</f>
        <v>6</v>
      </c>
      <c r="L42" s="111">
        <f>Montagem!W179</f>
        <v>22.05</v>
      </c>
      <c r="M42" s="111" t="str">
        <f>Montagem!L179</f>
        <v>Rosca Direta</v>
      </c>
      <c r="N42" s="111" t="str">
        <f>Montagem!X179</f>
        <v/>
      </c>
      <c r="O42" s="106">
        <f>IF(N42="",L42,N42)</f>
        <v>22.05</v>
      </c>
      <c r="P42" s="106">
        <f>IF(L43="C",'Dados de Base'!$D$5*0.1,IF(L43="E",5,IF(J42="",O42,J42)))</f>
        <v>22.05</v>
      </c>
      <c r="Q42" s="108"/>
      <c r="R42" s="102" t="str">
        <f>IF(AD42="","",HYPERLINK(OFFSET(Biblioteca!$B$2,MATCH(AD42,Biblioteca!$A$3:$A$200,0),0),AD42))</f>
        <v>Panturrilha Leg Press</v>
      </c>
      <c r="U42" s="109" t="str">
        <f>Montagem!AF179</f>
        <v>Bi-SET</v>
      </c>
      <c r="V42" s="110">
        <f>Montagem!AG179</f>
        <v>3</v>
      </c>
      <c r="W42" s="110">
        <f>Montagem!AH179</f>
        <v>8</v>
      </c>
      <c r="X42" s="110">
        <f>Montagem!AI179</f>
        <v>60</v>
      </c>
      <c r="Y42" s="110">
        <f>Montagem!AJ179</f>
        <v>1</v>
      </c>
      <c r="Z42" s="110">
        <f>Montagem!AK179</f>
        <v>2</v>
      </c>
      <c r="AA42" s="105"/>
      <c r="AB42" s="111">
        <f>Montagem!Z179</f>
        <v>6</v>
      </c>
      <c r="AC42" s="111">
        <f>Montagem!AL179</f>
        <v>243.10125</v>
      </c>
      <c r="AD42" s="129" t="str">
        <f>Montagem!AA179</f>
        <v>Panturrilha Leg Press</v>
      </c>
      <c r="AE42" s="111" t="str">
        <f>Montagem!AM179</f>
        <v/>
      </c>
      <c r="AF42" s="106">
        <f>IF(AE42="",AC42,AE42)</f>
        <v>243.10125</v>
      </c>
      <c r="AG42" s="106">
        <f>IF(AC43="C",'Dados de Base'!$D$5*0.1,IF(AC43="E",5,IF(AA42="",AF42,AA42)))</f>
        <v>243.10125</v>
      </c>
      <c r="AH42" s="108"/>
      <c r="AI42" s="115" t="str">
        <f>IF(AU42="","",HYPERLINK(OFFSET(Biblioteca!$B$2,MATCH(AU42,Biblioteca!$A$3:$A$200,0),0),AU42))</f>
        <v/>
      </c>
      <c r="AL42" s="109" t="str">
        <f>Montagem!AU179</f>
        <v/>
      </c>
      <c r="AM42" s="110" t="str">
        <f>Montagem!AV179</f>
        <v/>
      </c>
      <c r="AN42" s="110" t="str">
        <f>Montagem!AW179</f>
        <v/>
      </c>
      <c r="AO42" s="110" t="str">
        <f>Montagem!AX179</f>
        <v/>
      </c>
      <c r="AP42" s="110" t="str">
        <f>Montagem!AY179</f>
        <v/>
      </c>
      <c r="AQ42" s="110" t="str">
        <f>Montagem!AZ179</f>
        <v/>
      </c>
      <c r="AR42" s="114"/>
      <c r="AS42" s="111">
        <f>Montagem!AO179</f>
        <v>1</v>
      </c>
      <c r="AT42" s="111" t="str">
        <f>Montagem!BA179</f>
        <v/>
      </c>
      <c r="AU42" s="111" t="str">
        <f>Montagem!AP179</f>
        <v/>
      </c>
      <c r="AV42" s="111" t="str">
        <f>Montagem!BB179</f>
        <v/>
      </c>
      <c r="AW42" s="106" t="str">
        <f>IF(AV42="",AT42,AV42)</f>
        <v/>
      </c>
      <c r="AX42" s="106" t="str">
        <f>IF(AT43="C",'Dados de Base'!$D$5*0.1,IF(AT43="E",5,IF(AR42="",AW42,AR42)))</f>
        <v/>
      </c>
      <c r="AY42" s="108"/>
      <c r="AZ42" s="102" t="str">
        <f>IF(BL42="","",HYPERLINK(OFFSET(Biblioteca!$B$2,MATCH(BL42,Biblioteca!$A$3:$A$200,0),0),BL42))</f>
        <v>Abdominal Reto</v>
      </c>
      <c r="BC42" s="109" t="str">
        <f>Montagem!BJ179</f>
        <v>Tri-SET</v>
      </c>
      <c r="BD42" s="110">
        <f>Montagem!BK179</f>
        <v>3</v>
      </c>
      <c r="BE42" s="110">
        <f>Montagem!BL179</f>
        <v>20</v>
      </c>
      <c r="BF42" s="110" t="str">
        <f>Montagem!BM179</f>
        <v/>
      </c>
      <c r="BG42" s="110">
        <f>Montagem!BN179</f>
        <v>1</v>
      </c>
      <c r="BH42" s="110">
        <f>Montagem!BO179</f>
        <v>1</v>
      </c>
      <c r="BI42" s="113"/>
      <c r="BJ42" s="111">
        <f>Montagem!BD179</f>
        <v>5</v>
      </c>
      <c r="BK42" s="111">
        <f>Montagem!BP179</f>
        <v>0</v>
      </c>
      <c r="BL42" s="111" t="str">
        <f>Montagem!BE179</f>
        <v>Abdominal Reto</v>
      </c>
      <c r="BM42" s="111" t="str">
        <f>Montagem!BQ179</f>
        <v/>
      </c>
      <c r="BN42" s="106">
        <f>IF(BM42="",BK42,BM42)</f>
        <v>0</v>
      </c>
      <c r="BO42" s="106">
        <f>IF(BK43="C",'Dados de Base'!$D$5*0.1,IF(BK43="E",5,IF(BI42="",BN42,BI42)))</f>
        <v>6.3</v>
      </c>
      <c r="BP42" s="108"/>
      <c r="BQ42" s="102" t="str">
        <f>IF(CC42="","",HYPERLINK(OFFSET(Biblioteca!$B$2,MATCH(CC42,Biblioteca!$A$3:$A$200,0),0),CC42))</f>
        <v>Extensão de Quadril com elástico</v>
      </c>
      <c r="BT42" s="109" t="str">
        <f>Montagem!BY179</f>
        <v>Bi-SET</v>
      </c>
      <c r="BU42" s="110">
        <f>Montagem!BZ179</f>
        <v>3</v>
      </c>
      <c r="BV42" s="110">
        <f>Montagem!CA179</f>
        <v>10</v>
      </c>
      <c r="BW42" s="110">
        <f>Montagem!CB179</f>
        <v>60</v>
      </c>
      <c r="BX42" s="110">
        <f>Montagem!CC179</f>
        <v>1</v>
      </c>
      <c r="BY42" s="110">
        <f>Montagem!CD179</f>
        <v>2</v>
      </c>
      <c r="BZ42" s="113"/>
      <c r="CA42" s="111">
        <f>Montagem!BS179</f>
        <v>5</v>
      </c>
      <c r="CB42" s="111">
        <f>Montagem!CE179</f>
        <v>0</v>
      </c>
      <c r="CC42" s="111" t="str">
        <f>Montagem!BT179</f>
        <v>Extensão de Quadril com elástico</v>
      </c>
      <c r="CD42" s="111" t="str">
        <f>Montagem!CF179</f>
        <v/>
      </c>
      <c r="CE42" s="106">
        <f>IF(CD42="",CB42,CD42)</f>
        <v>0</v>
      </c>
      <c r="CF42" s="106">
        <f>IF(CB43="C",'Dados de Base'!$D$5*0.1,IF(CB43="E",5,IF(BZ42="",CE42,BZ42)))</f>
        <v>5</v>
      </c>
      <c r="CG42" s="108"/>
      <c r="CH42" s="115" t="str">
        <f>IF(CT42="","",HYPERLINK(OFFSET(Biblioteca!$B$2,MATCH(CT42,Biblioteca!$A$3:$A$200,0),0),CT42))</f>
        <v/>
      </c>
      <c r="CK42" s="109" t="str">
        <f>Montagem!CN179</f>
        <v/>
      </c>
      <c r="CL42" s="110" t="str">
        <f>Montagem!CO179</f>
        <v/>
      </c>
      <c r="CM42" s="110" t="str">
        <f>Montagem!CP179</f>
        <v/>
      </c>
      <c r="CN42" s="110" t="str">
        <f>Montagem!CQ179</f>
        <v/>
      </c>
      <c r="CO42" s="110" t="str">
        <f>Montagem!CR179</f>
        <v/>
      </c>
      <c r="CP42" s="110" t="str">
        <f>Montagem!CS179</f>
        <v/>
      </c>
      <c r="CQ42" s="114"/>
      <c r="CR42" s="111">
        <f>Montagem!CH179</f>
        <v>1</v>
      </c>
      <c r="CS42" s="111" t="str">
        <f>Montagem!CT179</f>
        <v/>
      </c>
      <c r="CT42" s="111" t="str">
        <f>Montagem!CI179</f>
        <v/>
      </c>
      <c r="CU42" s="111" t="str">
        <f>Montagem!CU179</f>
        <v/>
      </c>
      <c r="CV42" s="106" t="str">
        <f>IF(CU42="",CS42,CU42)</f>
        <v/>
      </c>
      <c r="CW42" s="106" t="str">
        <f>IF(CS43="C",'Dados de Base'!$D$5*0.1,IF(CS43="E",5,IF(CQ42="",CV42,CQ42)))</f>
        <v/>
      </c>
      <c r="CX42" s="108"/>
      <c r="CY42" s="115" t="str">
        <f>IF(DK42="","",HYPERLINK(OFFSET(Biblioteca!$B$2,MATCH(DK42,Biblioteca!$A$3:$A$200,0),0),DK42))</f>
        <v/>
      </c>
      <c r="DB42" s="130" t="str">
        <f>Montagem!DC179</f>
        <v/>
      </c>
      <c r="DC42" s="131" t="str">
        <f>Montagem!DD179</f>
        <v/>
      </c>
      <c r="DD42" s="131" t="str">
        <f>Montagem!DE179</f>
        <v/>
      </c>
      <c r="DE42" s="131" t="str">
        <f>Montagem!DF179</f>
        <v/>
      </c>
      <c r="DF42" s="131" t="str">
        <f>Montagem!DG179</f>
        <v/>
      </c>
      <c r="DG42" s="131" t="str">
        <f>Montagem!DH179</f>
        <v/>
      </c>
      <c r="DH42" s="114"/>
      <c r="DI42" s="111">
        <f>Montagem!CW179</f>
        <v>1</v>
      </c>
      <c r="DJ42" s="111" t="str">
        <f>Montagem!DI179</f>
        <v/>
      </c>
      <c r="DK42" s="111" t="str">
        <f>Montagem!CX179</f>
        <v/>
      </c>
      <c r="DL42" s="111" t="str">
        <f>Montagem!DJ179</f>
        <v/>
      </c>
      <c r="DM42" s="106" t="str">
        <f>IF(DL42="",DJ42,DL42)</f>
        <v/>
      </c>
      <c r="DN42" s="106" t="str">
        <f>IF(DJ43="C",'Dados de Base'!$D$5*0.1,IF(DJ43="E",5,IF(DH42="",DM42,DH42)))</f>
        <v/>
      </c>
      <c r="DO42" s="108"/>
      <c r="DP42" s="106"/>
      <c r="DQ42" s="106"/>
      <c r="DR42" s="106"/>
      <c r="DS42" s="106"/>
      <c r="DT42" s="106"/>
      <c r="DU42" s="106"/>
      <c r="DV42" s="106"/>
      <c r="DW42" s="106"/>
      <c r="DX42" s="106"/>
      <c r="DY42" s="106"/>
    </row>
    <row r="43">
      <c r="A43" s="117" t="str">
        <f>IF(A42="","",IFS(L43="A",Montagem!$C$180,N43="T","Realizar a maior quantidade de repetições por "&amp;F42&amp;" segundos | ",N43="I",IF(M43="U","Manter a posição por "&amp;F42&amp;" segundos de um lado e trocar para o outro na sequência | ","Manter a posição por "&amp;F42&amp;" segundos | "),M43="A","Realizar alternadamente "&amp;F42&amp;" repetições cada lado | ",M43="U","Realizar "&amp;F42&amp;" repetições de um lado e trocar para o outro na sequência | ",L43="P",OFFSET(Biblioteca!$H$2,MATCH(M42,Biblioteca!$A$3:$A$200,0),0),TRUE,"")&amp;IF(N43="R","Ajuste a carga para que tenha "&amp;$K$2&amp;" repetições de reserva",""))</f>
        <v>Ajuste a carga para que tenha 0 a 2 repetições de reserva</v>
      </c>
      <c r="E43" s="118" t="str">
        <f>IF(A42="","",IFS(L43="H","Carga Sugerida: "&amp;ROUNDUP(O42/2,0)&amp;" kg de cada lado (Total: "&amp;ROUNDUP(O42/2,0)*2&amp;" kg)",L43="C","Este exercício usa o Peso Corporal como carga",L43="E","Este exercício usa a resistência da banda elástica como carga",L43="O","Carga Sugerida: "&amp;INT(O42)&amp;" kg",TRUE,""))</f>
        <v>Carga Sugerida: 22 kg</v>
      </c>
      <c r="J43" s="66"/>
      <c r="K43" s="106">
        <f>K42</f>
        <v>6</v>
      </c>
      <c r="L43" s="120" t="str">
        <f>LEFT(O43)</f>
        <v>O</v>
      </c>
      <c r="M43" s="121" t="str">
        <f>MID(O43,2,1)</f>
        <v>O</v>
      </c>
      <c r="N43" s="122" t="str">
        <f>RIGHT(O43)</f>
        <v>R</v>
      </c>
      <c r="O43" s="123" t="str">
        <f>IF(M42="","",OFFSET(Biblioteca!$I$2,MATCH(M42,Biblioteca!$A$3:$A$200,0),0))</f>
        <v>OOR</v>
      </c>
      <c r="P43" s="124"/>
      <c r="Q43" s="125"/>
      <c r="R43" s="117" t="str">
        <f>IF(R42="","",IFS(AC43="A",Montagem!$D$180,AE43="T","Realizar a maior quantidade de repetições por "&amp;W42&amp;" segundos | ",AE43="I",IF(AD43="U","Manter a posição por "&amp;W42&amp;" segundos de um lado e trocar para o outro na sequência | ","Manter a posição por "&amp;W42&amp;" segundos | "),AD43="A","Realizar alternadamente "&amp;W42&amp;" repetições cada lado | ",AD43="U","Realizar "&amp;W42&amp;" repetições de um lado e trocar para o outro na sequência | ",AC43="P",OFFSET(Biblioteca!$H$2,MATCH(AD42,Biblioteca!$A$3:$A$200,0),0),TRUE,"")&amp;IF(AE43="R","Ajuste a carga para que tenha "&amp;$K$2&amp;" repetições de reserva",""))</f>
        <v>Ajuste a carga para que tenha 0 a 2 repetições de reserva</v>
      </c>
      <c r="V43" s="118" t="str">
        <f>IF(R42="","",IFS(AC43="H","Carga Sugerida: "&amp;ROUNDUP(AF42/2,0)&amp;" kg de cada lado (Total: "&amp;ROUNDUP(AF42/2,0)*2&amp;" kg)",AC43="C","Este exercício usa o Peso Corporal como carga",AC43="E","Este exercício usa a resistência da banda elástica como carga",AC43="O","Carga Sugerida: "&amp;INT(AF42)&amp;" kg",TRUE,""))</f>
        <v>Carga Sugerida: 243 kg</v>
      </c>
      <c r="AA43" s="66"/>
      <c r="AB43" s="126">
        <f>AB42</f>
        <v>6</v>
      </c>
      <c r="AC43" s="120" t="str">
        <f>LEFT(AF43)</f>
        <v>O</v>
      </c>
      <c r="AD43" s="121" t="str">
        <f>MID(AF43,2,1)</f>
        <v>O</v>
      </c>
      <c r="AE43" s="122" t="str">
        <f>RIGHT(AF43)</f>
        <v>R</v>
      </c>
      <c r="AF43" s="123" t="str">
        <f>IF(AD42="","",OFFSET(Biblioteca!$I$2,MATCH(AD42,Biblioteca!$A$3:$A$200,0),0))</f>
        <v>OOR</v>
      </c>
      <c r="AG43" s="124"/>
      <c r="AH43" s="125"/>
      <c r="AI43" s="117" t="str">
        <f>IF(AI42="","",IFS(AT43="A",Montagem!$E$180,AV43="T","Realizar a maior quantidade de repetições por "&amp;AN42&amp;" segundos | ",AV43="I",IF(AU43="U","Manter a posição por "&amp;AN42&amp;" segundos de um lado e trocar para o outro na sequência | ","Manter a posição por "&amp;AN42&amp;" segundos | "),AU43="A","Realizar alternadamente "&amp;AN42&amp;" repetições cada lado | ",AU43="U","Realizar "&amp;AN42&amp;" repetições de um lado e trocar para o outro na sequência | ",AT43="P",OFFSET(Biblioteca!$H$2,MATCH(AU42,Biblioteca!$A$3:$A$200,0),0),TRUE,"")&amp;IF(AV43="R","Ajuste a carga para que tenha "&amp;$K$2&amp;" repetições de reserva",""))</f>
        <v/>
      </c>
      <c r="AM43" s="118" t="str">
        <f>IF(AI42="","",IFS(AT43="H","Carga Sugerida: "&amp;ROUNDUP(AW42/2,0)&amp;" kg de cada lado (Total: "&amp;ROUNDUP(AW42/2,0)*2&amp;" kg)",AT43="C","Este exercício usa o Peso Corporal como carga",AT43="E","Este exercício usa a resistência da banda elástica como carga",AT43="O","Carga Sugerida: "&amp;INT(AW42)&amp;" kg",TRUE,""))</f>
        <v/>
      </c>
      <c r="AR43" s="66"/>
      <c r="AS43" s="126">
        <f>AS42</f>
        <v>1</v>
      </c>
      <c r="AT43" s="120" t="str">
        <f>LEFT(AW43)</f>
        <v/>
      </c>
      <c r="AU43" s="121" t="str">
        <f>MID(AW43,2,1)</f>
        <v/>
      </c>
      <c r="AV43" s="122" t="str">
        <f>RIGHT(AW43)</f>
        <v/>
      </c>
      <c r="AW43" s="123" t="str">
        <f>IF(AU42="","",OFFSET(Biblioteca!$I$2,MATCH(AU42,Biblioteca!$A$3:$A$200,0),0))</f>
        <v/>
      </c>
      <c r="AX43" s="124"/>
      <c r="AY43" s="125"/>
      <c r="AZ43" s="117" t="str">
        <f>IF(AZ42="","",IFS(BK43="A",Montagem!$F$180,BM43="T","Realizar a maior quantidade de repetições por "&amp;BE42&amp;" segundos | ",BM43="I",IF(BL43="U","Manter a posição por "&amp;BE42&amp;" segundos de um lado e trocar para o outro na sequência | ","Manter a posição por "&amp;BE42&amp;" segundos | "),BL43="A","Realizar alternadamente "&amp;BE42&amp;" repetições cada lado | ",BL43="U","Realizar "&amp;BE42&amp;" repetições de um lado e trocar para o outro na sequência | ",BK43="P",OFFSET(Biblioteca!$H$2,MATCH(BL42,Biblioteca!$A$3:$A$200,0),0),TRUE,"")&amp;IF(BM43="R","Ajuste a carga para que tenha "&amp;$K$2&amp;" repetições de reserva",""))</f>
        <v>Ajuste a carga para que tenha 0 a 2 repetições de reserva</v>
      </c>
      <c r="BD43" s="118" t="str">
        <f>IF(AZ42="","",IFS(BK43="H","Carga Sugerida: "&amp;ROUNDUP(BN42/2,0)&amp;" kg de cada lado (Total: "&amp;ROUNDUP(BN42/2,0)*2&amp;" kg)",BK43="C","Este exercício usa o Peso Corporal como carga",BK43="E","Este exercício usa a resistência da banda elástica como carga",BK43="O","Carga Sugerida: "&amp;INT(BN42)&amp;" kg",TRUE,""))</f>
        <v>Este exercício usa o Peso Corporal como carga</v>
      </c>
      <c r="BI43" s="66"/>
      <c r="BJ43" s="126">
        <f>BJ42</f>
        <v>5</v>
      </c>
      <c r="BK43" s="120" t="str">
        <f>LEFT(BN43)</f>
        <v>C</v>
      </c>
      <c r="BL43" s="121" t="str">
        <f>MID(BN43,2,1)</f>
        <v>O</v>
      </c>
      <c r="BM43" s="122" t="str">
        <f>RIGHT(BN43)</f>
        <v>R</v>
      </c>
      <c r="BN43" s="123" t="str">
        <f>IF(BL42="","",OFFSET(Biblioteca!$I$2,MATCH(BL42,Biblioteca!$A$3:$A$200,0),0))</f>
        <v>COR</v>
      </c>
      <c r="BO43" s="124"/>
      <c r="BP43" s="125"/>
      <c r="BQ43" s="117" t="str">
        <f>IF(BQ42="","",IFS(CB43="A",Montagem!$G$180,CD43="T","Realizar a maior quantidade de repetições por "&amp;BV42&amp;" segundos | ",CD43="I",IF(CC43="U","Manter a posição por "&amp;BV42&amp;" segundos de um lado e trocar para o outro na sequência | ","Manter a posição por "&amp;BV42&amp;" segundos | "),CC43="A","Realizar alternadamente "&amp;BV42&amp;" repetições cada lado | ",CC43="U","Realizar "&amp;BV42&amp;" repetições de um lado e trocar para o outro na sequência | ",CB43="P",OFFSET(Biblioteca!$H$2,MATCH(CC42,Biblioteca!$A$3:$A$200,0),0),TRUE,"")&amp;IF(CD43="R","Ajuste a carga para que tenha "&amp;$K$2&amp;" repetições de reserva",""))</f>
        <v>Realizar 10 repetições de um lado e trocar para o outro na sequência | Ajuste a carga para que tenha 0 a 2 repetições de reserva</v>
      </c>
      <c r="BU43" s="118" t="str">
        <f>IF(BQ42="","",IFS(CB43="H","Carga Sugerida: "&amp;ROUNDUP(CE42/2,0)&amp;" kg de cada lado (Total: "&amp;ROUNDUP(CE42/2,0)*2&amp;" kg)",CB43="C","Este exercício usa o Peso Corporal como carga",CB43="E","Este exercício usa a resistência da banda elástica como carga",CB43="O","Carga Sugerida: "&amp;INT(CE42)&amp;" kg",TRUE,""))</f>
        <v>Este exercício usa a resistência da banda elástica como carga</v>
      </c>
      <c r="BZ43" s="66"/>
      <c r="CA43" s="126">
        <f>CA42</f>
        <v>5</v>
      </c>
      <c r="CB43" s="120" t="str">
        <f>LEFT(CE43)</f>
        <v>E</v>
      </c>
      <c r="CC43" s="121" t="str">
        <f>MID(CE43,2,1)</f>
        <v>U</v>
      </c>
      <c r="CD43" s="122" t="str">
        <f>RIGHT(CE43)</f>
        <v>R</v>
      </c>
      <c r="CE43" s="123" t="str">
        <f>IF(CC42="","",OFFSET(Biblioteca!$I$2,MATCH(CC42,Biblioteca!$A$3:$A$200,0),0))</f>
        <v>EUR</v>
      </c>
      <c r="CF43" s="124"/>
      <c r="CG43" s="125"/>
      <c r="CH43" s="117" t="str">
        <f>IF(CH42="","",IFS(CS43="A",Montagem!$H$180,CU43="T","Realizar a maior quantidade de repetições por "&amp;CM42&amp;" segundos | ",CU43="I",IF(CT43="U","Manter a posição por "&amp;CM42&amp;" segundos de um lado e trocar para o outro na sequência | ","Manter a posição por "&amp;CM42&amp;" segundos | "),CT43="A","Realizar alternadamente "&amp;CM42&amp;" repetições cada lado | ",CT43="U","Realizar "&amp;CM42&amp;" repetições de um lado e trocar para o outro na sequência | ",CS43="P",OFFSET(Biblioteca!$H$2,MATCH(CT42,Biblioteca!$A$3:$A$200,0),0),TRUE,"")&amp;IF(CU43="R","Ajuste a carga para que tenha "&amp;$K$2&amp;" repetições de reserva",""))</f>
        <v/>
      </c>
      <c r="CL43" s="118" t="str">
        <f>IF(CH42="","",IFS(CS43="H","Carga Sugerida: "&amp;ROUNDUP(CV42/2,0)&amp;" kg de cada lado (Total: "&amp;ROUNDUP(CV42/2,0)*2&amp;" kg)",CS43="C","Este exercício usa o Peso Corporal como carga",CS43="E","Este exercício usa a resistência da banda elástica como carga",CS43="O","Carga Sugerida: "&amp;INT(CV42)&amp;" kg",TRUE,""))</f>
        <v/>
      </c>
      <c r="CQ43" s="66"/>
      <c r="CR43" s="126">
        <f>CR42</f>
        <v>1</v>
      </c>
      <c r="CS43" s="120" t="str">
        <f>LEFT(CV43)</f>
        <v/>
      </c>
      <c r="CT43" s="121" t="str">
        <f>MID(CV43,2,1)</f>
        <v/>
      </c>
      <c r="CU43" s="122" t="str">
        <f>RIGHT(CV43)</f>
        <v/>
      </c>
      <c r="CV43" s="123" t="str">
        <f>IF(CT42="","",OFFSET(Biblioteca!$I$2,MATCH(CT42,Biblioteca!$A$3:$A$200,0),0))</f>
        <v/>
      </c>
      <c r="CW43" s="124"/>
      <c r="CX43" s="125"/>
      <c r="CY43" s="117" t="str">
        <f>IF(CY42="","",IFS(DJ43="A",Montagem!$I$180,DL43="T","Realizar a maior quantidade de repetições por "&amp;DD42&amp;" segundos | ",DL43="I",IF(DK43="U","Manter a posição por "&amp;DD42&amp;" segundos de um lado e trocar para o outro na sequência | ","Manter a posição por "&amp;DD42&amp;" segundos | "),DK43="A","Realizar alternadamente "&amp;DD42&amp;" repetições cada lado | ",DK43="U","Realizar "&amp;DD42&amp;" repetições de um lado e trocar para o outro na sequência | ",DJ43="P",OFFSET(Biblioteca!$H$2,MATCH(DK42,Biblioteca!$A$3:$A$200,0),0),TRUE,"")&amp;IF(DL43="R","Ajuste a carga para que tenha "&amp;$K$2&amp;" repetições de reserva",""))</f>
        <v/>
      </c>
      <c r="DC43" s="118" t="str">
        <f>IF(CY42="","",IFS(DJ43="H","Carga Sugerida: "&amp;ROUNDUP(DM42/2,0)&amp;" kg de cada lado (Total: "&amp;ROUNDUP(DM42/2,0)*2&amp;" kg)",DJ43="C","Este exercício usa o Peso Corporal como carga",DJ43="E","Este exercício usa a resistência da banda elástica como carga",DJ43="O","Carga Sugerida: "&amp;INT(DM42)&amp;" kg",TRUE,""))</f>
        <v/>
      </c>
      <c r="DH43" s="66"/>
      <c r="DI43" s="126">
        <f>DI42</f>
        <v>1</v>
      </c>
      <c r="DJ43" s="120" t="str">
        <f>LEFT(DM43)</f>
        <v/>
      </c>
      <c r="DK43" s="121" t="str">
        <f>MID(DM43,2,1)</f>
        <v/>
      </c>
      <c r="DL43" s="122" t="str">
        <f>RIGHT(DM43)</f>
        <v/>
      </c>
      <c r="DM43" s="123" t="str">
        <f>IF(DK42="","",OFFSET(Biblioteca!$I$2,MATCH(DK42,Biblioteca!$A$3:$A$200,0),0))</f>
        <v/>
      </c>
      <c r="DN43" s="124"/>
      <c r="DO43" s="125"/>
      <c r="DP43" s="57"/>
      <c r="DQ43" s="56"/>
      <c r="DR43" s="56"/>
      <c r="DS43" s="56"/>
      <c r="DT43" s="56"/>
      <c r="DU43" s="56"/>
      <c r="DV43" s="56"/>
      <c r="DW43" s="56"/>
      <c r="DX43" s="56"/>
      <c r="DY43" s="56"/>
    </row>
    <row r="44">
      <c r="A44" s="115" t="str">
        <f>IF(M44="","",HYPERLINK(OFFSET(Biblioteca!$B$2,MATCH(M44,Biblioteca!$A$3:$A$200,0),0),M44))</f>
        <v>Esteira</v>
      </c>
      <c r="D44" s="103" t="str">
        <f>Montagem!Q180</f>
        <v/>
      </c>
      <c r="E44" s="104" t="str">
        <f>Montagem!R180</f>
        <v/>
      </c>
      <c r="F44" s="104" t="str">
        <f>Montagem!S180</f>
        <v/>
      </c>
      <c r="G44" s="104">
        <f>Montagem!T180</f>
        <v>60</v>
      </c>
      <c r="H44" s="104" t="str">
        <f>Montagem!U180</f>
        <v/>
      </c>
      <c r="I44" s="132" t="str">
        <f>Montagem!V180</f>
        <v/>
      </c>
      <c r="J44" s="105"/>
      <c r="K44" s="106">
        <f>Montagem!K180</f>
        <v>7</v>
      </c>
      <c r="L44" s="111">
        <f>Montagem!W180</f>
        <v>0</v>
      </c>
      <c r="M44" s="111" t="str">
        <f>Montagem!L180</f>
        <v>Esteira</v>
      </c>
      <c r="N44" s="111" t="str">
        <f>Montagem!X180</f>
        <v/>
      </c>
      <c r="O44" s="106">
        <f>IF(N44="",L44,N44)</f>
        <v>0</v>
      </c>
      <c r="P44" s="106">
        <f>IF(L45="C",'Dados de Base'!$D$5*0.1,IF(L45="E",5,IF(J44="",O44,J44)))</f>
        <v>0</v>
      </c>
      <c r="Q44" s="108"/>
      <c r="R44" s="115" t="str">
        <f>IF(AD44="","",HYPERLINK(OFFSET(Biblioteca!$B$2,MATCH(AD44,Biblioteca!$A$3:$A$200,0),0),AD44))</f>
        <v>Bicicleta</v>
      </c>
      <c r="U44" s="109" t="str">
        <f>Montagem!AF180</f>
        <v/>
      </c>
      <c r="V44" s="110" t="str">
        <f>Montagem!AG180</f>
        <v/>
      </c>
      <c r="W44" s="110" t="str">
        <f>Montagem!AH180</f>
        <v/>
      </c>
      <c r="X44" s="110">
        <f>Montagem!AI180</f>
        <v>60</v>
      </c>
      <c r="Y44" s="110" t="str">
        <f>Montagem!AJ180</f>
        <v/>
      </c>
      <c r="Z44" s="110" t="str">
        <f>Montagem!AK180</f>
        <v/>
      </c>
      <c r="AA44" s="113"/>
      <c r="AB44" s="111">
        <f>Montagem!Z180</f>
        <v>7</v>
      </c>
      <c r="AC44" s="111">
        <f>Montagem!AL180</f>
        <v>0</v>
      </c>
      <c r="AD44" s="129" t="str">
        <f>Montagem!AA180</f>
        <v>Bicicleta</v>
      </c>
      <c r="AE44" s="111" t="str">
        <f>Montagem!AM180</f>
        <v/>
      </c>
      <c r="AF44" s="106">
        <f>IF(AE44="",AC44,AE44)</f>
        <v>0</v>
      </c>
      <c r="AG44" s="106">
        <f>IF(AC45="C",'Dados de Base'!$D$5*0.1,IF(AC45="E",5,IF(AA44="",AF44,AA44)))</f>
        <v>0</v>
      </c>
      <c r="AH44" s="108"/>
      <c r="AI44" s="115" t="str">
        <f>IF(AU44="","",HYPERLINK(OFFSET(Biblioteca!$B$2,MATCH(AU44,Biblioteca!$A$3:$A$200,0),0),AU44))</f>
        <v/>
      </c>
      <c r="AL44" s="109" t="str">
        <f>Montagem!AU180</f>
        <v/>
      </c>
      <c r="AM44" s="110" t="str">
        <f>Montagem!AV180</f>
        <v/>
      </c>
      <c r="AN44" s="110" t="str">
        <f>Montagem!AW180</f>
        <v/>
      </c>
      <c r="AO44" s="110" t="str">
        <f>Montagem!AX180</f>
        <v/>
      </c>
      <c r="AP44" s="110" t="str">
        <f>Montagem!AY180</f>
        <v/>
      </c>
      <c r="AQ44" s="110" t="str">
        <f>Montagem!AZ180</f>
        <v/>
      </c>
      <c r="AR44" s="114"/>
      <c r="AS44" s="111">
        <f>Montagem!AO180</f>
        <v>1</v>
      </c>
      <c r="AT44" s="111" t="str">
        <f>Montagem!BA180</f>
        <v/>
      </c>
      <c r="AU44" s="111" t="str">
        <f>Montagem!AP180</f>
        <v/>
      </c>
      <c r="AV44" s="111" t="str">
        <f>Montagem!BB180</f>
        <v/>
      </c>
      <c r="AW44" s="106" t="str">
        <f>IF(AV44="",AT44,AV44)</f>
        <v/>
      </c>
      <c r="AX44" s="106" t="str">
        <f>IF(AT45="C",'Dados de Base'!$D$5*0.1,IF(AT45="E",5,IF(AR44="",AW44,AR44)))</f>
        <v/>
      </c>
      <c r="AY44" s="108"/>
      <c r="AZ44" s="102" t="str">
        <f>IF(BL44="","",HYPERLINK(OFFSET(Biblioteca!$B$2,MATCH(BL44,Biblioteca!$A$3:$A$200,0),0),BL44))</f>
        <v>Abdominal canoa lateral</v>
      </c>
      <c r="BC44" s="109" t="str">
        <f>Montagem!BJ180</f>
        <v>Tri-SET</v>
      </c>
      <c r="BD44" s="110">
        <f>Montagem!BK180</f>
        <v>3</v>
      </c>
      <c r="BE44" s="110">
        <f>Montagem!BL180</f>
        <v>15</v>
      </c>
      <c r="BF44" s="110" t="str">
        <f>Montagem!BM180</f>
        <v/>
      </c>
      <c r="BG44" s="110">
        <f>Montagem!BN180</f>
        <v>1</v>
      </c>
      <c r="BH44" s="110">
        <f>Montagem!BO180</f>
        <v>1</v>
      </c>
      <c r="BI44" s="113"/>
      <c r="BJ44" s="111">
        <f>Montagem!BD180</f>
        <v>5</v>
      </c>
      <c r="BK44" s="111">
        <f>Montagem!BP180</f>
        <v>0</v>
      </c>
      <c r="BL44" s="111" t="str">
        <f>Montagem!BE180</f>
        <v>Abdominal canoa lateral</v>
      </c>
      <c r="BM44" s="111" t="str">
        <f>Montagem!BQ180</f>
        <v/>
      </c>
      <c r="BN44" s="106">
        <f>IF(BM44="",BK44,BM44)</f>
        <v>0</v>
      </c>
      <c r="BO44" s="106">
        <f>IF(BK45="C",'Dados de Base'!$D$5*0.1,IF(BK45="E",5,IF(BI44="",BN44,BI44)))</f>
        <v>6.3</v>
      </c>
      <c r="BP44" s="108"/>
      <c r="BQ44" s="102" t="str">
        <f>IF(CC44="","",HYPERLINK(OFFSET(Biblioteca!$B$2,MATCH(CC44,Biblioteca!$A$3:$A$200,0),0),CC44))</f>
        <v>Abdominal infra no solo</v>
      </c>
      <c r="BT44" s="109" t="str">
        <f>Montagem!BY180</f>
        <v>Bi-SET</v>
      </c>
      <c r="BU44" s="110">
        <f>Montagem!BZ180</f>
        <v>3</v>
      </c>
      <c r="BV44" s="110">
        <f>Montagem!CA180</f>
        <v>15</v>
      </c>
      <c r="BW44" s="110" t="str">
        <f>Montagem!CB180</f>
        <v/>
      </c>
      <c r="BX44" s="110">
        <f>Montagem!CC180</f>
        <v>1</v>
      </c>
      <c r="BY44" s="110">
        <f>Montagem!CD180</f>
        <v>1</v>
      </c>
      <c r="BZ44" s="113"/>
      <c r="CA44" s="111">
        <f>Montagem!BS180</f>
        <v>6</v>
      </c>
      <c r="CB44" s="111">
        <f>Montagem!CE180</f>
        <v>0</v>
      </c>
      <c r="CC44" s="111" t="str">
        <f>Montagem!BT180</f>
        <v>Abdominal infra no solo</v>
      </c>
      <c r="CD44" s="111" t="str">
        <f>Montagem!CF180</f>
        <v/>
      </c>
      <c r="CE44" s="106">
        <f>IF(CD44="",CB44,CD44)</f>
        <v>0</v>
      </c>
      <c r="CF44" s="106">
        <f>IF(CB45="C",'Dados de Base'!$D$5*0.1,IF(CB45="E",5,IF(BZ44="",CE44,BZ44)))</f>
        <v>6.3</v>
      </c>
      <c r="CG44" s="108"/>
      <c r="CH44" s="115" t="str">
        <f>IF(CT44="","",HYPERLINK(OFFSET(Biblioteca!$B$2,MATCH(CT44,Biblioteca!$A$3:$A$200,0),0),CT44))</f>
        <v/>
      </c>
      <c r="CK44" s="109" t="str">
        <f>Montagem!CN180</f>
        <v/>
      </c>
      <c r="CL44" s="110" t="str">
        <f>Montagem!CO180</f>
        <v/>
      </c>
      <c r="CM44" s="110" t="str">
        <f>Montagem!CP180</f>
        <v/>
      </c>
      <c r="CN44" s="110" t="str">
        <f>Montagem!CQ180</f>
        <v/>
      </c>
      <c r="CO44" s="110" t="str">
        <f>Montagem!CR180</f>
        <v/>
      </c>
      <c r="CP44" s="110" t="str">
        <f>Montagem!CS180</f>
        <v/>
      </c>
      <c r="CQ44" s="114"/>
      <c r="CR44" s="111">
        <f>Montagem!CH180</f>
        <v>1</v>
      </c>
      <c r="CS44" s="111" t="str">
        <f>Montagem!CT180</f>
        <v/>
      </c>
      <c r="CT44" s="111" t="str">
        <f>Montagem!CI180</f>
        <v/>
      </c>
      <c r="CU44" s="111" t="str">
        <f>Montagem!CU180</f>
        <v/>
      </c>
      <c r="CV44" s="106" t="str">
        <f>IF(CU44="",CS44,CU44)</f>
        <v/>
      </c>
      <c r="CW44" s="106" t="str">
        <f>IF(CS45="C",'Dados de Base'!$D$5*0.1,IF(CS45="E",5,IF(CQ44="",CV44,CQ44)))</f>
        <v/>
      </c>
      <c r="CX44" s="108"/>
      <c r="CY44" s="115" t="str">
        <f>IF(DK44="","",HYPERLINK(OFFSET(Biblioteca!$B$2,MATCH(DK44,Biblioteca!$A$3:$A$200,0),0),DK44))</f>
        <v/>
      </c>
      <c r="DB44" s="130" t="str">
        <f>Montagem!DC180</f>
        <v/>
      </c>
      <c r="DC44" s="131" t="str">
        <f>Montagem!DD180</f>
        <v/>
      </c>
      <c r="DD44" s="131" t="str">
        <f>Montagem!DE180</f>
        <v/>
      </c>
      <c r="DE44" s="131" t="str">
        <f>Montagem!DF180</f>
        <v/>
      </c>
      <c r="DF44" s="131" t="str">
        <f>Montagem!DG180</f>
        <v/>
      </c>
      <c r="DG44" s="131" t="str">
        <f>Montagem!DH180</f>
        <v/>
      </c>
      <c r="DH44" s="114"/>
      <c r="DI44" s="111">
        <f>Montagem!CW180</f>
        <v>1</v>
      </c>
      <c r="DJ44" s="111" t="str">
        <f>Montagem!DI180</f>
        <v/>
      </c>
      <c r="DK44" s="111" t="str">
        <f>Montagem!CX180</f>
        <v/>
      </c>
      <c r="DL44" s="111" t="str">
        <f>Montagem!DJ180</f>
        <v/>
      </c>
      <c r="DM44" s="106" t="str">
        <f>IF(DL44="",DJ44,DL44)</f>
        <v/>
      </c>
      <c r="DN44" s="106" t="str">
        <f>IF(DJ45="C",'Dados de Base'!$D$5*0.1,IF(DJ45="E",5,IF(DH44="",DM44,DH44)))</f>
        <v/>
      </c>
      <c r="DO44" s="108"/>
      <c r="DP44" s="106"/>
      <c r="DQ44" s="106"/>
      <c r="DR44" s="106"/>
      <c r="DS44" s="106"/>
      <c r="DT44" s="106"/>
      <c r="DU44" s="106"/>
      <c r="DV44" s="106"/>
      <c r="DW44" s="106"/>
      <c r="DX44" s="106"/>
      <c r="DY44" s="106"/>
    </row>
    <row r="45">
      <c r="A45" s="117" t="str">
        <f>IF(A44="","",IFS(L45="A",Montagem!$C$180,N45="T","Realizar a maior quantidade de repetições por "&amp;F44&amp;" segundos | ",N45="I",IF(M45="U","Manter a posição por "&amp;F44&amp;" segundos de um lado e trocar para o outro na sequência | ","Manter a posição por "&amp;F44&amp;" segundos | "),M45="A","Realizar alternadamente "&amp;F44&amp;" repetições cada lado | ",M45="U","Realizar "&amp;F44&amp;" repetições de um lado e trocar para o outro na sequência | ",L45="P",OFFSET(Biblioteca!$H$2,MATCH(M44,Biblioteca!$A$3:$A$200,0),0),TRUE,"")&amp;IF(N45="R","Ajuste a carga para que tenha "&amp;$K$2&amp;" repetições de reserva",""))</f>
        <v>1x (3m a 142,95 - 148,3 bpm-&gt; 15,4 - 16,4km/h)</v>
      </c>
      <c r="E45" s="118" t="str">
        <f>IF(A44="","",IFS(L45="H","Carga Sugerida: "&amp;ROUNDUP(O44/2,0)&amp;" kg de cada lado (Total: "&amp;ROUNDUP(O44/2,0)*2&amp;" kg)",L45="C","Este exercício usa o Peso Corporal como carga",L45="E","Este exercício usa a resistência da banda elástica como carga",L45="O","Carga Sugerida: "&amp;INT(O44)&amp;" kg",TRUE,""))</f>
        <v/>
      </c>
      <c r="J45" s="66"/>
      <c r="K45" s="106">
        <f>K44</f>
        <v>7</v>
      </c>
      <c r="L45" s="120" t="str">
        <f>LEFT(O45)</f>
        <v>A</v>
      </c>
      <c r="M45" s="121" t="str">
        <f>MID(O45,2,1)</f>
        <v>-</v>
      </c>
      <c r="N45" s="122" t="str">
        <f>RIGHT(O45)</f>
        <v>-</v>
      </c>
      <c r="O45" s="123" t="str">
        <f>IF(M44="","",OFFSET(Biblioteca!$I$2,MATCH(M44,Biblioteca!$A$3:$A$200,0),0))</f>
        <v>A--</v>
      </c>
      <c r="P45" s="124"/>
      <c r="Q45" s="125"/>
      <c r="R45" s="117" t="str">
        <f>IF(R44="","",IFS(AC45="A",Montagem!$D$180,AE45="T","Realizar a maior quantidade de repetições por "&amp;W44&amp;" segundos | ",AE45="I",IF(AD45="U","Manter a posição por "&amp;W44&amp;" segundos de um lado e trocar para o outro na sequência | ","Manter a posição por "&amp;W44&amp;" segundos | "),AD45="A","Realizar alternadamente "&amp;W44&amp;" repetições cada lado | ",AD45="U","Realizar "&amp;W44&amp;" repetições de um lado e trocar para o outro na sequência | ",AC45="P",OFFSET(Biblioteca!$H$2,MATCH(AD44,Biblioteca!$A$3:$A$200,0),0),TRUE,"")&amp;IF(AE45="R","Ajuste a carga para que tenha "&amp;$K$2&amp;" repetições de reserva",""))</f>
        <v>1x (3m all out)</v>
      </c>
      <c r="V45" s="118" t="str">
        <f>IF(R44="","",IFS(AC45="H","Carga Sugerida: "&amp;ROUNDUP(AF44/2,0)&amp;" kg de cada lado (Total: "&amp;ROUNDUP(AF44/2,0)*2&amp;" kg)",AC45="C","Este exercício usa o Peso Corporal como carga",AC45="E","Este exercício usa a resistência da banda elástica como carga",AC45="O","Carga Sugerida: "&amp;INT(AF44)&amp;" kg",TRUE,""))</f>
        <v/>
      </c>
      <c r="AA45" s="66"/>
      <c r="AB45" s="126">
        <f>AB44</f>
        <v>7</v>
      </c>
      <c r="AC45" s="120" t="str">
        <f>LEFT(AF45)</f>
        <v>A</v>
      </c>
      <c r="AD45" s="121" t="str">
        <f>MID(AF45,2,1)</f>
        <v>-</v>
      </c>
      <c r="AE45" s="122" t="str">
        <f>RIGHT(AF45)</f>
        <v>-</v>
      </c>
      <c r="AF45" s="123" t="str">
        <f>IF(AD44="","",OFFSET(Biblioteca!$I$2,MATCH(AD44,Biblioteca!$A$3:$A$200,0),0))</f>
        <v>A--</v>
      </c>
      <c r="AG45" s="124"/>
      <c r="AH45" s="125"/>
      <c r="AI45" s="117" t="str">
        <f>IF(AI44="","",IFS(AT45="A",Montagem!$E$180,AV45="T","Realizar a maior quantidade de repetições por "&amp;AN44&amp;" segundos | ",AV45="I",IF(AU45="U","Manter a posição por "&amp;AN44&amp;" segundos de um lado e trocar para o outro na sequência | ","Manter a posição por "&amp;AN44&amp;" segundos | "),AU45="A","Realizar alternadamente "&amp;AN44&amp;" repetições cada lado | ",AU45="U","Realizar "&amp;AN44&amp;" repetições de um lado e trocar para o outro na sequência | ",AT45="P",OFFSET(Biblioteca!$H$2,MATCH(AU44,Biblioteca!$A$3:$A$200,0),0),TRUE,"")&amp;IF(AV45="R","Ajuste a carga para que tenha "&amp;$K$2&amp;" repetições de reserva",""))</f>
        <v/>
      </c>
      <c r="AM45" s="118" t="str">
        <f>IF(AI44="","",IFS(AT45="H","Carga Sugerida: "&amp;ROUNDUP(AW44/2,0)&amp;" kg de cada lado (Total: "&amp;ROUNDUP(AW44/2,0)*2&amp;" kg)",AT45="C","Este exercício usa o Peso Corporal como carga",AT45="E","Este exercício usa a resistência da banda elástica como carga",AT45="O","Carga Sugerida: "&amp;INT(AW44)&amp;" kg",TRUE,""))</f>
        <v/>
      </c>
      <c r="AR45" s="66"/>
      <c r="AS45" s="126">
        <f>AS44</f>
        <v>1</v>
      </c>
      <c r="AT45" s="120" t="str">
        <f>LEFT(AW45)</f>
        <v/>
      </c>
      <c r="AU45" s="121" t="str">
        <f>MID(AW45,2,1)</f>
        <v/>
      </c>
      <c r="AV45" s="122" t="str">
        <f>RIGHT(AW45)</f>
        <v/>
      </c>
      <c r="AW45" s="123" t="str">
        <f>IF(AU44="","",OFFSET(Biblioteca!$I$2,MATCH(AU44,Biblioteca!$A$3:$A$200,0),0))</f>
        <v/>
      </c>
      <c r="AX45" s="124"/>
      <c r="AY45" s="125"/>
      <c r="AZ45" s="117" t="str">
        <f>IF(AZ44="","",IFS(BK45="A",Montagem!$F$180,BM45="T","Realizar a maior quantidade de repetições por "&amp;BE44&amp;" segundos | ",BM45="I",IF(BL45="U","Manter a posição por "&amp;BE44&amp;" segundos de um lado e trocar para o outro na sequência | ","Manter a posição por "&amp;BE44&amp;" segundos | "),BL45="A","Realizar alternadamente "&amp;BE44&amp;" repetições cada lado | ",BL45="U","Realizar "&amp;BE44&amp;" repetições de um lado e trocar para o outro na sequência | ",BK45="P",OFFSET(Biblioteca!$H$2,MATCH(BL44,Biblioteca!$A$3:$A$200,0),0),TRUE,"")&amp;IF(BM45="R","Ajuste a carga para que tenha "&amp;$K$2&amp;" repetições de reserva",""))</f>
        <v>Realizar 15 repetições de um lado e trocar para o outro na sequência | Ajuste a carga para que tenha 0 a 2 repetições de reserva</v>
      </c>
      <c r="BD45" s="118" t="str">
        <f>IF(AZ44="","",IFS(BK45="H","Carga Sugerida: "&amp;ROUNDUP(BN44/2,0)&amp;" kg de cada lado (Total: "&amp;ROUNDUP(BN44/2,0)*2&amp;" kg)",BK45="C","Este exercício usa o Peso Corporal como carga",BK45="E","Este exercício usa a resistência da banda elástica como carga",BK45="O","Carga Sugerida: "&amp;INT(BN44)&amp;" kg",TRUE,""))</f>
        <v>Este exercício usa o Peso Corporal como carga</v>
      </c>
      <c r="BI45" s="66"/>
      <c r="BJ45" s="126">
        <f>BJ44</f>
        <v>5</v>
      </c>
      <c r="BK45" s="120" t="str">
        <f>LEFT(BN45)</f>
        <v>C</v>
      </c>
      <c r="BL45" s="121" t="str">
        <f>MID(BN45,2,1)</f>
        <v>U</v>
      </c>
      <c r="BM45" s="122" t="str">
        <f>RIGHT(BN45)</f>
        <v>R</v>
      </c>
      <c r="BN45" s="123" t="str">
        <f>IF(BL44="","",OFFSET(Biblioteca!$I$2,MATCH(BL44,Biblioteca!$A$3:$A$200,0),0))</f>
        <v>CUR</v>
      </c>
      <c r="BO45" s="124"/>
      <c r="BP45" s="125"/>
      <c r="BQ45" s="117" t="str">
        <f>IF(BQ44="","",IFS(CB45="A",Montagem!$G$180,CD45="T","Realizar a maior quantidade de repetições por "&amp;BV44&amp;" segundos | ",CD45="I",IF(CC45="U","Manter a posição por "&amp;BV44&amp;" segundos de um lado e trocar para o outro na sequência | ","Manter a posição por "&amp;BV44&amp;" segundos | "),CC45="A","Realizar alternadamente "&amp;BV44&amp;" repetições cada lado | ",CC45="U","Realizar "&amp;BV44&amp;" repetições de um lado e trocar para o outro na sequência | ",CB45="P",OFFSET(Biblioteca!$H$2,MATCH(CC44,Biblioteca!$A$3:$A$200,0),0),TRUE,"")&amp;IF(CD45="R","Ajuste a carga para que tenha "&amp;$K$2&amp;" repetições de reserva",""))</f>
        <v>Ajuste a carga para que tenha 0 a 2 repetições de reserva</v>
      </c>
      <c r="BU45" s="118" t="str">
        <f>IF(BQ44="","",IFS(CB45="H","Carga Sugerida: "&amp;ROUNDUP(CE44/2,0)&amp;" kg de cada lado (Total: "&amp;ROUNDUP(CE44/2,0)*2&amp;" kg)",CB45="C","Este exercício usa o Peso Corporal como carga",CB45="E","Este exercício usa a resistência da banda elástica como carga",CB45="O","Carga Sugerida: "&amp;INT(CE44)&amp;" kg",TRUE,""))</f>
        <v>Este exercício usa o Peso Corporal como carga</v>
      </c>
      <c r="BZ45" s="66"/>
      <c r="CA45" s="126">
        <f>CA44</f>
        <v>6</v>
      </c>
      <c r="CB45" s="120" t="str">
        <f>LEFT(CE45)</f>
        <v>C</v>
      </c>
      <c r="CC45" s="121" t="str">
        <f>MID(CE45,2,1)</f>
        <v>O</v>
      </c>
      <c r="CD45" s="122" t="str">
        <f>RIGHT(CE45)</f>
        <v>R</v>
      </c>
      <c r="CE45" s="123" t="str">
        <f>IF(CC44="","",OFFSET(Biblioteca!$I$2,MATCH(CC44,Biblioteca!$A$3:$A$200,0),0))</f>
        <v>COR</v>
      </c>
      <c r="CF45" s="124"/>
      <c r="CG45" s="125"/>
      <c r="CH45" s="117" t="str">
        <f>IF(CH44="","",IFS(CS45="A",Montagem!$H$180,CU45="T","Realizar a maior quantidade de repetições por "&amp;CM44&amp;" segundos | ",CU45="I",IF(CT45="U","Manter a posição por "&amp;CM44&amp;" segundos de um lado e trocar para o outro na sequência | ","Manter a posição por "&amp;CM44&amp;" segundos | "),CT45="A","Realizar alternadamente "&amp;CM44&amp;" repetições cada lado | ",CT45="U","Realizar "&amp;CM44&amp;" repetições de um lado e trocar para o outro na sequência | ",CS45="P",OFFSET(Biblioteca!$H$2,MATCH(CT44,Biblioteca!$A$3:$A$200,0),0),TRUE,"")&amp;IF(CU45="R","Ajuste a carga para que tenha "&amp;$K$2&amp;" repetições de reserva",""))</f>
        <v/>
      </c>
      <c r="CL45" s="118" t="str">
        <f>IF(CH44="","",IFS(CS45="H","Carga Sugerida: "&amp;ROUNDUP(CV44/2,0)&amp;" kg de cada lado (Total: "&amp;ROUNDUP(CV44/2,0)*2&amp;" kg)",CS45="C","Este exercício usa o Peso Corporal como carga",CS45="E","Este exercício usa a resistência da banda elástica como carga",CS45="O","Carga Sugerida: "&amp;INT(CV44)&amp;" kg",TRUE,""))</f>
        <v/>
      </c>
      <c r="CQ45" s="66"/>
      <c r="CR45" s="126">
        <f>CR44</f>
        <v>1</v>
      </c>
      <c r="CS45" s="120" t="str">
        <f>LEFT(CV45)</f>
        <v/>
      </c>
      <c r="CT45" s="121" t="str">
        <f>MID(CV45,2,1)</f>
        <v/>
      </c>
      <c r="CU45" s="122" t="str">
        <f>RIGHT(CV45)</f>
        <v/>
      </c>
      <c r="CV45" s="123" t="str">
        <f>IF(CT44="","",OFFSET(Biblioteca!$I$2,MATCH(CT44,Biblioteca!$A$3:$A$200,0),0))</f>
        <v/>
      </c>
      <c r="CW45" s="124"/>
      <c r="CX45" s="125"/>
      <c r="CY45" s="117" t="str">
        <f>IF(CY44="","",IFS(DJ45="A",Montagem!$I$180,DL45="T","Realizar a maior quantidade de repetições por "&amp;DD44&amp;" segundos | ",DL45="I",IF(DK45="U","Manter a posição por "&amp;DD44&amp;" segundos de um lado e trocar para o outro na sequência | ","Manter a posição por "&amp;DD44&amp;" segundos | "),DK45="A","Realizar alternadamente "&amp;DD44&amp;" repetições cada lado | ",DK45="U","Realizar "&amp;DD44&amp;" repetições de um lado e trocar para o outro na sequência | ",DJ45="P",OFFSET(Biblioteca!$H$2,MATCH(DK44,Biblioteca!$A$3:$A$200,0),0),TRUE,"")&amp;IF(DL45="R","Ajuste a carga para que tenha "&amp;$K$2&amp;" repetições de reserva",""))</f>
        <v/>
      </c>
      <c r="DC45" s="118" t="str">
        <f>IF(CY44="","",IFS(DJ45="H","Carga Sugerida: "&amp;ROUNDUP(DM44/2,0)&amp;" kg de cada lado (Total: "&amp;ROUNDUP(DM44/2,0)*2&amp;" kg)",DJ45="C","Este exercício usa o Peso Corporal como carga",DJ45="E","Este exercício usa a resistência da banda elástica como carga",DJ45="O","Carga Sugerida: "&amp;INT(DM44)&amp;" kg",TRUE,""))</f>
        <v/>
      </c>
      <c r="DH45" s="66"/>
      <c r="DI45" s="126">
        <f>DI44</f>
        <v>1</v>
      </c>
      <c r="DJ45" s="120" t="str">
        <f>LEFT(DM45)</f>
        <v/>
      </c>
      <c r="DK45" s="121" t="str">
        <f>MID(DM45,2,1)</f>
        <v/>
      </c>
      <c r="DL45" s="122" t="str">
        <f>RIGHT(DM45)</f>
        <v/>
      </c>
      <c r="DM45" s="123" t="str">
        <f>IF(DK44="","",OFFSET(Biblioteca!$I$2,MATCH(DK44,Biblioteca!$A$3:$A$200,0),0))</f>
        <v/>
      </c>
      <c r="DN45" s="124"/>
      <c r="DO45" s="125"/>
      <c r="DP45" s="57"/>
      <c r="DQ45" s="56"/>
      <c r="DR45" s="56"/>
      <c r="DS45" s="56"/>
      <c r="DT45" s="56"/>
      <c r="DU45" s="56"/>
      <c r="DV45" s="56"/>
      <c r="DW45" s="56"/>
      <c r="DX45" s="56"/>
      <c r="DY45" s="56"/>
    </row>
    <row r="46">
      <c r="A46" s="102" t="str">
        <f>IF(M46="","",HYPERLINK(OFFSET(Biblioteca!$B$2,MATCH(M46,Biblioteca!$A$3:$A$200,0),0),M46))</f>
        <v>Fly no peck deck</v>
      </c>
      <c r="D46" s="103" t="str">
        <f>Montagem!Q181</f>
        <v>Bi-SET</v>
      </c>
      <c r="E46" s="104">
        <f>Montagem!R181</f>
        <v>3</v>
      </c>
      <c r="F46" s="104">
        <f>Montagem!S181</f>
        <v>8</v>
      </c>
      <c r="G46" s="104" t="str">
        <f>Montagem!T181</f>
        <v/>
      </c>
      <c r="H46" s="104">
        <f>Montagem!U181</f>
        <v>1</v>
      </c>
      <c r="I46" s="132">
        <f>Montagem!V181</f>
        <v>2</v>
      </c>
      <c r="J46" s="105"/>
      <c r="K46" s="106">
        <f>Montagem!K181</f>
        <v>8</v>
      </c>
      <c r="L46" s="111">
        <f>Montagem!W181</f>
        <v>8.82</v>
      </c>
      <c r="M46" s="111" t="str">
        <f>Montagem!L181</f>
        <v>Fly no peck deck</v>
      </c>
      <c r="N46" s="111" t="str">
        <f>Montagem!X181</f>
        <v/>
      </c>
      <c r="O46" s="106">
        <f>IF(N46="",L46,N46)</f>
        <v>8.82</v>
      </c>
      <c r="P46" s="106">
        <f>IF(L47="C",'Dados de Base'!$D$5*0.1,IF(L47="E",5,IF(J46="",O46,J46)))</f>
        <v>8.82</v>
      </c>
      <c r="Q46" s="108"/>
      <c r="R46" s="102" t="str">
        <f>IF(AD46="","",HYPERLINK(OFFSET(Biblioteca!$B$2,MATCH(AD46,Biblioteca!$A$3:$A$200,0),0),AD46))</f>
        <v>Afundo</v>
      </c>
      <c r="U46" s="109" t="str">
        <f>Montagem!AF181</f>
        <v>Bi-SET</v>
      </c>
      <c r="V46" s="110">
        <f>Montagem!AG181</f>
        <v>3</v>
      </c>
      <c r="W46" s="110">
        <f>Montagem!AH181</f>
        <v>8</v>
      </c>
      <c r="X46" s="110" t="str">
        <f>Montagem!AI181</f>
        <v/>
      </c>
      <c r="Y46" s="110">
        <f>Montagem!AJ181</f>
        <v>1</v>
      </c>
      <c r="Z46" s="110">
        <f>Montagem!AK181</f>
        <v>2</v>
      </c>
      <c r="AA46" s="113"/>
      <c r="AB46" s="111">
        <f>Montagem!Z181</f>
        <v>8</v>
      </c>
      <c r="AC46" s="111">
        <f>Montagem!AL181</f>
        <v>39.69</v>
      </c>
      <c r="AD46" s="129" t="str">
        <f>Montagem!AA181</f>
        <v>Afundo</v>
      </c>
      <c r="AE46" s="111" t="str">
        <f>Montagem!AM181</f>
        <v/>
      </c>
      <c r="AF46" s="106">
        <f>IF(AE46="",AC46,AE46)</f>
        <v>39.69</v>
      </c>
      <c r="AG46" s="106">
        <f>IF(AC47="C",'Dados de Base'!$D$5*0.1,IF(AC47="E",5,IF(AA46="",AF46,AA46)))</f>
        <v>39.69</v>
      </c>
      <c r="AH46" s="108"/>
      <c r="AI46" s="115" t="str">
        <f>IF(AU46="","",HYPERLINK(OFFSET(Biblioteca!$B$2,MATCH(AU46,Biblioteca!$A$3:$A$200,0),0),AU46))</f>
        <v/>
      </c>
      <c r="AL46" s="109" t="str">
        <f>Montagem!AU181</f>
        <v/>
      </c>
      <c r="AM46" s="110" t="str">
        <f>Montagem!AV181</f>
        <v/>
      </c>
      <c r="AN46" s="110" t="str">
        <f>Montagem!AW181</f>
        <v/>
      </c>
      <c r="AO46" s="110" t="str">
        <f>Montagem!AX181</f>
        <v/>
      </c>
      <c r="AP46" s="110" t="str">
        <f>Montagem!AY181</f>
        <v/>
      </c>
      <c r="AQ46" s="110" t="str">
        <f>Montagem!AZ181</f>
        <v/>
      </c>
      <c r="AR46" s="114"/>
      <c r="AS46" s="111">
        <f>Montagem!AO181</f>
        <v>1</v>
      </c>
      <c r="AT46" s="111" t="str">
        <f>Montagem!BA181</f>
        <v/>
      </c>
      <c r="AU46" s="111" t="str">
        <f>Montagem!AP181</f>
        <v/>
      </c>
      <c r="AV46" s="111" t="str">
        <f>Montagem!BB181</f>
        <v/>
      </c>
      <c r="AW46" s="106" t="str">
        <f>IF(AV46="",AT46,AV46)</f>
        <v/>
      </c>
      <c r="AX46" s="106" t="str">
        <f>IF(AT47="C",'Dados de Base'!$D$5*0.1,IF(AT47="E",5,IF(AR46="",AW46,AR46)))</f>
        <v/>
      </c>
      <c r="AY46" s="108"/>
      <c r="AZ46" s="102" t="str">
        <f>IF(BL46="","",HYPERLINK(OFFSET(Biblioteca!$B$2,MATCH(BL46,Biblioteca!$A$3:$A$200,0),0),BL46))</f>
        <v>Superman</v>
      </c>
      <c r="BC46" s="109" t="str">
        <f>Montagem!BJ181</f>
        <v>Tri-SET</v>
      </c>
      <c r="BD46" s="110">
        <f>Montagem!BK181</f>
        <v>3</v>
      </c>
      <c r="BE46" s="110">
        <f>Montagem!BL181</f>
        <v>15</v>
      </c>
      <c r="BF46" s="110">
        <f>Montagem!BM181</f>
        <v>60</v>
      </c>
      <c r="BG46" s="110">
        <f>Montagem!BN181</f>
        <v>1</v>
      </c>
      <c r="BH46" s="110">
        <f>Montagem!BO181</f>
        <v>1</v>
      </c>
      <c r="BI46" s="113"/>
      <c r="BJ46" s="111">
        <f>Montagem!BD181</f>
        <v>5</v>
      </c>
      <c r="BK46" s="111">
        <f>Montagem!BP181</f>
        <v>0</v>
      </c>
      <c r="BL46" s="111" t="str">
        <f>Montagem!BE181</f>
        <v>Superman</v>
      </c>
      <c r="BM46" s="111" t="str">
        <f>Montagem!BQ181</f>
        <v/>
      </c>
      <c r="BN46" s="106">
        <f>IF(BM46="",BK46,BM46)</f>
        <v>0</v>
      </c>
      <c r="BO46" s="106">
        <f>IF(BK47="C",'Dados de Base'!$D$5*0.1,IF(BK47="E",5,IF(BI46="",BN46,BI46)))</f>
        <v>6.3</v>
      </c>
      <c r="BP46" s="108"/>
      <c r="BQ46" s="102" t="str">
        <f>IF(CC46="","",HYPERLINK(OFFSET(Biblioteca!$B$2,MATCH(CC46,Biblioteca!$A$3:$A$200,0),0),CC46))</f>
        <v>Abdominal Bicicleta</v>
      </c>
      <c r="BT46" s="109" t="str">
        <f>Montagem!BY181</f>
        <v>Bi-SET</v>
      </c>
      <c r="BU46" s="110">
        <f>Montagem!BZ181</f>
        <v>3</v>
      </c>
      <c r="BV46" s="110">
        <f>Montagem!CA181</f>
        <v>15</v>
      </c>
      <c r="BW46" s="110">
        <f>Montagem!CB181</f>
        <v>45</v>
      </c>
      <c r="BX46" s="110">
        <f>Montagem!CC181</f>
        <v>1</v>
      </c>
      <c r="BY46" s="110">
        <f>Montagem!CD181</f>
        <v>1</v>
      </c>
      <c r="BZ46" s="113"/>
      <c r="CA46" s="111">
        <f>Montagem!BS181</f>
        <v>6</v>
      </c>
      <c r="CB46" s="111">
        <f>Montagem!CE181</f>
        <v>0</v>
      </c>
      <c r="CC46" s="111" t="str">
        <f>Montagem!BT181</f>
        <v>Abdominal Bicicleta</v>
      </c>
      <c r="CD46" s="111" t="str">
        <f>Montagem!CF181</f>
        <v/>
      </c>
      <c r="CE46" s="106">
        <f>IF(CD46="",CB46,CD46)</f>
        <v>0</v>
      </c>
      <c r="CF46" s="106">
        <f>IF(CB47="C",'Dados de Base'!$D$5*0.1,IF(CB47="E",5,IF(BZ46="",CE46,BZ46)))</f>
        <v>6.3</v>
      </c>
      <c r="CG46" s="108"/>
      <c r="CH46" s="115" t="str">
        <f>IF(CT46="","",HYPERLINK(OFFSET(Biblioteca!$B$2,MATCH(CT46,Biblioteca!$A$3:$A$200,0),0),CT46))</f>
        <v/>
      </c>
      <c r="CK46" s="109" t="str">
        <f>Montagem!CN181</f>
        <v/>
      </c>
      <c r="CL46" s="110" t="str">
        <f>Montagem!CO181</f>
        <v/>
      </c>
      <c r="CM46" s="110" t="str">
        <f>Montagem!CP181</f>
        <v/>
      </c>
      <c r="CN46" s="110" t="str">
        <f>Montagem!CQ181</f>
        <v/>
      </c>
      <c r="CO46" s="110" t="str">
        <f>Montagem!CR181</f>
        <v/>
      </c>
      <c r="CP46" s="110" t="str">
        <f>Montagem!CS181</f>
        <v/>
      </c>
      <c r="CQ46" s="114"/>
      <c r="CR46" s="111">
        <f>Montagem!CH181</f>
        <v>1</v>
      </c>
      <c r="CS46" s="111" t="str">
        <f>Montagem!CT181</f>
        <v/>
      </c>
      <c r="CT46" s="111" t="str">
        <f>Montagem!CI181</f>
        <v/>
      </c>
      <c r="CU46" s="145" t="str">
        <f>Montagem!CU181</f>
        <v/>
      </c>
      <c r="CV46" s="106" t="str">
        <f>IF(CU46="",CS46,CU46)</f>
        <v/>
      </c>
      <c r="CW46" s="106" t="str">
        <f>IF(CS47="C",'Dados de Base'!$D$5*0.1,IF(CS47="E",5,IF(CQ46="",CV46,CQ46)))</f>
        <v/>
      </c>
      <c r="CX46" s="108"/>
      <c r="CY46" s="115" t="str">
        <f>IF(DK46="","",HYPERLINK(OFFSET(Biblioteca!$B$2,MATCH(DK46,Biblioteca!$A$3:$A$200,0),0),DK46))</f>
        <v/>
      </c>
      <c r="DB46" s="130" t="str">
        <f>Montagem!DC181</f>
        <v/>
      </c>
      <c r="DC46" s="131" t="str">
        <f>Montagem!DD181</f>
        <v/>
      </c>
      <c r="DD46" s="131" t="str">
        <f>Montagem!DE181</f>
        <v/>
      </c>
      <c r="DE46" s="131" t="str">
        <f>Montagem!DF181</f>
        <v/>
      </c>
      <c r="DF46" s="131" t="str">
        <f>Montagem!DG181</f>
        <v/>
      </c>
      <c r="DG46" s="131" t="str">
        <f>Montagem!DH181</f>
        <v/>
      </c>
      <c r="DH46" s="114"/>
      <c r="DI46" s="111">
        <f>Montagem!CW181</f>
        <v>1</v>
      </c>
      <c r="DJ46" s="111" t="str">
        <f>Montagem!DI181</f>
        <v/>
      </c>
      <c r="DK46" s="111" t="str">
        <f>Montagem!CX181</f>
        <v/>
      </c>
      <c r="DL46" s="145" t="str">
        <f>Montagem!DJ181</f>
        <v/>
      </c>
      <c r="DM46" s="106" t="str">
        <f>IF(DL46="",DJ46,DL46)</f>
        <v/>
      </c>
      <c r="DN46" s="106" t="str">
        <f>IF(DJ47="C",'Dados de Base'!$D$5*0.1,IF(DJ47="E",5,IF(DH46="",DM46,DH46)))</f>
        <v/>
      </c>
      <c r="DO46" s="108"/>
      <c r="DP46" s="106"/>
      <c r="DQ46" s="106"/>
      <c r="DR46" s="106"/>
      <c r="DS46" s="106"/>
      <c r="DT46" s="106"/>
      <c r="DU46" s="106"/>
      <c r="DV46" s="106"/>
      <c r="DW46" s="106"/>
      <c r="DX46" s="106"/>
      <c r="DY46" s="106"/>
    </row>
    <row r="47">
      <c r="A47" s="117" t="str">
        <f>IF(A46="","",IFS(L47="A",Montagem!$C$180,N47="T","Realizar a maior quantidade de repetições por "&amp;F46&amp;" segundos | ",N47="I",IF(M47="U","Manter a posição por "&amp;F46&amp;" segundos de um lado e trocar para o outro na sequência | ","Manter a posição por "&amp;F46&amp;" segundos | "),M47="A","Realizar alternadamente "&amp;F46&amp;" repetições cada lado | ",M47="U","Realizar "&amp;F46&amp;" repetições de um lado e trocar para o outro na sequência | ",L47="P",OFFSET(Biblioteca!$H$2,MATCH(M46,Biblioteca!$A$3:$A$200,0),0),TRUE,"")&amp;IF(N47="R","Ajuste a carga para que tenha "&amp;$K$2&amp;" repetições de reserva",""))</f>
        <v>Ajuste a carga para que tenha 0 a 2 repetições de reserva</v>
      </c>
      <c r="E47" s="118" t="str">
        <f>IF(A46="","",IFS(L47="H","Carga Sugerida: "&amp;ROUNDUP(O46/2,0)&amp;" kg de cada lado (Total: "&amp;ROUNDUP(O46/2,0)*2&amp;" kg)",L47="C","Este exercício usa o Peso Corporal como carga",L47="E","Este exercício usa a resistência da banda elástica como carga",L47="O","Carga Sugerida: "&amp;INT(O46)&amp;" kg",TRUE,""))</f>
        <v>Carga Sugerida: 8 kg</v>
      </c>
      <c r="J47" s="66"/>
      <c r="K47" s="106">
        <f>K46</f>
        <v>8</v>
      </c>
      <c r="L47" s="120" t="str">
        <f>LEFT(O47)</f>
        <v>O</v>
      </c>
      <c r="M47" s="121" t="str">
        <f>MID(O47,2,1)</f>
        <v>O</v>
      </c>
      <c r="N47" s="122" t="str">
        <f>RIGHT(O47)</f>
        <v>R</v>
      </c>
      <c r="O47" s="123" t="str">
        <f>IF(M46="","",OFFSET(Biblioteca!$I$2,MATCH(M46,Biblioteca!$A$3:$A$200,0),0))</f>
        <v>OOR</v>
      </c>
      <c r="P47" s="124"/>
      <c r="Q47" s="125"/>
      <c r="R47" s="117" t="str">
        <f>IF(R46="","",IFS(AC47="A",Montagem!$D$180,AE47="T","Realizar a maior quantidade de repetições por "&amp;W46&amp;" segundos | ",AE47="I",IF(AD47="U","Manter a posição por "&amp;W46&amp;" segundos de um lado e trocar para o outro na sequência | ","Manter a posição por "&amp;W46&amp;" segundos | "),AD47="A","Realizar alternadamente "&amp;W46&amp;" repetições cada lado | ",AD47="U","Realizar "&amp;W46&amp;" repetições de um lado e trocar para o outro na sequência | ",AC47="P",OFFSET(Biblioteca!$H$2,MATCH(AD46,Biblioteca!$A$3:$A$200,0),0),TRUE,"")&amp;IF(AE47="R","Ajuste a carga para que tenha "&amp;$K$2&amp;" repetições de reserva",""))</f>
        <v>Realizar alternadamente 8 repetições cada lado | Ajuste a carga para que tenha 0 a 2 repetições de reserva</v>
      </c>
      <c r="V47" s="118" t="str">
        <f>IF(R46="","",IFS(AC47="H","Carga Sugerida: "&amp;ROUNDUP(AF46/2,0)&amp;" kg de cada lado (Total: "&amp;ROUNDUP(AF46/2,0)*2&amp;" kg)",AC47="C","Este exercício usa o Peso Corporal como carga",AC47="E","Este exercício usa a resistência da banda elástica como carga",AC47="O","Carga Sugerida: "&amp;INT(AF46)&amp;" kg",TRUE,""))</f>
        <v>Carga Sugerida: 20 kg de cada lado (Total: 40 kg)</v>
      </c>
      <c r="AA47" s="66"/>
      <c r="AB47" s="126">
        <f>AB46</f>
        <v>8</v>
      </c>
      <c r="AC47" s="120" t="str">
        <f>LEFT(AF47)</f>
        <v>H</v>
      </c>
      <c r="AD47" s="121" t="str">
        <f>MID(AF47,2,1)</f>
        <v>A</v>
      </c>
      <c r="AE47" s="122" t="str">
        <f>RIGHT(AF47)</f>
        <v>R</v>
      </c>
      <c r="AF47" s="123" t="str">
        <f>IF(AD46="","",OFFSET(Biblioteca!$I$2,MATCH(AD46,Biblioteca!$A$3:$A$200,0),0))</f>
        <v>HAR</v>
      </c>
      <c r="AG47" s="124"/>
      <c r="AH47" s="125"/>
      <c r="AI47" s="117" t="str">
        <f>IF(AI46="","",IFS(AT47="A",Montagem!$E$180,AV47="T","Realizar a maior quantidade de repetições por "&amp;AN46&amp;" segundos | ",AV47="I",IF(AU47="U","Manter a posição por "&amp;AN46&amp;" segundos de um lado e trocar para o outro na sequência | ","Manter a posição por "&amp;AN46&amp;" segundos | "),AU47="A","Realizar alternadamente "&amp;AN46&amp;" repetições cada lado | ",AU47="U","Realizar "&amp;AN46&amp;" repetições de um lado e trocar para o outro na sequência | ",AT47="P",OFFSET(Biblioteca!$H$2,MATCH(AU46,Biblioteca!$A$3:$A$200,0),0),TRUE,"")&amp;IF(AV47="R","Ajuste a carga para que tenha "&amp;$K$2&amp;" repetições de reserva",""))</f>
        <v/>
      </c>
      <c r="AM47" s="118" t="str">
        <f>IF(AI46="","",IFS(AT47="H","Carga Sugerida: "&amp;ROUNDUP(AW46/2,0)&amp;" kg de cada lado (Total: "&amp;ROUNDUP(AW46/2,0)*2&amp;" kg)",AT47="C","Este exercício usa o Peso Corporal como carga",AT47="E","Este exercício usa a resistência da banda elástica como carga",AT47="O","Carga Sugerida: "&amp;INT(AW46)&amp;" kg",TRUE,""))</f>
        <v/>
      </c>
      <c r="AR47" s="66"/>
      <c r="AS47" s="126">
        <f>AS46</f>
        <v>1</v>
      </c>
      <c r="AT47" s="120" t="str">
        <f>LEFT(AW47)</f>
        <v/>
      </c>
      <c r="AU47" s="121" t="str">
        <f>MID(AW47,2,1)</f>
        <v/>
      </c>
      <c r="AV47" s="122" t="str">
        <f>RIGHT(AW47)</f>
        <v/>
      </c>
      <c r="AW47" s="123" t="str">
        <f>IF(AU46="","",OFFSET(Biblioteca!$I$2,MATCH(AU46,Biblioteca!$A$3:$A$200,0),0))</f>
        <v/>
      </c>
      <c r="AX47" s="124"/>
      <c r="AY47" s="125"/>
      <c r="AZ47" s="117" t="str">
        <f>IF(AZ46="","",IFS(BK47="A",Montagem!$F$180,BM47="T","Realizar a maior quantidade de repetições por "&amp;BE46&amp;" segundos | ",BM47="I",IF(BL47="U","Manter a posição por "&amp;BE46&amp;" segundos de um lado e trocar para o outro na sequência | ","Manter a posição por "&amp;BE46&amp;" segundos | "),BL47="A","Realizar alternadamente "&amp;BE46&amp;" repetições cada lado | ",BL47="U","Realizar "&amp;BE46&amp;" repetições de um lado e trocar para o outro na sequência | ",BK47="P",OFFSET(Biblioteca!$H$2,MATCH(BL46,Biblioteca!$A$3:$A$200,0),0),TRUE,"")&amp;IF(BM47="R","Ajuste a carga para que tenha "&amp;$K$2&amp;" repetições de reserva",""))</f>
        <v>Ajuste a carga para que tenha 0 a 2 repetições de reserva</v>
      </c>
      <c r="BD47" s="118" t="str">
        <f>IF(AZ46="","",IFS(BK47="H","Carga Sugerida: "&amp;ROUNDUP(BN46/2,0)&amp;" kg de cada lado (Total: "&amp;ROUNDUP(BN46/2,0)*2&amp;" kg)",BK47="C","Este exercício usa o Peso Corporal como carga",BK47="E","Este exercício usa a resistência da banda elástica como carga",BK47="O","Carga Sugerida: "&amp;INT(BN46)&amp;" kg",TRUE,""))</f>
        <v>Este exercício usa o Peso Corporal como carga</v>
      </c>
      <c r="BI47" s="66"/>
      <c r="BJ47" s="126">
        <f>BJ46</f>
        <v>5</v>
      </c>
      <c r="BK47" s="120" t="str">
        <f>LEFT(BN47)</f>
        <v>C</v>
      </c>
      <c r="BL47" s="121" t="str">
        <f>MID(BN47,2,1)</f>
        <v>O</v>
      </c>
      <c r="BM47" s="122" t="str">
        <f>RIGHT(BN47)</f>
        <v>R</v>
      </c>
      <c r="BN47" s="123" t="str">
        <f>IF(BL46="","",OFFSET(Biblioteca!$I$2,MATCH(BL46,Biblioteca!$A$3:$A$200,0),0))</f>
        <v>COR</v>
      </c>
      <c r="BO47" s="124"/>
      <c r="BP47" s="125"/>
      <c r="BQ47" s="117" t="str">
        <f>IF(BQ46="","",IFS(CB47="A",Montagem!$G$180,CD47="T","Realizar a maior quantidade de repetições por "&amp;BV46&amp;" segundos | ",CD47="I",IF(CC47="U","Manter a posição por "&amp;BV46&amp;" segundos de um lado e trocar para o outro na sequência | ","Manter a posição por "&amp;BV46&amp;" segundos | "),CC47="A","Realizar alternadamente "&amp;BV46&amp;" repetições cada lado | ",CC47="U","Realizar "&amp;BV46&amp;" repetições de um lado e trocar para o outro na sequência | ",CB47="P",OFFSET(Biblioteca!$H$2,MATCH(CC46,Biblioteca!$A$3:$A$200,0),0),TRUE,"")&amp;IF(CD47="R","Ajuste a carga para que tenha "&amp;$K$2&amp;" repetições de reserva",""))</f>
        <v>Ajuste a carga para que tenha 0 a 2 repetições de reserva</v>
      </c>
      <c r="BU47" s="118" t="str">
        <f>IF(BQ46="","",IFS(CB47="H","Carga Sugerida: "&amp;ROUNDUP(CE46/2,0)&amp;" kg de cada lado (Total: "&amp;ROUNDUP(CE46/2,0)*2&amp;" kg)",CB47="C","Este exercício usa o Peso Corporal como carga",CB47="E","Este exercício usa a resistência da banda elástica como carga",CB47="O","Carga Sugerida: "&amp;INT(CE46)&amp;" kg",TRUE,""))</f>
        <v>Este exercício usa o Peso Corporal como carga</v>
      </c>
      <c r="BZ47" s="66"/>
      <c r="CA47" s="126">
        <f>CA46</f>
        <v>6</v>
      </c>
      <c r="CB47" s="120" t="str">
        <f>LEFT(CE47)</f>
        <v>C</v>
      </c>
      <c r="CC47" s="121" t="str">
        <f>MID(CE47,2,1)</f>
        <v>O</v>
      </c>
      <c r="CD47" s="122" t="str">
        <f>RIGHT(CE47)</f>
        <v>R</v>
      </c>
      <c r="CE47" s="123" t="str">
        <f>IF(CC46="","",OFFSET(Biblioteca!$I$2,MATCH(CC46,Biblioteca!$A$3:$A$200,0),0))</f>
        <v>COR</v>
      </c>
      <c r="CF47" s="124"/>
      <c r="CG47" s="125"/>
      <c r="CH47" s="117" t="str">
        <f>IF(CH46="","",IFS(CS47="A",Montagem!$H$180,CU47="T","Realizar a maior quantidade de repetições por "&amp;CM46&amp;" segundos | ",CU47="I",IF(CT47="U","Manter a posição por "&amp;CM46&amp;" segundos de um lado e trocar para o outro na sequência | ","Manter a posição por "&amp;CM46&amp;" segundos | "),CT47="A","Realizar alternadamente "&amp;CM46&amp;" repetições cada lado | ",CT47="U","Realizar "&amp;CM46&amp;" repetições de um lado e trocar para o outro na sequência | ",CS47="P",OFFSET(Biblioteca!$H$2,MATCH(CT46,Biblioteca!$A$3:$A$200,0),0),TRUE,"")&amp;IF(CU47="R","Ajuste a carga para que tenha "&amp;$K$2&amp;" repetições de reserva",""))</f>
        <v/>
      </c>
      <c r="CL47" s="118" t="str">
        <f>IF(CH46="","",IFS(CS47="H","Carga Sugerida: "&amp;ROUNDUP(CV46/2,0)&amp;" kg de cada lado (Total: "&amp;ROUNDUP(CV46/2,0)*2&amp;" kg)",CS47="C","Este exercício usa o Peso Corporal como carga",CS47="E","Este exercício usa a resistência da banda elástica como carga",CS47="O","Carga Sugerida: "&amp;INT(CV46)&amp;" kg",TRUE,""))</f>
        <v/>
      </c>
      <c r="CQ47" s="66"/>
      <c r="CR47" s="126">
        <f>CR46</f>
        <v>1</v>
      </c>
      <c r="CS47" s="120" t="str">
        <f>LEFT(CV47)</f>
        <v/>
      </c>
      <c r="CT47" s="121" t="str">
        <f>MID(CV47,2,1)</f>
        <v/>
      </c>
      <c r="CU47" s="122" t="str">
        <f>RIGHT(CV47)</f>
        <v/>
      </c>
      <c r="CV47" s="123" t="str">
        <f>IF(CT46="","",OFFSET(Biblioteca!$I$2,MATCH(CT46,Biblioteca!$A$3:$A$200,0),0))</f>
        <v/>
      </c>
      <c r="CW47" s="124"/>
      <c r="CX47" s="125"/>
      <c r="CY47" s="117" t="str">
        <f>IF(CY46="","",IFS(DJ47="A",Montagem!$I$180,DL47="T","Realizar a maior quantidade de repetições por "&amp;DD46&amp;" segundos | ",DL47="I",IF(DK47="U","Manter a posição por "&amp;DD46&amp;" segundos de um lado e trocar para o outro na sequência | ","Manter a posição por "&amp;DD46&amp;" segundos | "),DK47="A","Realizar alternadamente "&amp;DD46&amp;" repetições cada lado | ",DK47="U","Realizar "&amp;DD46&amp;" repetições de um lado e trocar para o outro na sequência | ",DJ47="P",OFFSET(Biblioteca!$H$2,MATCH(DK46,Biblioteca!$A$3:$A$200,0),0),TRUE,"")&amp;IF(DL47="R","Ajuste a carga para que tenha "&amp;$K$2&amp;" repetições de reserva",""))</f>
        <v/>
      </c>
      <c r="DC47" s="118" t="str">
        <f>IF(CY46="","",IFS(DJ47="H","Carga Sugerida: "&amp;ROUNDUP(DM46/2,0)&amp;" kg de cada lado (Total: "&amp;ROUNDUP(DM46/2,0)*2&amp;" kg)",DJ47="C","Este exercício usa o Peso Corporal como carga",DJ47="E","Este exercício usa a resistência da banda elástica como carga",DJ47="O","Carga Sugerida: "&amp;INT(DM46)&amp;" kg",TRUE,""))</f>
        <v/>
      </c>
      <c r="DH47" s="66"/>
      <c r="DI47" s="126">
        <f>DI46</f>
        <v>1</v>
      </c>
      <c r="DJ47" s="120" t="str">
        <f>LEFT(DM47)</f>
        <v/>
      </c>
      <c r="DK47" s="121" t="str">
        <f>MID(DM47,2,1)</f>
        <v/>
      </c>
      <c r="DL47" s="122" t="str">
        <f>RIGHT(DM47)</f>
        <v/>
      </c>
      <c r="DM47" s="123" t="str">
        <f>IF(DK46="","",OFFSET(Biblioteca!$I$2,MATCH(DK46,Biblioteca!$A$3:$A$200,0),0))</f>
        <v/>
      </c>
      <c r="DN47" s="124"/>
      <c r="DO47" s="125"/>
      <c r="DP47" s="57"/>
      <c r="DQ47" s="56"/>
      <c r="DR47" s="56"/>
      <c r="DS47" s="56"/>
      <c r="DT47" s="56"/>
      <c r="DU47" s="56"/>
      <c r="DV47" s="56"/>
      <c r="DW47" s="56"/>
      <c r="DX47" s="56"/>
      <c r="DY47" s="56"/>
    </row>
    <row r="48">
      <c r="A48" s="102" t="str">
        <f>IF(M48="","",HYPERLINK(OFFSET(Biblioteca!$B$2,MATCH(M48,Biblioteca!$A$3:$A$200,0),0),M48))</f>
        <v>Tríceps Testa polia</v>
      </c>
      <c r="D48" s="103" t="str">
        <f>Montagem!Q182</f>
        <v>Bi-SET</v>
      </c>
      <c r="E48" s="104">
        <f>Montagem!R182</f>
        <v>3</v>
      </c>
      <c r="F48" s="104">
        <f>Montagem!S182</f>
        <v>8</v>
      </c>
      <c r="G48" s="104">
        <f>Montagem!T182</f>
        <v>60</v>
      </c>
      <c r="H48" s="104">
        <f>Montagem!U182</f>
        <v>1</v>
      </c>
      <c r="I48" s="132">
        <f>Montagem!V182</f>
        <v>2</v>
      </c>
      <c r="J48" s="105"/>
      <c r="K48" s="106">
        <f>Montagem!K182</f>
        <v>8</v>
      </c>
      <c r="L48" s="111">
        <f>Montagem!W182</f>
        <v>8.379</v>
      </c>
      <c r="M48" s="111" t="str">
        <f>Montagem!L182</f>
        <v>Tríceps Testa polia</v>
      </c>
      <c r="N48" s="111" t="str">
        <f>Montagem!X182</f>
        <v/>
      </c>
      <c r="O48" s="106">
        <f>IF(N48="",L48,N48)</f>
        <v>8.379</v>
      </c>
      <c r="P48" s="106">
        <f>IF(L49="C",'Dados de Base'!$D$5*0.1,IF(L49="E",5,IF(J48="",O48,J48)))</f>
        <v>8.379</v>
      </c>
      <c r="Q48" s="108"/>
      <c r="R48" s="102" t="str">
        <f>IF(AD48="","",HYPERLINK(OFFSET(Biblioteca!$B$2,MATCH(AD48,Biblioteca!$A$3:$A$200,0),0),AD48))</f>
        <v>Flexão Plantar na Máquina</v>
      </c>
      <c r="U48" s="109" t="str">
        <f>Montagem!AF182</f>
        <v>Bi-SET</v>
      </c>
      <c r="V48" s="110">
        <f>Montagem!AG182</f>
        <v>3</v>
      </c>
      <c r="W48" s="110">
        <f>Montagem!AH182</f>
        <v>8</v>
      </c>
      <c r="X48" s="110">
        <f>Montagem!AI182</f>
        <v>60</v>
      </c>
      <c r="Y48" s="110">
        <f>Montagem!AJ182</f>
        <v>1</v>
      </c>
      <c r="Z48" s="110">
        <f>Montagem!AK182</f>
        <v>2</v>
      </c>
      <c r="AA48" s="113"/>
      <c r="AB48" s="111">
        <f>Montagem!Z182</f>
        <v>8</v>
      </c>
      <c r="AC48" s="111">
        <f>Montagem!AL182</f>
        <v>165.375</v>
      </c>
      <c r="AD48" s="129" t="str">
        <f>Montagem!AA182</f>
        <v>Flexão Plantar na Máquina</v>
      </c>
      <c r="AE48" s="111" t="str">
        <f>Montagem!AM182</f>
        <v/>
      </c>
      <c r="AF48" s="106">
        <f>IF(AE48="",AC48,AE48)</f>
        <v>165.375</v>
      </c>
      <c r="AG48" s="106">
        <f>IF(AC49="C",'Dados de Base'!$D$5*0.1,IF(AC49="E",5,IF(AA48="",AF48,AA48)))</f>
        <v>165.375</v>
      </c>
      <c r="AH48" s="108"/>
      <c r="AI48" s="115" t="str">
        <f>IF(AU48="","",HYPERLINK(OFFSET(Biblioteca!$B$2,MATCH(AU48,Biblioteca!$A$3:$A$200,0),0),AU48))</f>
        <v/>
      </c>
      <c r="AL48" s="109" t="str">
        <f>Montagem!AU182</f>
        <v/>
      </c>
      <c r="AM48" s="110" t="str">
        <f>Montagem!AV182</f>
        <v/>
      </c>
      <c r="AN48" s="110" t="str">
        <f>Montagem!AW182</f>
        <v/>
      </c>
      <c r="AO48" s="110" t="str">
        <f>Montagem!AX182</f>
        <v/>
      </c>
      <c r="AP48" s="110" t="str">
        <f>Montagem!AY182</f>
        <v/>
      </c>
      <c r="AQ48" s="110" t="str">
        <f>Montagem!AZ182</f>
        <v/>
      </c>
      <c r="AR48" s="114"/>
      <c r="AS48" s="111">
        <f>Montagem!AO182</f>
        <v>1</v>
      </c>
      <c r="AT48" s="111" t="str">
        <f>Montagem!BA182</f>
        <v/>
      </c>
      <c r="AU48" s="111" t="str">
        <f>Montagem!AP182</f>
        <v/>
      </c>
      <c r="AV48" s="111" t="str">
        <f>Montagem!BB182</f>
        <v/>
      </c>
      <c r="AW48" s="106" t="str">
        <f>IF(AV48="",AT48,AV48)</f>
        <v/>
      </c>
      <c r="AX48" s="106" t="str">
        <f>IF(AT49="C",'Dados de Base'!$D$5*0.1,IF(AT49="E",5,IF(AR48="",AW48,AR48)))</f>
        <v/>
      </c>
      <c r="AY48" s="108"/>
      <c r="AZ48" s="115" t="str">
        <f>IF(BL48="","",HYPERLINK(OFFSET(Biblioteca!$B$2,MATCH(BL48,Biblioteca!$A$3:$A$200,0),0),BL48))</f>
        <v>Esteira</v>
      </c>
      <c r="BC48" s="109" t="str">
        <f>Montagem!BJ182</f>
        <v/>
      </c>
      <c r="BD48" s="110" t="str">
        <f>Montagem!BK182</f>
        <v/>
      </c>
      <c r="BE48" s="110" t="str">
        <f>Montagem!BL182</f>
        <v/>
      </c>
      <c r="BF48" s="110">
        <f>Montagem!BM182</f>
        <v>60</v>
      </c>
      <c r="BG48" s="110" t="str">
        <f>Montagem!BN182</f>
        <v/>
      </c>
      <c r="BH48" s="110" t="str">
        <f>Montagem!BO182</f>
        <v/>
      </c>
      <c r="BI48" s="113"/>
      <c r="BJ48" s="111">
        <f>Montagem!BD182</f>
        <v>6</v>
      </c>
      <c r="BK48" s="111">
        <f>Montagem!BP182</f>
        <v>0</v>
      </c>
      <c r="BL48" s="111" t="str">
        <f>Montagem!BE182</f>
        <v>Esteira</v>
      </c>
      <c r="BM48" s="111" t="str">
        <f>Montagem!BQ182</f>
        <v/>
      </c>
      <c r="BN48" s="106">
        <f>IF(BM48="",BK48,BM48)</f>
        <v>0</v>
      </c>
      <c r="BO48" s="106">
        <f>IF(BK49="C",'Dados de Base'!$D$5*0.1,IF(BK49="E",5,IF(BI48="",BN48,BI48)))</f>
        <v>0</v>
      </c>
      <c r="BP48" s="108"/>
      <c r="BQ48" s="102" t="str">
        <f>IF(CC48="","",HYPERLINK(OFFSET(Biblioteca!$B$2,MATCH(CC48,Biblioteca!$A$3:$A$200,0),0),CC48))</f>
        <v>Corda</v>
      </c>
      <c r="BT48" s="109" t="str">
        <f>Montagem!BY182</f>
        <v/>
      </c>
      <c r="BU48" s="110" t="str">
        <f>Montagem!BZ182</f>
        <v/>
      </c>
      <c r="BV48" s="110" t="str">
        <f>Montagem!CA182</f>
        <v/>
      </c>
      <c r="BW48" s="110">
        <f>Montagem!CB182</f>
        <v>60</v>
      </c>
      <c r="BX48" s="110" t="str">
        <f>Montagem!CC182</f>
        <v/>
      </c>
      <c r="BY48" s="110" t="str">
        <f>Montagem!CD182</f>
        <v/>
      </c>
      <c r="BZ48" s="113"/>
      <c r="CA48" s="111">
        <f>Montagem!BS182</f>
        <v>7</v>
      </c>
      <c r="CB48" s="111">
        <f>Montagem!CE182</f>
        <v>0</v>
      </c>
      <c r="CC48" s="111" t="str">
        <f>Montagem!BT182</f>
        <v>Corda</v>
      </c>
      <c r="CD48" s="111" t="str">
        <f>Montagem!CF182</f>
        <v/>
      </c>
      <c r="CE48" s="106">
        <f>IF(CD48="",CB48,CD48)</f>
        <v>0</v>
      </c>
      <c r="CF48" s="106">
        <f>IF(CB49="C",'Dados de Base'!$D$5*0.1,IF(CB49="E",5,IF(BZ48="",CE48,BZ48)))</f>
        <v>0</v>
      </c>
      <c r="CG48" s="108"/>
      <c r="CH48" s="115" t="str">
        <f>IF(CT48="","",HYPERLINK(OFFSET(Biblioteca!$B$2,MATCH(CT48,Biblioteca!$A$3:$A$200,0),0),CT48))</f>
        <v/>
      </c>
      <c r="CK48" s="109" t="str">
        <f>Montagem!CN182</f>
        <v/>
      </c>
      <c r="CL48" s="110" t="str">
        <f>Montagem!CO182</f>
        <v/>
      </c>
      <c r="CM48" s="110" t="str">
        <f>Montagem!CP182</f>
        <v/>
      </c>
      <c r="CN48" s="110" t="str">
        <f>Montagem!CQ182</f>
        <v/>
      </c>
      <c r="CO48" s="110" t="str">
        <f>Montagem!CR182</f>
        <v/>
      </c>
      <c r="CP48" s="110" t="str">
        <f>Montagem!CS182</f>
        <v/>
      </c>
      <c r="CQ48" s="114"/>
      <c r="CR48" s="111">
        <f>Montagem!CH182</f>
        <v>1</v>
      </c>
      <c r="CS48" s="111" t="str">
        <f>Montagem!CT182</f>
        <v/>
      </c>
      <c r="CT48" s="111" t="str">
        <f>Montagem!CI182</f>
        <v/>
      </c>
      <c r="CU48" s="145" t="str">
        <f>Montagem!CU182</f>
        <v/>
      </c>
      <c r="CV48" s="106" t="str">
        <f>IF(CU48="",CS48,CU48)</f>
        <v/>
      </c>
      <c r="CW48" s="106" t="str">
        <f>IF(CS49="C",'Dados de Base'!$D$5*0.1,IF(CS49="E",5,IF(CQ48="",CV48,CQ48)))</f>
        <v/>
      </c>
      <c r="CX48" s="108"/>
      <c r="CY48" s="115" t="str">
        <f>IF(DK48="","",HYPERLINK(OFFSET(Biblioteca!$B$2,MATCH(DK48,Biblioteca!$A$3:$A$200,0),0),DK48))</f>
        <v/>
      </c>
      <c r="DB48" s="130" t="str">
        <f>Montagem!DC182</f>
        <v/>
      </c>
      <c r="DC48" s="131" t="str">
        <f>Montagem!DD182</f>
        <v/>
      </c>
      <c r="DD48" s="131" t="str">
        <f>Montagem!DE182</f>
        <v/>
      </c>
      <c r="DE48" s="131" t="str">
        <f>Montagem!DF182</f>
        <v/>
      </c>
      <c r="DF48" s="131" t="str">
        <f>Montagem!DG182</f>
        <v/>
      </c>
      <c r="DG48" s="131" t="str">
        <f>Montagem!DH182</f>
        <v/>
      </c>
      <c r="DH48" s="114"/>
      <c r="DI48" s="111">
        <f>Montagem!CW182</f>
        <v>1</v>
      </c>
      <c r="DJ48" s="111" t="str">
        <f>Montagem!DI182</f>
        <v/>
      </c>
      <c r="DK48" s="111" t="str">
        <f>Montagem!CX182</f>
        <v/>
      </c>
      <c r="DL48" s="145" t="str">
        <f>Montagem!DJ182</f>
        <v/>
      </c>
      <c r="DM48" s="106" t="str">
        <f>IF(DL48="",DJ48,DL48)</f>
        <v/>
      </c>
      <c r="DN48" s="106" t="str">
        <f>IF(DJ49="C",'Dados de Base'!$D$5*0.1,IF(DJ49="E",5,IF(DH48="",DM48,DH48)))</f>
        <v/>
      </c>
      <c r="DO48" s="108"/>
      <c r="DP48" s="106"/>
      <c r="DQ48" s="106"/>
      <c r="DR48" s="106"/>
      <c r="DS48" s="106"/>
      <c r="DT48" s="106"/>
      <c r="DU48" s="106"/>
      <c r="DV48" s="106"/>
      <c r="DW48" s="106"/>
      <c r="DX48" s="106"/>
      <c r="DY48" s="106"/>
    </row>
    <row r="49">
      <c r="A49" s="117" t="str">
        <f>IF(A48="","",IFS(L49="A",Montagem!$C$180,N49="T","Realizar a maior quantidade de repetições por "&amp;F48&amp;" segundos | ",N49="I",IF(M49="U","Manter a posição por "&amp;F48&amp;" segundos de um lado e trocar para o outro na sequência | ","Manter a posição por "&amp;F48&amp;" segundos | "),M49="A","Realizar alternadamente "&amp;F48&amp;" repetições cada lado | ",M49="U","Realizar "&amp;F48&amp;" repetições de um lado e trocar para o outro na sequência | ",L49="P",OFFSET(Biblioteca!$H$2,MATCH(M48,Biblioteca!$A$3:$A$200,0),0),TRUE,"")&amp;IF(N49="R","Ajuste a carga para que tenha "&amp;$K$2&amp;" repetições de reserva",""))</f>
        <v>Ajuste a carga para que tenha 0 a 2 repetições de reserva</v>
      </c>
      <c r="E49" s="118" t="str">
        <f>IF(A48="","",IFS(L49="H","Carga Sugerida: "&amp;ROUNDUP(O48/2,0)&amp;" kg de cada lado (Total: "&amp;ROUNDUP(O48/2,0)*2&amp;" kg)",L49="C","Este exercício usa o Peso Corporal como carga",L49="E","Este exercício usa a resistência da banda elástica como carga",L49="O","Carga Sugerida: "&amp;INT(O48)&amp;" kg",TRUE,""))</f>
        <v>Carga Sugerida: 8 kg</v>
      </c>
      <c r="J49" s="66"/>
      <c r="K49" s="106">
        <f>K48</f>
        <v>8</v>
      </c>
      <c r="L49" s="120" t="str">
        <f>LEFT(O49)</f>
        <v>O</v>
      </c>
      <c r="M49" s="121" t="str">
        <f>MID(O49,2,1)</f>
        <v>O</v>
      </c>
      <c r="N49" s="122" t="str">
        <f>RIGHT(O49)</f>
        <v>R</v>
      </c>
      <c r="O49" s="123" t="str">
        <f>IF(M48="","",OFFSET(Biblioteca!$I$2,MATCH(M48,Biblioteca!$A$3:$A$200,0),0))</f>
        <v>OOR</v>
      </c>
      <c r="P49" s="57"/>
      <c r="Q49" s="125"/>
      <c r="R49" s="117" t="str">
        <f>IF(R48="","",IFS(AC49="A",Montagem!$D$180,AE49="T","Realizar a maior quantidade de repetições por "&amp;W48&amp;" segundos | ",AE49="I",IF(AD49="U","Manter a posição por "&amp;W48&amp;" segundos de um lado e trocar para o outro na sequência | ","Manter a posição por "&amp;W48&amp;" segundos | "),AD49="A","Realizar alternadamente "&amp;W48&amp;" repetições cada lado | ",AD49="U","Realizar "&amp;W48&amp;" repetições de um lado e trocar para o outro na sequência | ",AC49="P",OFFSET(Biblioteca!$H$2,MATCH(AD48,Biblioteca!$A$3:$A$200,0),0),TRUE,"")&amp;IF(AE49="R","Ajuste a carga para que tenha "&amp;$K$2&amp;" repetições de reserva",""))</f>
        <v>Ajuste a carga para que tenha 0 a 2 repetições de reserva</v>
      </c>
      <c r="V49" s="118" t="str">
        <f>IF(R48="","",IFS(AC49="H","Carga Sugerida: "&amp;ROUNDUP(AF48/2,0)&amp;" kg de cada lado (Total: "&amp;ROUNDUP(AF48/2,0)*2&amp;" kg)",AC49="C","Este exercício usa o Peso Corporal como carga",AC49="E","Este exercício usa a resistência da banda elástica como carga",AC49="O","Carga Sugerida: "&amp;INT(AF48)&amp;" kg",TRUE,""))</f>
        <v>Carga Sugerida: 165 kg</v>
      </c>
      <c r="AA49" s="66"/>
      <c r="AB49" s="126">
        <f>AB48</f>
        <v>8</v>
      </c>
      <c r="AC49" s="120" t="str">
        <f>LEFT(AF49)</f>
        <v>O</v>
      </c>
      <c r="AD49" s="121" t="str">
        <f>MID(AF49,2,1)</f>
        <v>O</v>
      </c>
      <c r="AE49" s="122" t="str">
        <f>RIGHT(AF49)</f>
        <v>R</v>
      </c>
      <c r="AF49" s="123" t="str">
        <f>IF(AD48="","",OFFSET(Biblioteca!$I$2,MATCH(AD48,Biblioteca!$A$3:$A$200,0),0))</f>
        <v>OOR</v>
      </c>
      <c r="AG49" s="57"/>
      <c r="AH49" s="125"/>
      <c r="AI49" s="117" t="str">
        <f>IF(AI48="","",IFS(AT49="A",Montagem!$E$180,AV49="T","Realizar a maior quantidade de repetições por "&amp;AN48&amp;" segundos | ",AV49="I",IF(AU49="U","Manter a posição por "&amp;AN48&amp;" segundos de um lado e trocar para o outro na sequência | ","Manter a posição por "&amp;AN48&amp;" segundos | "),AU49="A","Realizar alternadamente "&amp;AN48&amp;" repetições cada lado | ",AU49="U","Realizar "&amp;AN48&amp;" repetições de um lado e trocar para o outro na sequência | ",AT49="P",OFFSET(Biblioteca!$H$2,MATCH(AU48,Biblioteca!$A$3:$A$200,0),0),TRUE,"")&amp;IF(AV49="R","Ajuste a carga para que tenha "&amp;$K$2&amp;" repetições de reserva",""))</f>
        <v/>
      </c>
      <c r="AM49" s="118" t="str">
        <f>IF(AI48="","",IFS(AT49="H","Carga Sugerida: "&amp;ROUNDUP(AW48/2,0)&amp;" kg de cada lado (Total: "&amp;ROUNDUP(AW48/2,0)*2&amp;" kg)",AT49="C","Este exercício usa o Peso Corporal como carga",AT49="E","Este exercício usa a resistência da banda elástica como carga",AT49="O","Carga Sugerida: "&amp;INT(AW48)&amp;" kg",TRUE,""))</f>
        <v/>
      </c>
      <c r="AR49" s="66"/>
      <c r="AS49" s="126">
        <f>AS48</f>
        <v>1</v>
      </c>
      <c r="AT49" s="120" t="str">
        <f>LEFT(AW49)</f>
        <v/>
      </c>
      <c r="AU49" s="121" t="str">
        <f>MID(AW49,2,1)</f>
        <v/>
      </c>
      <c r="AV49" s="122" t="str">
        <f>RIGHT(AW49)</f>
        <v/>
      </c>
      <c r="AW49" s="123" t="str">
        <f>IF(AU48="","",OFFSET(Biblioteca!$I$2,MATCH(AU48,Biblioteca!$A$3:$A$200,0),0))</f>
        <v/>
      </c>
      <c r="AX49" s="57"/>
      <c r="AY49" s="125"/>
      <c r="AZ49" s="117" t="str">
        <f>IF(AZ48="","",IFS(BK49="A",Montagem!$F$180,BM49="T","Realizar a maior quantidade de repetições por "&amp;BE48&amp;" segundos | ",BM49="I",IF(BL49="U","Manter a posição por "&amp;BE48&amp;" segundos de um lado e trocar para o outro na sequência | ","Manter a posição por "&amp;BE48&amp;" segundos | "),BL49="A","Realizar alternadamente "&amp;BE48&amp;" repetições cada lado | ",BL49="U","Realizar "&amp;BE48&amp;" repetições de um lado e trocar para o outro na sequência | ",BK49="P",OFFSET(Biblioteca!$H$2,MATCH(BL48,Biblioteca!$A$3:$A$200,0),0),TRUE,"")&amp;IF(BM49="R","Ajuste a carga para que tenha "&amp;$K$2&amp;" repetições de reserva",""))</f>
        <v>Mantenha 37-40min em intensidade constante com frequência cardíaca entre 105,5 - 116,2 bpm (50 - 60% VO2Máx -&gt; 8,5 - 10,9km/h)</v>
      </c>
      <c r="BD49" s="118" t="str">
        <f>IF(AZ48="","",IFS(BK49="H","Carga Sugerida: "&amp;ROUNDUP(BN48/2,0)&amp;" kg de cada lado (Total: "&amp;ROUNDUP(BN48/2,0)*2&amp;" kg)",BK49="C","Este exercício usa o Peso Corporal como carga",BK49="E","Este exercício usa a resistência da banda elástica como carga",BK49="O","Carga Sugerida: "&amp;INT(BN48)&amp;" kg",TRUE,""))</f>
        <v/>
      </c>
      <c r="BI49" s="66"/>
      <c r="BJ49" s="126">
        <f>BJ48</f>
        <v>6</v>
      </c>
      <c r="BK49" s="120" t="str">
        <f>LEFT(BN49)</f>
        <v>A</v>
      </c>
      <c r="BL49" s="121" t="str">
        <f>MID(BN49,2,1)</f>
        <v>-</v>
      </c>
      <c r="BM49" s="122" t="str">
        <f>RIGHT(BN49)</f>
        <v>-</v>
      </c>
      <c r="BN49" s="123" t="str">
        <f>IF(BL48="","",OFFSET(Biblioteca!$I$2,MATCH(BL48,Biblioteca!$A$3:$A$200,0),0))</f>
        <v>A--</v>
      </c>
      <c r="BO49" s="57"/>
      <c r="BP49" s="125"/>
      <c r="BQ49" s="117" t="str">
        <f>IF(BQ48="","",IFS(CB49="A",Montagem!$G$180,CD49="T","Realizar a maior quantidade de repetições por "&amp;BV48&amp;" segundos | ",CD49="I",IF(CC49="U","Manter a posição por "&amp;BV48&amp;" segundos de um lado e trocar para o outro na sequência | ","Manter a posição por "&amp;BV48&amp;" segundos | "),CC49="A","Realizar alternadamente "&amp;BV48&amp;" repetições cada lado | ",CC49="U","Realizar "&amp;BV48&amp;" repetições de um lado e trocar para o outro na sequência | ",CB49="P",OFFSET(Biblioteca!$H$2,MATCH(CC48,Biblioteca!$A$3:$A$200,0),0),TRUE,"")&amp;IF(CD49="R","Ajuste a carga para que tenha "&amp;$K$2&amp;" repetições de reserva",""))</f>
        <v>1x (5m all out)</v>
      </c>
      <c r="BU49" s="118" t="str">
        <f>IF(BQ48="","",IFS(CB49="H","Carga Sugerida: "&amp;ROUNDUP(CE48/2,0)&amp;" kg de cada lado (Total: "&amp;ROUNDUP(CE48/2,0)*2&amp;" kg)",CB49="C","Este exercício usa o Peso Corporal como carga",CB49="E","Este exercício usa a resistência da banda elástica como carga",CB49="O","Carga Sugerida: "&amp;INT(CE48)&amp;" kg",TRUE,""))</f>
        <v/>
      </c>
      <c r="BZ49" s="66"/>
      <c r="CA49" s="126">
        <f>CA48</f>
        <v>7</v>
      </c>
      <c r="CB49" s="120" t="str">
        <f>LEFT(CE49)</f>
        <v>A</v>
      </c>
      <c r="CC49" s="121" t="str">
        <f>MID(CE49,2,1)</f>
        <v>T</v>
      </c>
      <c r="CD49" s="122" t="str">
        <f>RIGHT(CE49)</f>
        <v>T</v>
      </c>
      <c r="CE49" s="123" t="str">
        <f>IF(CC48="","",OFFSET(Biblioteca!$I$2,MATCH(CC48,Biblioteca!$A$3:$A$200,0),0))</f>
        <v>AT</v>
      </c>
      <c r="CF49" s="57"/>
      <c r="CG49" s="125"/>
      <c r="CH49" s="117" t="str">
        <f>IF(CH48="","",IFS(CS49="A",Montagem!$H$180,CU49="T","Realizar a maior quantidade de repetições por "&amp;CM48&amp;" segundos | ",CU49="I",IF(CT49="U","Manter a posição por "&amp;CM48&amp;" segundos de um lado e trocar para o outro na sequência | ","Manter a posição por "&amp;CM48&amp;" segundos | "),CT49="A","Realizar alternadamente "&amp;CM48&amp;" repetições cada lado | ",CT49="U","Realizar "&amp;CM48&amp;" repetições de um lado e trocar para o outro na sequência | ",CS49="P",OFFSET(Biblioteca!$H$2,MATCH(CT48,Biblioteca!$A$3:$A$200,0),0),TRUE,"")&amp;IF(CU49="R","Ajuste a carga para que tenha "&amp;$K$2&amp;" repetições de reserva",""))</f>
        <v/>
      </c>
      <c r="CL49" s="118" t="str">
        <f>IF(CH48="","",IFS(CS49="H","Carga Sugerida: "&amp;ROUNDUP(CV48/2,0)&amp;" kg de cada lado (Total: "&amp;ROUNDUP(CV48/2,0)*2&amp;" kg)",CS49="C","Este exercício usa o Peso Corporal como carga",CS49="E","Este exercício usa a resistência da banda elástica como carga",CS49="O","Carga Sugerida: "&amp;INT(CV48)&amp;" kg",TRUE,""))</f>
        <v/>
      </c>
      <c r="CQ49" s="66"/>
      <c r="CR49" s="126">
        <f>CR48</f>
        <v>1</v>
      </c>
      <c r="CS49" s="120" t="str">
        <f>LEFT(CV49)</f>
        <v/>
      </c>
      <c r="CT49" s="121" t="str">
        <f>MID(CV49,2,1)</f>
        <v/>
      </c>
      <c r="CU49" s="122" t="str">
        <f>RIGHT(CV49)</f>
        <v/>
      </c>
      <c r="CV49" s="123" t="str">
        <f>IF(CT48="","",OFFSET(Biblioteca!$I$2,MATCH(CT48,Biblioteca!$A$3:$A$200,0),0))</f>
        <v/>
      </c>
      <c r="CW49" s="57"/>
      <c r="CX49" s="125"/>
      <c r="CY49" s="117" t="str">
        <f>IF(CY48="","",IFS(DJ49="A",Montagem!$I$180,DL49="T","Realizar a maior quantidade de repetições por "&amp;DD48&amp;" segundos | ",DL49="I",IF(DK49="U","Manter a posição por "&amp;DD48&amp;" segundos de um lado e trocar para o outro na sequência | ","Manter a posição por "&amp;DD48&amp;" segundos | "),DK49="A","Realizar alternadamente "&amp;DD48&amp;" repetições cada lado | ",DK49="U","Realizar "&amp;DD48&amp;" repetições de um lado e trocar para o outro na sequência | ",DJ49="P",OFFSET(Biblioteca!$H$2,MATCH(DK48,Biblioteca!$A$3:$A$200,0),0),TRUE,"")&amp;IF(DL49="R","Ajuste a carga para que tenha "&amp;$K$2&amp;" repetições de reserva",""))</f>
        <v/>
      </c>
      <c r="DC49" s="118" t="str">
        <f>IF(CY48="","",IFS(DJ49="H","Carga Sugerida: "&amp;ROUNDUP(DM48/2,0)&amp;" kg de cada lado (Total: "&amp;ROUNDUP(DM48/2,0)*2&amp;" kg)",DJ49="C","Este exercício usa o Peso Corporal como carga",DJ49="E","Este exercício usa a resistência da banda elástica como carga",DJ49="O","Carga Sugerida: "&amp;INT(DM48)&amp;" kg",TRUE,""))</f>
        <v/>
      </c>
      <c r="DH49" s="66"/>
      <c r="DI49" s="126">
        <f>DI48</f>
        <v>1</v>
      </c>
      <c r="DJ49" s="120" t="str">
        <f>LEFT(DM49)</f>
        <v/>
      </c>
      <c r="DK49" s="121" t="str">
        <f>MID(DM49,2,1)</f>
        <v/>
      </c>
      <c r="DL49" s="122" t="str">
        <f>RIGHT(DM49)</f>
        <v/>
      </c>
      <c r="DM49" s="123" t="str">
        <f>IF(DK48="","",OFFSET(Biblioteca!$I$2,MATCH(DK48,Biblioteca!$A$3:$A$200,0),0))</f>
        <v/>
      </c>
      <c r="DN49" s="57"/>
      <c r="DO49" s="125"/>
      <c r="DP49" s="57"/>
      <c r="DQ49" s="56"/>
      <c r="DR49" s="56"/>
      <c r="DS49" s="56"/>
      <c r="DT49" s="56"/>
      <c r="DU49" s="56"/>
      <c r="DV49" s="56"/>
      <c r="DW49" s="56"/>
      <c r="DX49" s="56"/>
      <c r="DY49" s="56"/>
    </row>
    <row r="50">
      <c r="A50" s="115" t="str">
        <f>IF(M50="","",HYPERLINK(OFFSET(Biblioteca!$B$2,MATCH(M50,Biblioteca!$A$3:$A$200,0),0),M50))</f>
        <v>Esteira</v>
      </c>
      <c r="D50" s="103" t="str">
        <f>Montagem!Q183</f>
        <v/>
      </c>
      <c r="E50" s="104" t="str">
        <f>Montagem!R183</f>
        <v/>
      </c>
      <c r="F50" s="104" t="str">
        <f>Montagem!S183</f>
        <v/>
      </c>
      <c r="G50" s="104">
        <f>Montagem!T183</f>
        <v>60</v>
      </c>
      <c r="H50" s="104" t="str">
        <f>Montagem!U183</f>
        <v/>
      </c>
      <c r="I50" s="132" t="str">
        <f>Montagem!V183</f>
        <v/>
      </c>
      <c r="J50" s="144"/>
      <c r="K50" s="106">
        <f>Montagem!K183</f>
        <v>9</v>
      </c>
      <c r="L50" s="111">
        <f>Montagem!W183</f>
        <v>0</v>
      </c>
      <c r="M50" s="111" t="str">
        <f>Montagem!L183</f>
        <v>Esteira</v>
      </c>
      <c r="N50" s="111" t="str">
        <f>Montagem!X183</f>
        <v/>
      </c>
      <c r="O50" s="106">
        <f>IF(N50="",L50,N50)</f>
        <v>0</v>
      </c>
      <c r="P50" s="106">
        <f>IF(L51="C",'Dados de Base'!$D$5*0.1,IF(L51="E",5,IF(J50="",O50,J50)))</f>
        <v>0</v>
      </c>
      <c r="Q50" s="108"/>
      <c r="R50" s="115" t="str">
        <f>IF(AD50="","",HYPERLINK(OFFSET(Biblioteca!$B$2,MATCH(AD50,Biblioteca!$A$3:$A$200,0),0),AD50))</f>
        <v>Bicicleta</v>
      </c>
      <c r="U50" s="109" t="str">
        <f>Montagem!AF183</f>
        <v/>
      </c>
      <c r="V50" s="110" t="str">
        <f>Montagem!AG183</f>
        <v/>
      </c>
      <c r="W50" s="110" t="str">
        <f>Montagem!AH183</f>
        <v/>
      </c>
      <c r="X50" s="110">
        <f>Montagem!AI183</f>
        <v>60</v>
      </c>
      <c r="Y50" s="110" t="str">
        <f>Montagem!AJ183</f>
        <v/>
      </c>
      <c r="Z50" s="110" t="str">
        <f>Montagem!AK183</f>
        <v/>
      </c>
      <c r="AA50" s="113"/>
      <c r="AB50" s="111">
        <f>Montagem!Z183</f>
        <v>9</v>
      </c>
      <c r="AC50" s="111">
        <f>Montagem!AL183</f>
        <v>0</v>
      </c>
      <c r="AD50" s="129" t="str">
        <f>Montagem!AA183</f>
        <v>Bicicleta</v>
      </c>
      <c r="AE50" s="111" t="str">
        <f>Montagem!AM183</f>
        <v/>
      </c>
      <c r="AF50" s="106">
        <f>IF(AE50="",AC50,AE50)</f>
        <v>0</v>
      </c>
      <c r="AG50" s="106">
        <f>IF(AC51="C",'Dados de Base'!$D$5*0.1,IF(AC51="E",5,IF(AA50="",AF50,AA50)))</f>
        <v>0</v>
      </c>
      <c r="AH50" s="108"/>
      <c r="AI50" s="115" t="str">
        <f>IF(AU50="","",HYPERLINK(OFFSET(Biblioteca!$B$2,MATCH(AU50,Biblioteca!$A$3:$A$200,0),0),AU50))</f>
        <v/>
      </c>
      <c r="AL50" s="109" t="str">
        <f>Montagem!AU183</f>
        <v/>
      </c>
      <c r="AM50" s="110" t="str">
        <f>Montagem!AV183</f>
        <v/>
      </c>
      <c r="AN50" s="110" t="str">
        <f>Montagem!AW183</f>
        <v/>
      </c>
      <c r="AO50" s="110" t="str">
        <f>Montagem!AX183</f>
        <v/>
      </c>
      <c r="AP50" s="110" t="str">
        <f>Montagem!AY183</f>
        <v/>
      </c>
      <c r="AQ50" s="110" t="str">
        <f>Montagem!AZ183</f>
        <v/>
      </c>
      <c r="AR50" s="114"/>
      <c r="AS50" s="111">
        <f>Montagem!AO183</f>
        <v>1</v>
      </c>
      <c r="AT50" s="111" t="str">
        <f>Montagem!BA183</f>
        <v/>
      </c>
      <c r="AU50" s="111" t="str">
        <f>Montagem!AP183</f>
        <v/>
      </c>
      <c r="AV50" s="111" t="str">
        <f>Montagem!BB183</f>
        <v/>
      </c>
      <c r="AW50" s="106" t="str">
        <f>IF(AV50="",AT50,AV50)</f>
        <v/>
      </c>
      <c r="AX50" s="106" t="str">
        <f>IF(AT51="C",'Dados de Base'!$D$5*0.1,IF(AT51="E",5,IF(AR50="",AW50,AR50)))</f>
        <v/>
      </c>
      <c r="AY50" s="108"/>
      <c r="AZ50" s="115" t="str">
        <f>IF(BL50="","",HYPERLINK(OFFSET(Biblioteca!$B$2,MATCH(BL50,Biblioteca!$A$3:$A$200,0),0),BL50))</f>
        <v/>
      </c>
      <c r="BC50" s="109" t="str">
        <f>Montagem!BJ183</f>
        <v/>
      </c>
      <c r="BD50" s="110" t="str">
        <f>Montagem!BK183</f>
        <v/>
      </c>
      <c r="BE50" s="110" t="str">
        <f>Montagem!BL183</f>
        <v/>
      </c>
      <c r="BF50" s="110" t="str">
        <f>Montagem!BM183</f>
        <v/>
      </c>
      <c r="BG50" s="110" t="str">
        <f>Montagem!BN183</f>
        <v/>
      </c>
      <c r="BH50" s="110" t="str">
        <f>Montagem!BO183</f>
        <v/>
      </c>
      <c r="BI50" s="113"/>
      <c r="BJ50" s="111">
        <f>Montagem!BD183</f>
        <v>7</v>
      </c>
      <c r="BK50" s="111" t="str">
        <f>Montagem!BP183</f>
        <v/>
      </c>
      <c r="BL50" s="111" t="str">
        <f>Montagem!BE183</f>
        <v/>
      </c>
      <c r="BM50" s="111" t="str">
        <f>Montagem!BQ183</f>
        <v/>
      </c>
      <c r="BN50" s="106" t="str">
        <f>IF(BM50="",BK50,BM50)</f>
        <v/>
      </c>
      <c r="BO50" s="106" t="str">
        <f>IF(BK51="C",'Dados de Base'!$D$5*0.1,IF(BK51="E",5,IF(BI50="",BN50,BI50)))</f>
        <v/>
      </c>
      <c r="BP50" s="108"/>
      <c r="BQ50" s="115" t="str">
        <f>IF(CC50="","",HYPERLINK(OFFSET(Biblioteca!$B$2,MATCH(CC50,Biblioteca!$A$3:$A$200,0),0),CC50))</f>
        <v/>
      </c>
      <c r="BT50" s="109" t="str">
        <f>Montagem!BY183</f>
        <v/>
      </c>
      <c r="BU50" s="110" t="str">
        <f>Montagem!BZ183</f>
        <v/>
      </c>
      <c r="BV50" s="110" t="str">
        <f>Montagem!CA183</f>
        <v/>
      </c>
      <c r="BW50" s="110" t="str">
        <f>Montagem!CB183</f>
        <v/>
      </c>
      <c r="BX50" s="110" t="str">
        <f>Montagem!CC183</f>
        <v/>
      </c>
      <c r="BY50" s="110" t="str">
        <f>Montagem!CD183</f>
        <v/>
      </c>
      <c r="BZ50" s="114"/>
      <c r="CA50" s="111">
        <f>Montagem!BS183</f>
        <v>8</v>
      </c>
      <c r="CB50" s="111" t="str">
        <f>Montagem!CE183</f>
        <v/>
      </c>
      <c r="CC50" s="111" t="str">
        <f>Montagem!BT183</f>
        <v/>
      </c>
      <c r="CD50" s="111" t="str">
        <f>Montagem!CF183</f>
        <v/>
      </c>
      <c r="CE50" s="106" t="str">
        <f>IF(CD50="",CB50,CD50)</f>
        <v/>
      </c>
      <c r="CF50" s="106" t="str">
        <f>IF(CB51="C",'Dados de Base'!$D$5*0.1,IF(CB51="E",5,IF(BZ50="",CE50,BZ50)))</f>
        <v/>
      </c>
      <c r="CG50" s="108"/>
      <c r="CH50" s="115" t="str">
        <f>IF(CT50="","",HYPERLINK(OFFSET(Biblioteca!$B$2,MATCH(CT50,Biblioteca!$A$3:$A$200,0),0),CT50))</f>
        <v/>
      </c>
      <c r="CK50" s="109" t="str">
        <f>Montagem!CN183</f>
        <v/>
      </c>
      <c r="CL50" s="110" t="str">
        <f>Montagem!CO183</f>
        <v/>
      </c>
      <c r="CM50" s="110" t="str">
        <f>Montagem!CP183</f>
        <v/>
      </c>
      <c r="CN50" s="110" t="str">
        <f>Montagem!CQ183</f>
        <v/>
      </c>
      <c r="CO50" s="110" t="str">
        <f>Montagem!CR183</f>
        <v/>
      </c>
      <c r="CP50" s="110" t="str">
        <f>Montagem!CS183</f>
        <v/>
      </c>
      <c r="CQ50" s="114"/>
      <c r="CR50" s="111">
        <f>Montagem!CH183</f>
        <v>1</v>
      </c>
      <c r="CS50" s="111" t="str">
        <f>Montagem!CT183</f>
        <v/>
      </c>
      <c r="CT50" s="111" t="str">
        <f>Montagem!CI183</f>
        <v/>
      </c>
      <c r="CU50" s="145" t="str">
        <f>Montagem!CU183</f>
        <v/>
      </c>
      <c r="CV50" s="106" t="str">
        <f>IF(CU50="",CS50,CU50)</f>
        <v/>
      </c>
      <c r="CW50" s="106" t="str">
        <f>IF(CS51="C",'Dados de Base'!$D$5*0.1,IF(CS51="E",5,IF(CQ50="",CV50,CQ50)))</f>
        <v/>
      </c>
      <c r="CX50" s="108"/>
      <c r="CY50" s="115" t="str">
        <f>IF(DK50="","",HYPERLINK(OFFSET(Biblioteca!$B$2,MATCH(DK50,Biblioteca!$A$3:$A$200,0),0),DK50))</f>
        <v/>
      </c>
      <c r="DB50" s="130" t="str">
        <f>Montagem!DC183</f>
        <v/>
      </c>
      <c r="DC50" s="131" t="str">
        <f>Montagem!DD183</f>
        <v/>
      </c>
      <c r="DD50" s="131" t="str">
        <f>Montagem!DE183</f>
        <v/>
      </c>
      <c r="DE50" s="131" t="str">
        <f>Montagem!DF183</f>
        <v/>
      </c>
      <c r="DF50" s="131" t="str">
        <f>Montagem!DG183</f>
        <v/>
      </c>
      <c r="DG50" s="131" t="str">
        <f>Montagem!DH183</f>
        <v/>
      </c>
      <c r="DH50" s="114"/>
      <c r="DI50" s="111">
        <f>Montagem!CW183</f>
        <v>1</v>
      </c>
      <c r="DJ50" s="111" t="str">
        <f>Montagem!DI183</f>
        <v/>
      </c>
      <c r="DK50" s="111" t="str">
        <f>Montagem!CX183</f>
        <v/>
      </c>
      <c r="DL50" s="145" t="str">
        <f>Montagem!DJ183</f>
        <v/>
      </c>
      <c r="DM50" s="106" t="str">
        <f>IF(DL50="",DJ50,DL50)</f>
        <v/>
      </c>
      <c r="DN50" s="106" t="str">
        <f>IF(DJ51="C",'Dados de Base'!$D$5*0.1,IF(DJ51="E",5,IF(DH50="",DM50,DH50)))</f>
        <v/>
      </c>
      <c r="DO50" s="108"/>
      <c r="DP50" s="106"/>
      <c r="DQ50" s="106"/>
      <c r="DR50" s="106"/>
      <c r="DS50" s="106"/>
      <c r="DT50" s="106"/>
      <c r="DU50" s="106"/>
      <c r="DV50" s="106"/>
      <c r="DW50" s="106"/>
      <c r="DX50" s="106"/>
      <c r="DY50" s="106"/>
    </row>
    <row r="51">
      <c r="A51" s="117" t="str">
        <f>IF(A50="","",IFS(L51="A",Montagem!$C$180,N51="T","Realizar a maior quantidade de repetições por "&amp;F50&amp;" segundos | ",N51="I",IF(M51="U","Manter a posição por "&amp;F50&amp;" segundos de um lado e trocar para o outro na sequência | ","Manter a posição por "&amp;F50&amp;" segundos | "),M51="A","Realizar alternadamente "&amp;F50&amp;" repetições cada lado | ",M51="U","Realizar "&amp;F50&amp;" repetições de um lado e trocar para o outro na sequência | ",L51="P",OFFSET(Biblioteca!$H$2,MATCH(M50,Biblioteca!$A$3:$A$200,0),0),TRUE,"")&amp;IF(N51="R","Ajuste a carga para que tenha "&amp;$K$2&amp;" repetições de reserva",""))</f>
        <v>1x (3m a 142,95 - 148,3 bpm-&gt; 15,4 - 16,4km/h)</v>
      </c>
      <c r="E51" s="118" t="str">
        <f>IF(A50="","",IFS(L51="H","Carga Sugerida: "&amp;ROUNDUP(O50/2,0)&amp;" kg de cada lado (Total: "&amp;ROUNDUP(O50/2,0)*2&amp;" kg)",L51="C","Este exercício usa o Peso Corporal como carga",L51="E","Este exercício usa a resistência da banda elástica como carga",L51="O","Carga Sugerida: "&amp;INT(O50)&amp;" kg",TRUE,""))</f>
        <v/>
      </c>
      <c r="J51" s="66"/>
      <c r="K51" s="106">
        <f>K50</f>
        <v>9</v>
      </c>
      <c r="L51" s="120" t="str">
        <f>LEFT(O51)</f>
        <v>A</v>
      </c>
      <c r="M51" s="121" t="str">
        <f>MID(O51,2,1)</f>
        <v>-</v>
      </c>
      <c r="N51" s="122" t="str">
        <f>RIGHT(O51)</f>
        <v>-</v>
      </c>
      <c r="O51" s="123" t="str">
        <f>IF(M50="","",OFFSET(Biblioteca!$I$2,MATCH(M50,Biblioteca!$A$3:$A$200,0),0))</f>
        <v>A--</v>
      </c>
      <c r="P51" s="57"/>
      <c r="Q51" s="125"/>
      <c r="R51" s="117" t="str">
        <f>IF(R50="","",IFS(AC51="A",Montagem!$D$180,AE51="T","Realizar a maior quantidade de repetições por "&amp;W50&amp;" segundos | ",AE51="I",IF(AD51="U","Manter a posição por "&amp;W50&amp;" segundos de um lado e trocar para o outro na sequência | ","Manter a posição por "&amp;W50&amp;" segundos | "),AD51="A","Realizar alternadamente "&amp;W50&amp;" repetições cada lado | ",AD51="U","Realizar "&amp;W50&amp;" repetições de um lado e trocar para o outro na sequência | ",AC51="P",OFFSET(Biblioteca!$H$2,MATCH(AD50,Biblioteca!$A$3:$A$200,0),0),TRUE,"")&amp;IF(AE51="R","Ajuste a carga para que tenha "&amp;$K$2&amp;" repetições de reserva",""))</f>
        <v>1x (3m all out)</v>
      </c>
      <c r="V51" s="118" t="str">
        <f>IF(R50="","",IFS(AC51="H","Carga Sugerida: "&amp;ROUNDUP(AF50/2,0)&amp;" kg de cada lado (Total: "&amp;ROUNDUP(AF50/2,0)*2&amp;" kg)",AC51="C","Este exercício usa o Peso Corporal como carga",AC51="E","Este exercício usa a resistência da banda elástica como carga",AC51="O","Carga Sugerida: "&amp;INT(AF50)&amp;" kg",TRUE,""))</f>
        <v/>
      </c>
      <c r="AA51" s="66"/>
      <c r="AB51" s="126">
        <f>AB50</f>
        <v>9</v>
      </c>
      <c r="AC51" s="120" t="str">
        <f>LEFT(AF51)</f>
        <v>A</v>
      </c>
      <c r="AD51" s="121" t="str">
        <f>MID(AF51,2,1)</f>
        <v>-</v>
      </c>
      <c r="AE51" s="122" t="str">
        <f>RIGHT(AF51)</f>
        <v>-</v>
      </c>
      <c r="AF51" s="123" t="str">
        <f>IF(AD50="","",OFFSET(Biblioteca!$I$2,MATCH(AD50,Biblioteca!$A$3:$A$200,0),0))</f>
        <v>A--</v>
      </c>
      <c r="AG51" s="57"/>
      <c r="AH51" s="125"/>
      <c r="AI51" s="117" t="str">
        <f>IF(AI50="","",IFS(AT51="A",Montagem!$E$180,AV51="T","Realizar a maior quantidade de repetições por "&amp;AN50&amp;" segundos | ",AV51="I",IF(AU51="U","Manter a posição por "&amp;AN50&amp;" segundos de um lado e trocar para o outro na sequência | ","Manter a posição por "&amp;AN50&amp;" segundos | "),AU51="A","Realizar alternadamente "&amp;AN50&amp;" repetições cada lado | ",AU51="U","Realizar "&amp;AN50&amp;" repetições de um lado e trocar para o outro na sequência | ",AT51="P",OFFSET(Biblioteca!$H$2,MATCH(AU50,Biblioteca!$A$3:$A$200,0),0),TRUE,"")&amp;IF(AV51="R","Ajuste a carga para que tenha "&amp;$K$2&amp;" repetições de reserva",""))</f>
        <v/>
      </c>
      <c r="AM51" s="118" t="str">
        <f>IF(AI50="","",IFS(AT51="H","Carga Sugerida: "&amp;ROUNDUP(AW50/2,0)&amp;" kg de cada lado (Total: "&amp;ROUNDUP(AW50/2,0)*2&amp;" kg)",AT51="C","Este exercício usa o Peso Corporal como carga",AT51="E","Este exercício usa a resistência da banda elástica como carga",AT51="O","Carga Sugerida: "&amp;INT(AW50)&amp;" kg",TRUE,""))</f>
        <v/>
      </c>
      <c r="AR51" s="66"/>
      <c r="AS51" s="126">
        <f>AS50</f>
        <v>1</v>
      </c>
      <c r="AT51" s="120" t="str">
        <f>LEFT(AW51)</f>
        <v/>
      </c>
      <c r="AU51" s="121" t="str">
        <f>MID(AW51,2,1)</f>
        <v/>
      </c>
      <c r="AV51" s="122" t="str">
        <f>RIGHT(AW51)</f>
        <v/>
      </c>
      <c r="AW51" s="123" t="str">
        <f>IF(AU50="","",OFFSET(Biblioteca!$I$2,MATCH(AU50,Biblioteca!$A$3:$A$200,0),0))</f>
        <v/>
      </c>
      <c r="AX51" s="57"/>
      <c r="AY51" s="125"/>
      <c r="AZ51" s="117" t="str">
        <f>IF(AZ50="","",IFS(BK51="A",Montagem!$F$180,BM51="T","Realizar a maior quantidade de repetições por "&amp;BE50&amp;" segundos | ",BM51="I",IF(BL51="U","Manter a posição por "&amp;BE50&amp;" segundos de um lado e trocar para o outro na sequência | ","Manter a posição por "&amp;BE50&amp;" segundos | "),BL51="A","Realizar alternadamente "&amp;BE50&amp;" repetições cada lado | ",BL51="U","Realizar "&amp;BE50&amp;" repetições de um lado e trocar para o outro na sequência | ",BK51="P",OFFSET(Biblioteca!$H$2,MATCH(BL50,Biblioteca!$A$3:$A$200,0),0),TRUE,"")&amp;IF(BM51="R","Ajuste a carga para que tenha "&amp;$K$2&amp;" repetições de reserva",""))</f>
        <v/>
      </c>
      <c r="BD51" s="118" t="str">
        <f>IF(AZ50="","",IFS(BK51="H","Carga Sugerida: "&amp;ROUNDUP(BN50/2,0)&amp;" kg de cada lado (Total: "&amp;ROUNDUP(BN50/2,0)*2&amp;" kg)",BK51="C","Este exercício usa o Peso Corporal como carga",BK51="E","Este exercício usa a resistência da banda elástica como carga",BK51="O","Carga Sugerida: "&amp;INT(BN50)&amp;" kg",TRUE,""))</f>
        <v/>
      </c>
      <c r="BI51" s="66"/>
      <c r="BJ51" s="126">
        <f>BJ50</f>
        <v>7</v>
      </c>
      <c r="BK51" s="120" t="str">
        <f>LEFT(BN51)</f>
        <v/>
      </c>
      <c r="BL51" s="121" t="str">
        <f>MID(BN51,2,1)</f>
        <v/>
      </c>
      <c r="BM51" s="122" t="str">
        <f>RIGHT(BN51)</f>
        <v/>
      </c>
      <c r="BN51" s="123" t="str">
        <f>IF(BL50="","",OFFSET(Biblioteca!$I$2,MATCH(BL50,Biblioteca!$A$3:$A$200,0),0))</f>
        <v/>
      </c>
      <c r="BO51" s="57"/>
      <c r="BP51" s="125"/>
      <c r="BQ51" s="117" t="str">
        <f>IF(BQ50="","",IFS(CB51="A",Montagem!$G$180,CD51="T","Realizar a maior quantidade de repetições por "&amp;BV50&amp;" segundos | ",CD51="I",IF(CC51="U","Manter a posição por "&amp;BV50&amp;" segundos de um lado e trocar para o outro na sequência | ","Manter a posição por "&amp;BV50&amp;" segundos | "),CC51="A","Realizar alternadamente "&amp;BV50&amp;" repetições cada lado | ",CC51="U","Realizar "&amp;BV50&amp;" repetições de um lado e trocar para o outro na sequência | ",CB51="P",OFFSET(Biblioteca!$H$2,MATCH(CC50,Biblioteca!$A$3:$A$200,0),0),TRUE,"")&amp;IF(CD51="R","Ajuste a carga para que tenha "&amp;$K$2&amp;" repetições de reserva",""))</f>
        <v/>
      </c>
      <c r="BU51" s="118" t="str">
        <f>IF(BQ50="","",IFS(CB51="H","Carga Sugerida: "&amp;ROUNDUP(CE50/2,0)&amp;" kg de cada lado (Total: "&amp;ROUNDUP(CE50/2,0)*2&amp;" kg)",CB51="C","Este exercício usa o Peso Corporal como carga",CB51="E","Este exercício usa a resistência da banda elástica como carga",CB51="O","Carga Sugerida: "&amp;INT(CE50)&amp;" kg",TRUE,""))</f>
        <v/>
      </c>
      <c r="BZ51" s="66"/>
      <c r="CA51" s="126">
        <f>CA50</f>
        <v>8</v>
      </c>
      <c r="CB51" s="120" t="str">
        <f>LEFT(CE51)</f>
        <v/>
      </c>
      <c r="CC51" s="121" t="str">
        <f>MID(CE51,2,1)</f>
        <v/>
      </c>
      <c r="CD51" s="122" t="str">
        <f>RIGHT(CE51)</f>
        <v/>
      </c>
      <c r="CE51" s="123" t="str">
        <f>IF(CC50="","",OFFSET(Biblioteca!$I$2,MATCH(CC50,Biblioteca!$A$3:$A$200,0),0))</f>
        <v/>
      </c>
      <c r="CF51" s="57"/>
      <c r="CG51" s="125"/>
      <c r="CH51" s="117" t="str">
        <f>IF(CH50="","",IFS(CS51="A",Montagem!$H$180,CU51="T","Realizar a maior quantidade de repetições por "&amp;CM50&amp;" segundos | ",CU51="I",IF(CT51="U","Manter a posição por "&amp;CM50&amp;" segundos de um lado e trocar para o outro na sequência | ","Manter a posição por "&amp;CM50&amp;" segundos | "),CT51="A","Realizar alternadamente "&amp;CM50&amp;" repetições cada lado | ",CT51="U","Realizar "&amp;CM50&amp;" repetições de um lado e trocar para o outro na sequência | ",CS51="P",OFFSET(Biblioteca!$H$2,MATCH(CT50,Biblioteca!$A$3:$A$200,0),0),TRUE,"")&amp;IF(CU51="R","Ajuste a carga para que tenha "&amp;$K$2&amp;" repetições de reserva",""))</f>
        <v/>
      </c>
      <c r="CL51" s="118" t="str">
        <f>IF(CH50="","",IFS(CS51="H","Carga Sugerida: "&amp;ROUNDUP(CV50/2,0)&amp;" kg de cada lado (Total: "&amp;ROUNDUP(CV50/2,0)*2&amp;" kg)",CS51="C","Este exercício usa o Peso Corporal como carga",CS51="E","Este exercício usa a resistência da banda elástica como carga",CS51="O","Carga Sugerida: "&amp;INT(CV50)&amp;" kg",TRUE,""))</f>
        <v/>
      </c>
      <c r="CQ51" s="66"/>
      <c r="CR51" s="126">
        <f>CR50</f>
        <v>1</v>
      </c>
      <c r="CS51" s="120" t="str">
        <f>LEFT(CV51)</f>
        <v/>
      </c>
      <c r="CT51" s="121" t="str">
        <f>MID(CV51,2,1)</f>
        <v/>
      </c>
      <c r="CU51" s="122" t="str">
        <f>RIGHT(CV51)</f>
        <v/>
      </c>
      <c r="CV51" s="123" t="str">
        <f>IF(CT50="","",OFFSET(Biblioteca!$I$2,MATCH(CT50,Biblioteca!$A$3:$A$200,0),0))</f>
        <v/>
      </c>
      <c r="CW51" s="57"/>
      <c r="CX51" s="125"/>
      <c r="CY51" s="117" t="str">
        <f>IF(CY50="","",IFS(DJ51="A",Montagem!$I$180,DL51="T","Realizar a maior quantidade de repetições por "&amp;DD50&amp;" segundos | ",DL51="I",IF(DK51="U","Manter a posição por "&amp;DD50&amp;" segundos de um lado e trocar para o outro na sequência | ","Manter a posição por "&amp;DD50&amp;" segundos | "),DK51="A","Realizar alternadamente "&amp;DD50&amp;" repetições cada lado | ",DK51="U","Realizar "&amp;DD50&amp;" repetições de um lado e trocar para o outro na sequência | ",DJ51="P",OFFSET(Biblioteca!$H$2,MATCH(DK50,Biblioteca!$A$3:$A$200,0),0),TRUE,"")&amp;IF(DL51="R","Ajuste a carga para que tenha "&amp;$K$2&amp;" repetições de reserva",""))</f>
        <v/>
      </c>
      <c r="DC51" s="118" t="str">
        <f>IF(CY50="","",IFS(DJ51="H","Carga Sugerida: "&amp;ROUNDUP(DM50/2,0)&amp;" kg de cada lado (Total: "&amp;ROUNDUP(DM50/2,0)*2&amp;" kg)",DJ51="C","Este exercício usa o Peso Corporal como carga",DJ51="E","Este exercício usa a resistência da banda elástica como carga",DJ51="O","Carga Sugerida: "&amp;INT(DM50)&amp;" kg",TRUE,""))</f>
        <v/>
      </c>
      <c r="DH51" s="66"/>
      <c r="DI51" s="126">
        <f>DI50</f>
        <v>1</v>
      </c>
      <c r="DJ51" s="120" t="str">
        <f>LEFT(DM51)</f>
        <v/>
      </c>
      <c r="DK51" s="121" t="str">
        <f>MID(DM51,2,1)</f>
        <v/>
      </c>
      <c r="DL51" s="122" t="str">
        <f>RIGHT(DM51)</f>
        <v/>
      </c>
      <c r="DM51" s="123" t="str">
        <f>IF(DK50="","",OFFSET(Biblioteca!$I$2,MATCH(DK50,Biblioteca!$A$3:$A$200,0),0))</f>
        <v/>
      </c>
      <c r="DN51" s="57"/>
      <c r="DO51" s="125"/>
      <c r="DP51" s="57"/>
      <c r="DQ51" s="56"/>
      <c r="DR51" s="56"/>
      <c r="DS51" s="56"/>
      <c r="DT51" s="56"/>
      <c r="DU51" s="56"/>
      <c r="DV51" s="56"/>
      <c r="DW51" s="56"/>
      <c r="DX51" s="56"/>
      <c r="DY51" s="56"/>
    </row>
    <row r="52">
      <c r="A52" s="102" t="str">
        <f>IF(M52="","",HYPERLINK(OFFSET(Biblioteca!$B$2,MATCH(M52,Biblioteca!$A$3:$A$200,0),0),M52))</f>
        <v>Abdominal canoa</v>
      </c>
      <c r="D52" s="103" t="str">
        <f>Montagem!Q184</f>
        <v>Bi-SET</v>
      </c>
      <c r="E52" s="104">
        <f>Montagem!R184</f>
        <v>3</v>
      </c>
      <c r="F52" s="104">
        <f>Montagem!S184</f>
        <v>15</v>
      </c>
      <c r="G52" s="104" t="str">
        <f>Montagem!T184</f>
        <v/>
      </c>
      <c r="H52" s="104">
        <f>Montagem!U184</f>
        <v>1</v>
      </c>
      <c r="I52" s="132">
        <f>Montagem!V184</f>
        <v>2</v>
      </c>
      <c r="J52" s="144"/>
      <c r="K52" s="106">
        <f>Montagem!K184</f>
        <v>10</v>
      </c>
      <c r="L52" s="111">
        <f>Montagem!W184</f>
        <v>0</v>
      </c>
      <c r="M52" s="111" t="str">
        <f>Montagem!L184</f>
        <v>Abdominal canoa</v>
      </c>
      <c r="N52" s="111" t="str">
        <f>Montagem!X184</f>
        <v/>
      </c>
      <c r="O52" s="106">
        <f>IF(N52="",L52,N52)</f>
        <v>0</v>
      </c>
      <c r="P52" s="106">
        <f>IF(L53="C",'Dados de Base'!$D$5*0.1,IF(L53="E",5,IF(J52="",O52,J52)))</f>
        <v>6.3</v>
      </c>
      <c r="Q52" s="108"/>
      <c r="R52" s="102" t="str">
        <f>IF(AD52="","",HYPERLINK(OFFSET(Biblioteca!$B$2,MATCH(AD52,Biblioteca!$A$3:$A$200,0),0),AD52))</f>
        <v>Abdominal roda</v>
      </c>
      <c r="U52" s="109" t="str">
        <f>Montagem!AF184</f>
        <v>Bi-SET</v>
      </c>
      <c r="V52" s="110">
        <f>Montagem!AG184</f>
        <v>3</v>
      </c>
      <c r="W52" s="110">
        <f>Montagem!AH184</f>
        <v>15</v>
      </c>
      <c r="X52" s="110" t="str">
        <f>Montagem!AI184</f>
        <v/>
      </c>
      <c r="Y52" s="110">
        <f>Montagem!AJ184</f>
        <v>1</v>
      </c>
      <c r="Z52" s="110">
        <f>Montagem!AK184</f>
        <v>2</v>
      </c>
      <c r="AA52" s="113"/>
      <c r="AB52" s="111">
        <f>Montagem!Z184</f>
        <v>10</v>
      </c>
      <c r="AC52" s="111">
        <f>Montagem!AL184</f>
        <v>0</v>
      </c>
      <c r="AD52" s="129" t="str">
        <f>Montagem!AA184</f>
        <v>Abdominal roda</v>
      </c>
      <c r="AE52" s="111" t="str">
        <f>Montagem!AM184</f>
        <v/>
      </c>
      <c r="AF52" s="106">
        <f>IF(AE52="",AC52,AE52)</f>
        <v>0</v>
      </c>
      <c r="AG52" s="106">
        <f>IF(AC53="C",'Dados de Base'!$D$5*0.1,IF(AC53="E",5,IF(AA52="",AF52,AA52)))</f>
        <v>6.3</v>
      </c>
      <c r="AH52" s="108"/>
      <c r="AI52" s="115" t="str">
        <f>IF(AU52="","",HYPERLINK(OFFSET(Biblioteca!$B$2,MATCH(AU52,Biblioteca!$A$3:$A$200,0),0),AU52))</f>
        <v/>
      </c>
      <c r="AL52" s="109" t="str">
        <f>Montagem!AU184</f>
        <v/>
      </c>
      <c r="AM52" s="110" t="str">
        <f>Montagem!AV184</f>
        <v/>
      </c>
      <c r="AN52" s="110" t="str">
        <f>Montagem!AW184</f>
        <v/>
      </c>
      <c r="AO52" s="110" t="str">
        <f>Montagem!AX184</f>
        <v/>
      </c>
      <c r="AP52" s="110" t="str">
        <f>Montagem!AY184</f>
        <v/>
      </c>
      <c r="AQ52" s="110" t="str">
        <f>Montagem!AZ184</f>
        <v/>
      </c>
      <c r="AR52" s="114"/>
      <c r="AS52" s="111">
        <f>Montagem!AO184</f>
        <v>1</v>
      </c>
      <c r="AT52" s="111" t="str">
        <f>Montagem!BA184</f>
        <v/>
      </c>
      <c r="AU52" s="111" t="str">
        <f>Montagem!AP184</f>
        <v/>
      </c>
      <c r="AV52" s="111" t="str">
        <f>Montagem!BB184</f>
        <v/>
      </c>
      <c r="AW52" s="106" t="str">
        <f>IF(AV52="",AT52,AV52)</f>
        <v/>
      </c>
      <c r="AX52" s="106" t="str">
        <f>IF(AT53="C",'Dados de Base'!$D$5*0.1,IF(AT53="E",5,IF(AR52="",AW52,AR52)))</f>
        <v/>
      </c>
      <c r="AY52" s="108"/>
      <c r="AZ52" s="115" t="str">
        <f>IF(BL52="","",HYPERLINK(OFFSET(Biblioteca!$B$2,MATCH(BL52,Biblioteca!$A$3:$A$200,0),0),BL52))</f>
        <v/>
      </c>
      <c r="BC52" s="109" t="str">
        <f>Montagem!BJ184</f>
        <v/>
      </c>
      <c r="BD52" s="110" t="str">
        <f>Montagem!BK184</f>
        <v/>
      </c>
      <c r="BE52" s="110" t="str">
        <f>Montagem!BL184</f>
        <v/>
      </c>
      <c r="BF52" s="110" t="str">
        <f>Montagem!BM184</f>
        <v/>
      </c>
      <c r="BG52" s="110" t="str">
        <f>Montagem!BN184</f>
        <v/>
      </c>
      <c r="BH52" s="110" t="str">
        <f>Montagem!BO184</f>
        <v/>
      </c>
      <c r="BI52" s="114"/>
      <c r="BJ52" s="111">
        <f>Montagem!BD184</f>
        <v>7</v>
      </c>
      <c r="BK52" s="111" t="str">
        <f>Montagem!BP184</f>
        <v/>
      </c>
      <c r="BL52" s="111" t="str">
        <f>Montagem!BE184</f>
        <v/>
      </c>
      <c r="BM52" s="111" t="str">
        <f>Montagem!BQ184</f>
        <v/>
      </c>
      <c r="BN52" s="106" t="str">
        <f>IF(BM52="",BK52,BM52)</f>
        <v/>
      </c>
      <c r="BO52" s="106" t="str">
        <f>IF(BK53="C",'Dados de Base'!$D$5*0.1,IF(BK53="E",5,IF(BI52="",BN52,BI52)))</f>
        <v/>
      </c>
      <c r="BP52" s="108"/>
      <c r="BQ52" s="115" t="str">
        <f>IF(CC52="","",HYPERLINK(OFFSET(Biblioteca!$B$2,MATCH(CC52,Biblioteca!$A$3:$A$200,0),0),CC52))</f>
        <v/>
      </c>
      <c r="BT52" s="109" t="str">
        <f>Montagem!BY184</f>
        <v/>
      </c>
      <c r="BU52" s="110" t="str">
        <f>Montagem!BZ184</f>
        <v/>
      </c>
      <c r="BV52" s="110" t="str">
        <f>Montagem!CA184</f>
        <v/>
      </c>
      <c r="BW52" s="110" t="str">
        <f>Montagem!CB184</f>
        <v/>
      </c>
      <c r="BX52" s="110" t="str">
        <f>Montagem!CC184</f>
        <v/>
      </c>
      <c r="BY52" s="110" t="str">
        <f>Montagem!CD184</f>
        <v/>
      </c>
      <c r="BZ52" s="114"/>
      <c r="CA52" s="111">
        <f>Montagem!BS184</f>
        <v>8</v>
      </c>
      <c r="CB52" s="111" t="str">
        <f>Montagem!CE184</f>
        <v/>
      </c>
      <c r="CC52" s="111" t="str">
        <f>Montagem!BT184</f>
        <v/>
      </c>
      <c r="CD52" s="111" t="str">
        <f>Montagem!CF184</f>
        <v/>
      </c>
      <c r="CE52" s="106" t="str">
        <f>IF(CD52="",CB52,CD52)</f>
        <v/>
      </c>
      <c r="CF52" s="106" t="str">
        <f>IF(CB53="C",'Dados de Base'!$D$5*0.1,IF(CB53="E",5,IF(BZ52="",CE52,BZ52)))</f>
        <v/>
      </c>
      <c r="CG52" s="108"/>
      <c r="CH52" s="115" t="str">
        <f>IF(CT52="","",HYPERLINK(OFFSET(Biblioteca!$B$2,MATCH(CT52,Biblioteca!$A$3:$A$200,0),0),CT52))</f>
        <v/>
      </c>
      <c r="CK52" s="109" t="str">
        <f>Montagem!CN184</f>
        <v/>
      </c>
      <c r="CL52" s="110" t="str">
        <f>Montagem!CO184</f>
        <v/>
      </c>
      <c r="CM52" s="110" t="str">
        <f>Montagem!CP184</f>
        <v/>
      </c>
      <c r="CN52" s="110" t="str">
        <f>Montagem!CQ184</f>
        <v/>
      </c>
      <c r="CO52" s="110" t="str">
        <f>Montagem!CR184</f>
        <v/>
      </c>
      <c r="CP52" s="110" t="str">
        <f>Montagem!CS184</f>
        <v/>
      </c>
      <c r="CQ52" s="114"/>
      <c r="CR52" s="111">
        <f>Montagem!CH184</f>
        <v>1</v>
      </c>
      <c r="CS52" s="111" t="str">
        <f>Montagem!CT184</f>
        <v/>
      </c>
      <c r="CT52" s="111" t="str">
        <f>Montagem!CI184</f>
        <v/>
      </c>
      <c r="CU52" s="145" t="str">
        <f>Montagem!CU184</f>
        <v/>
      </c>
      <c r="CV52" s="106" t="str">
        <f>IF(CU52="",CS52,CU52)</f>
        <v/>
      </c>
      <c r="CW52" s="106" t="str">
        <f>IF(CS53="C",'Dados de Base'!$D$5*0.1,IF(CS53="E",5,IF(CQ52="",CV52,CQ52)))</f>
        <v/>
      </c>
      <c r="CX52" s="108"/>
      <c r="CY52" s="115" t="str">
        <f>IF(DK52="","",HYPERLINK(OFFSET(Biblioteca!$B$2,MATCH(DK52,Biblioteca!$A$3:$A$200,0),0),DK52))</f>
        <v/>
      </c>
      <c r="DB52" s="130" t="str">
        <f>Montagem!DC184</f>
        <v/>
      </c>
      <c r="DC52" s="131" t="str">
        <f>Montagem!DD184</f>
        <v/>
      </c>
      <c r="DD52" s="131" t="str">
        <f>Montagem!DE184</f>
        <v/>
      </c>
      <c r="DE52" s="131" t="str">
        <f>Montagem!DF184</f>
        <v/>
      </c>
      <c r="DF52" s="131" t="str">
        <f>Montagem!DG184</f>
        <v/>
      </c>
      <c r="DG52" s="131" t="str">
        <f>Montagem!DH184</f>
        <v/>
      </c>
      <c r="DH52" s="114"/>
      <c r="DI52" s="111">
        <f>Montagem!CW184</f>
        <v>1</v>
      </c>
      <c r="DJ52" s="111" t="str">
        <f>Montagem!DI184</f>
        <v/>
      </c>
      <c r="DK52" s="111" t="str">
        <f>Montagem!CX184</f>
        <v/>
      </c>
      <c r="DL52" s="145" t="str">
        <f>Montagem!DJ184</f>
        <v/>
      </c>
      <c r="DM52" s="106" t="str">
        <f>IF(DL52="",DJ52,DL52)</f>
        <v/>
      </c>
      <c r="DN52" s="106" t="str">
        <f>IF(DJ53="C",'Dados de Base'!$D$5*0.1,IF(DJ53="E",5,IF(DH52="",DM52,DH52)))</f>
        <v/>
      </c>
      <c r="DO52" s="108"/>
      <c r="DP52" s="106"/>
      <c r="DQ52" s="106"/>
      <c r="DR52" s="106"/>
      <c r="DS52" s="106"/>
      <c r="DT52" s="106"/>
      <c r="DU52" s="106"/>
      <c r="DV52" s="106"/>
      <c r="DW52" s="106"/>
      <c r="DX52" s="106"/>
      <c r="DY52" s="106"/>
    </row>
    <row r="53">
      <c r="A53" s="117" t="str">
        <f>IF(A52="","",IFS(L53="A",Montagem!$C$180,N53="T","Realizar a maior quantidade de repetições por "&amp;F52&amp;" segundos | ",N53="I",IF(M53="U","Manter a posição por "&amp;F52&amp;" segundos de um lado e trocar para o outro na sequência | ","Manter a posição por "&amp;F52&amp;" segundos | "),M53="A","Realizar alternadamente "&amp;F52&amp;" repetições cada lado | ",M53="U","Realizar "&amp;F52&amp;" repetições de um lado e trocar para o outro na sequência | ",L53="P",OFFSET(Biblioteca!$H$2,MATCH(M52,Biblioteca!$A$3:$A$200,0),0),TRUE,"")&amp;IF(N53="R","Ajuste a carga para que tenha "&amp;$K$2&amp;" repetições de reserva",""))</f>
        <v>Ajuste a carga para que tenha 0 a 2 repetições de reserva</v>
      </c>
      <c r="E53" s="118" t="str">
        <f>IF(A52="","",IFS(L53="H","Carga Sugerida: "&amp;ROUNDUP(O52/2,0)&amp;" kg de cada lado (Total: "&amp;ROUNDUP(O52/2,0)*2&amp;" kg)",L53="C","Este exercício usa o Peso Corporal como carga",L53="E","Este exercício usa a resistência da banda elástica como carga",L53="O","Carga Sugerida: "&amp;INT(O52)&amp;" kg",TRUE,""))</f>
        <v>Este exercício usa o Peso Corporal como carga</v>
      </c>
      <c r="J53" s="66"/>
      <c r="K53" s="106">
        <f>K52</f>
        <v>10</v>
      </c>
      <c r="L53" s="120" t="str">
        <f>LEFT(O53)</f>
        <v>C</v>
      </c>
      <c r="M53" s="121" t="str">
        <f>MID(O53,2,1)</f>
        <v>O</v>
      </c>
      <c r="N53" s="122" t="str">
        <f>RIGHT(O53)</f>
        <v>R</v>
      </c>
      <c r="O53" s="123" t="str">
        <f>IF(M52="","",OFFSET(Biblioteca!$I$2,MATCH(M52,Biblioteca!$A$3:$A$200,0),0))</f>
        <v>COR</v>
      </c>
      <c r="P53" s="57"/>
      <c r="Q53" s="125"/>
      <c r="R53" s="117" t="str">
        <f>IF(R52="","",IFS(AC53="A",Montagem!$D$180,AE53="T","Realizar a maior quantidade de repetições por "&amp;W52&amp;" segundos | ",AE53="I",IF(AD53="U","Manter a posição por "&amp;W52&amp;" segundos de um lado e trocar para o outro na sequência | ","Manter a posição por "&amp;W52&amp;" segundos | "),AD53="A","Realizar alternadamente "&amp;W52&amp;" repetições cada lado | ",AD53="U","Realizar "&amp;W52&amp;" repetições de um lado e trocar para o outro na sequência | ",AC53="P",OFFSET(Biblioteca!$H$2,MATCH(AD52,Biblioteca!$A$3:$A$200,0),0),TRUE,"")&amp;IF(AE53="R","Ajuste a carga para que tenha "&amp;$K$2&amp;" repetições de reserva",""))</f>
        <v>Ajuste a carga para que tenha 0 a 2 repetições de reserva</v>
      </c>
      <c r="V53" s="118" t="str">
        <f>IF(R52="","",IFS(AC53="H","Carga Sugerida: "&amp;ROUNDUP(AF52/2,0)&amp;" kg de cada lado (Total: "&amp;ROUNDUP(AF52/2,0)*2&amp;" kg)",AC53="C","Este exercício usa o Peso Corporal como carga",AC53="E","Este exercício usa a resistência da banda elástica como carga",AC53="O","Carga Sugerida: "&amp;INT(AF52)&amp;" kg",TRUE,""))</f>
        <v>Este exercício usa o Peso Corporal como carga</v>
      </c>
      <c r="AA53" s="66"/>
      <c r="AB53" s="126">
        <f>AB52</f>
        <v>10</v>
      </c>
      <c r="AC53" s="120" t="str">
        <f>LEFT(AF53)</f>
        <v>C</v>
      </c>
      <c r="AD53" s="121" t="str">
        <f>MID(AF53,2,1)</f>
        <v>O</v>
      </c>
      <c r="AE53" s="122" t="str">
        <f>RIGHT(AF53)</f>
        <v>R</v>
      </c>
      <c r="AF53" s="123" t="str">
        <f>IF(AD52="","",OFFSET(Biblioteca!$I$2,MATCH(AD52,Biblioteca!$A$3:$A$200,0),0))</f>
        <v>COR</v>
      </c>
      <c r="AG53" s="57"/>
      <c r="AH53" s="125"/>
      <c r="AI53" s="117" t="str">
        <f>IF(AI52="","",IFS(AT53="A",Montagem!$E$180,AV53="T","Realizar a maior quantidade de repetições por "&amp;AN52&amp;" segundos | ",AV53="I",IF(AU53="U","Manter a posição por "&amp;AN52&amp;" segundos de um lado e trocar para o outro na sequência | ","Manter a posição por "&amp;AN52&amp;" segundos | "),AU53="A","Realizar alternadamente "&amp;AN52&amp;" repetições cada lado | ",AU53="U","Realizar "&amp;AN52&amp;" repetições de um lado e trocar para o outro na sequência | ",AT53="P",OFFSET(Biblioteca!$H$2,MATCH(AU52,Biblioteca!$A$3:$A$200,0),0),TRUE,"")&amp;IF(AV53="R","Ajuste a carga para que tenha "&amp;$K$2&amp;" repetições de reserva",""))</f>
        <v/>
      </c>
      <c r="AM53" s="118" t="str">
        <f>IF(AI52="","",IFS(AT53="H","Carga Sugerida: "&amp;ROUNDUP(AW52/2,0)&amp;" kg de cada lado (Total: "&amp;ROUNDUP(AW52/2,0)*2&amp;" kg)",AT53="C","Este exercício usa o Peso Corporal como carga",AT53="E","Este exercício usa a resistência da banda elástica como carga",AT53="O","Carga Sugerida: "&amp;INT(AW52)&amp;" kg",TRUE,""))</f>
        <v/>
      </c>
      <c r="AR53" s="66"/>
      <c r="AS53" s="126">
        <f>AS52</f>
        <v>1</v>
      </c>
      <c r="AT53" s="120" t="str">
        <f>LEFT(AW53)</f>
        <v/>
      </c>
      <c r="AU53" s="121" t="str">
        <f>MID(AW53,2,1)</f>
        <v/>
      </c>
      <c r="AV53" s="122" t="str">
        <f>RIGHT(AW53)</f>
        <v/>
      </c>
      <c r="AW53" s="123" t="str">
        <f>IF(AU52="","",OFFSET(Biblioteca!$I$2,MATCH(AU52,Biblioteca!$A$3:$A$200,0),0))</f>
        <v/>
      </c>
      <c r="AX53" s="57"/>
      <c r="AY53" s="125"/>
      <c r="AZ53" s="117" t="str">
        <f>IF(AZ52="","",IFS(BK53="A",Montagem!$F$180,BM53="T","Realizar a maior quantidade de repetições por "&amp;BE52&amp;" segundos | ",BM53="I",IF(BL53="U","Manter a posição por "&amp;BE52&amp;" segundos de um lado e trocar para o outro na sequência | ","Manter a posição por "&amp;BE52&amp;" segundos | "),BL53="A","Realizar alternadamente "&amp;BE52&amp;" repetições cada lado | ",BL53="U","Realizar "&amp;BE52&amp;" repetições de um lado e trocar para o outro na sequência | ",BK53="P",OFFSET(Biblioteca!$H$2,MATCH(BL52,Biblioteca!$A$3:$A$200,0),0),TRUE,"")&amp;IF(BM53="R","Ajuste a carga para que tenha "&amp;$K$2&amp;" repetições de reserva",""))</f>
        <v/>
      </c>
      <c r="BD53" s="118" t="str">
        <f>IF(AZ52="","",IFS(BK53="H","Carga Sugerida: "&amp;ROUNDUP(BN52/2,0)&amp;" kg de cada lado (Total: "&amp;ROUNDUP(BN52/2,0)*2&amp;" kg)",BK53="C","Este exercício usa o Peso Corporal como carga",BK53="E","Este exercício usa a resistência da banda elástica como carga",BK53="O","Carga Sugerida: "&amp;INT(BN52)&amp;" kg",TRUE,""))</f>
        <v/>
      </c>
      <c r="BI53" s="66"/>
      <c r="BJ53" s="126">
        <f>BJ52</f>
        <v>7</v>
      </c>
      <c r="BK53" s="120" t="str">
        <f>LEFT(BN53)</f>
        <v/>
      </c>
      <c r="BL53" s="121" t="str">
        <f>MID(BN53,2,1)</f>
        <v/>
      </c>
      <c r="BM53" s="122" t="str">
        <f>RIGHT(BN53)</f>
        <v/>
      </c>
      <c r="BN53" s="123" t="str">
        <f>IF(BL52="","",OFFSET(Biblioteca!$I$2,MATCH(BL52,Biblioteca!$A$3:$A$200,0),0))</f>
        <v/>
      </c>
      <c r="BO53" s="57"/>
      <c r="BP53" s="125"/>
      <c r="BQ53" s="117" t="str">
        <f>IF(BQ52="","",IFS(CB53="A",Montagem!$G$180,CD53="T","Realizar a maior quantidade de repetições por "&amp;BV52&amp;" segundos | ",CD53="I",IF(CC53="U","Manter a posição por "&amp;BV52&amp;" segundos de um lado e trocar para o outro na sequência | ","Manter a posição por "&amp;BV52&amp;" segundos | "),CC53="A","Realizar alternadamente "&amp;BV52&amp;" repetições cada lado | ",CC53="U","Realizar "&amp;BV52&amp;" repetições de um lado e trocar para o outro na sequência | ",CB53="P",OFFSET(Biblioteca!$H$2,MATCH(CC52,Biblioteca!$A$3:$A$200,0),0),TRUE,"")&amp;IF(CD53="R","Ajuste a carga para que tenha "&amp;$K$2&amp;" repetições de reserva",""))</f>
        <v/>
      </c>
      <c r="BU53" s="118" t="str">
        <f>IF(BQ52="","",IFS(CB53="H","Carga Sugerida: "&amp;ROUNDUP(CE52/2,0)&amp;" kg de cada lado (Total: "&amp;ROUNDUP(CE52/2,0)*2&amp;" kg)",CB53="C","Este exercício usa o Peso Corporal como carga",CB53="E","Este exercício usa a resistência da banda elástica como carga",CB53="O","Carga Sugerida: "&amp;INT(CE52)&amp;" kg",TRUE,""))</f>
        <v/>
      </c>
      <c r="BZ53" s="66"/>
      <c r="CA53" s="126">
        <f>CA52</f>
        <v>8</v>
      </c>
      <c r="CB53" s="120" t="str">
        <f>LEFT(CE53)</f>
        <v/>
      </c>
      <c r="CC53" s="121" t="str">
        <f>MID(CE53,2,1)</f>
        <v/>
      </c>
      <c r="CD53" s="122" t="str">
        <f>RIGHT(CE53)</f>
        <v/>
      </c>
      <c r="CE53" s="123" t="str">
        <f>IF(CC52="","",OFFSET(Biblioteca!$I$2,MATCH(CC52,Biblioteca!$A$3:$A$200,0),0))</f>
        <v/>
      </c>
      <c r="CF53" s="57"/>
      <c r="CG53" s="125"/>
      <c r="CH53" s="117" t="str">
        <f>IF(CH52="","",IFS(CS53="A",Montagem!$H$180,CU53="T","Realizar a maior quantidade de repetições por "&amp;CM52&amp;" segundos | ",CU53="I",IF(CT53="U","Manter a posição por "&amp;CM52&amp;" segundos de um lado e trocar para o outro na sequência | ","Manter a posição por "&amp;CM52&amp;" segundos | "),CT53="A","Realizar alternadamente "&amp;CM52&amp;" repetições cada lado | ",CT53="U","Realizar "&amp;CM52&amp;" repetições de um lado e trocar para o outro na sequência | ",CS53="P",OFFSET(Biblioteca!$H$2,MATCH(CT52,Biblioteca!$A$3:$A$200,0),0),TRUE,"")&amp;IF(CU53="R","Ajuste a carga para que tenha "&amp;$K$2&amp;" repetições de reserva",""))</f>
        <v/>
      </c>
      <c r="CL53" s="118" t="str">
        <f>IF(CH52="","",IFS(CS53="H","Carga Sugerida: "&amp;ROUNDUP(CV52/2,0)&amp;" kg de cada lado (Total: "&amp;ROUNDUP(CV52/2,0)*2&amp;" kg)",CS53="C","Este exercício usa o Peso Corporal como carga",CS53="E","Este exercício usa a resistência da banda elástica como carga",CS53="O","Carga Sugerida: "&amp;INT(CV52)&amp;" kg",TRUE,""))</f>
        <v/>
      </c>
      <c r="CQ53" s="66"/>
      <c r="CR53" s="126">
        <f>CR52</f>
        <v>1</v>
      </c>
      <c r="CS53" s="120" t="str">
        <f>LEFT(CV53)</f>
        <v/>
      </c>
      <c r="CT53" s="121" t="str">
        <f>MID(CV53,2,1)</f>
        <v/>
      </c>
      <c r="CU53" s="122" t="str">
        <f>RIGHT(CV53)</f>
        <v/>
      </c>
      <c r="CV53" s="123" t="str">
        <f>IF(CT52="","",OFFSET(Biblioteca!$I$2,MATCH(CT52,Biblioteca!$A$3:$A$200,0),0))</f>
        <v/>
      </c>
      <c r="CW53" s="57"/>
      <c r="CX53" s="125"/>
      <c r="CY53" s="117" t="str">
        <f>IF(CY52="","",IFS(DJ53="A",Montagem!$I$180,DL53="T","Realizar a maior quantidade de repetições por "&amp;DD52&amp;" segundos | ",DL53="I",IF(DK53="U","Manter a posição por "&amp;DD52&amp;" segundos de um lado e trocar para o outro na sequência | ","Manter a posição por "&amp;DD52&amp;" segundos | "),DK53="A","Realizar alternadamente "&amp;DD52&amp;" repetições cada lado | ",DK53="U","Realizar "&amp;DD52&amp;" repetições de um lado e trocar para o outro na sequência | ",DJ53="P",OFFSET(Biblioteca!$H$2,MATCH(DK52,Biblioteca!$A$3:$A$200,0),0),TRUE,"")&amp;IF(DL53="R","Ajuste a carga para que tenha "&amp;$K$2&amp;" repetições de reserva",""))</f>
        <v/>
      </c>
      <c r="DC53" s="118" t="str">
        <f>IF(CY52="","",IFS(DJ53="H","Carga Sugerida: "&amp;ROUNDUP(DM52/2,0)&amp;" kg de cada lado (Total: "&amp;ROUNDUP(DM52/2,0)*2&amp;" kg)",DJ53="C","Este exercício usa o Peso Corporal como carga",DJ53="E","Este exercício usa a resistência da banda elástica como carga",DJ53="O","Carga Sugerida: "&amp;INT(DM52)&amp;" kg",TRUE,""))</f>
        <v/>
      </c>
      <c r="DH53" s="66"/>
      <c r="DI53" s="126">
        <f>DI52</f>
        <v>1</v>
      </c>
      <c r="DJ53" s="120" t="str">
        <f>LEFT(DM53)</f>
        <v/>
      </c>
      <c r="DK53" s="121" t="str">
        <f>MID(DM53,2,1)</f>
        <v/>
      </c>
      <c r="DL53" s="122" t="str">
        <f>RIGHT(DM53)</f>
        <v/>
      </c>
      <c r="DM53" s="123" t="str">
        <f>IF(DK52="","",OFFSET(Biblioteca!$I$2,MATCH(DK52,Biblioteca!$A$3:$A$200,0),0))</f>
        <v/>
      </c>
      <c r="DN53" s="57"/>
      <c r="DO53" s="125"/>
      <c r="DP53" s="57"/>
      <c r="DQ53" s="56"/>
      <c r="DR53" s="56"/>
      <c r="DS53" s="56"/>
      <c r="DT53" s="56"/>
      <c r="DU53" s="56"/>
      <c r="DV53" s="56"/>
      <c r="DW53" s="56"/>
      <c r="DX53" s="56"/>
      <c r="DY53" s="56"/>
    </row>
    <row r="54">
      <c r="A54" s="102" t="str">
        <f>IF(M54="","",HYPERLINK(OFFSET(Biblioteca!$B$2,MATCH(M54,Biblioteca!$A$3:$A$200,0),0),M54))</f>
        <v>Abdominal Remador</v>
      </c>
      <c r="D54" s="103" t="str">
        <f>Montagem!Q185</f>
        <v>Bi-SET</v>
      </c>
      <c r="E54" s="104">
        <f>Montagem!R185</f>
        <v>3</v>
      </c>
      <c r="F54" s="104">
        <f>Montagem!S185</f>
        <v>15</v>
      </c>
      <c r="G54" s="104">
        <f>Montagem!T185</f>
        <v>60</v>
      </c>
      <c r="H54" s="104">
        <f>Montagem!U185</f>
        <v>1</v>
      </c>
      <c r="I54" s="132">
        <f>Montagem!V185</f>
        <v>2</v>
      </c>
      <c r="J54" s="144"/>
      <c r="K54" s="106">
        <f>Montagem!K185</f>
        <v>10</v>
      </c>
      <c r="L54" s="111">
        <f>Montagem!W185</f>
        <v>0</v>
      </c>
      <c r="M54" s="111" t="str">
        <f>Montagem!L185</f>
        <v>Abdominal Remador</v>
      </c>
      <c r="N54" s="111" t="str">
        <f>Montagem!X185</f>
        <v/>
      </c>
      <c r="O54" s="106">
        <f>IF(N54="",L54,N54)</f>
        <v>0</v>
      </c>
      <c r="P54" s="106">
        <f>IF(L55="C",'Dados de Base'!$D$5*0.1,IF(L55="E",5,IF(J54="",O54,J54)))</f>
        <v>6.3</v>
      </c>
      <c r="Q54" s="108"/>
      <c r="R54" s="102" t="str">
        <f>IF(AD54="","",HYPERLINK(OFFSET(Biblioteca!$B$2,MATCH(AD54,Biblioteca!$A$3:$A$200,0),0),AD54))</f>
        <v>Abdominal Obliquo na polia média</v>
      </c>
      <c r="U54" s="109" t="str">
        <f>Montagem!AF185</f>
        <v>Bi-SET</v>
      </c>
      <c r="V54" s="110">
        <f>Montagem!AG185</f>
        <v>3</v>
      </c>
      <c r="W54" s="110">
        <f>Montagem!AH185</f>
        <v>10</v>
      </c>
      <c r="X54" s="110">
        <f>Montagem!AI185</f>
        <v>60</v>
      </c>
      <c r="Y54" s="110">
        <f>Montagem!AJ185</f>
        <v>1</v>
      </c>
      <c r="Z54" s="110">
        <f>Montagem!AK185</f>
        <v>2</v>
      </c>
      <c r="AA54" s="113"/>
      <c r="AB54" s="111">
        <f>Montagem!Z185</f>
        <v>10</v>
      </c>
      <c r="AC54" s="111">
        <f>Montagem!AL185</f>
        <v>4</v>
      </c>
      <c r="AD54" s="129" t="str">
        <f>Montagem!AA185</f>
        <v>Abdominal Obliquo na polia média</v>
      </c>
      <c r="AE54" s="111" t="str">
        <f>Montagem!AM185</f>
        <v/>
      </c>
      <c r="AF54" s="106">
        <f>IF(AE54="",AC54,AE54)</f>
        <v>4</v>
      </c>
      <c r="AG54" s="106">
        <f>IF(AC55="C",'Dados de Base'!$D$5*0.1,IF(AC55="E",5,IF(AA54="",AF54,AA54)))</f>
        <v>4</v>
      </c>
      <c r="AH54" s="108"/>
      <c r="AI54" s="115" t="str">
        <f>IF(AU54="","",HYPERLINK(OFFSET(Biblioteca!$B$2,MATCH(AU54,Biblioteca!$A$3:$A$200,0),0),AU54))</f>
        <v/>
      </c>
      <c r="AL54" s="109" t="str">
        <f>Montagem!AU185</f>
        <v/>
      </c>
      <c r="AM54" s="110" t="str">
        <f>Montagem!AV185</f>
        <v/>
      </c>
      <c r="AN54" s="110" t="str">
        <f>Montagem!AW185</f>
        <v/>
      </c>
      <c r="AO54" s="110" t="str">
        <f>Montagem!AX185</f>
        <v/>
      </c>
      <c r="AP54" s="110" t="str">
        <f>Montagem!AY185</f>
        <v/>
      </c>
      <c r="AQ54" s="110" t="str">
        <f>Montagem!AZ185</f>
        <v/>
      </c>
      <c r="AR54" s="114"/>
      <c r="AS54" s="111">
        <f>Montagem!AO185</f>
        <v>1</v>
      </c>
      <c r="AT54" s="111" t="str">
        <f>Montagem!BA185</f>
        <v/>
      </c>
      <c r="AU54" s="111" t="str">
        <f>Montagem!AP185</f>
        <v/>
      </c>
      <c r="AV54" s="111" t="str">
        <f>Montagem!BB185</f>
        <v/>
      </c>
      <c r="AW54" s="106" t="str">
        <f>IF(AV54="",AT54,AV54)</f>
        <v/>
      </c>
      <c r="AX54" s="106" t="str">
        <f>IF(AT55="C",'Dados de Base'!$D$5*0.1,IF(AT55="E",5,IF(AR54="",AW54,AR54)))</f>
        <v/>
      </c>
      <c r="AY54" s="108"/>
      <c r="AZ54" s="115" t="str">
        <f>IF(BL54="","",HYPERLINK(OFFSET(Biblioteca!$B$2,MATCH(BL54,Biblioteca!$A$3:$A$200,0),0),BL54))</f>
        <v/>
      </c>
      <c r="BC54" s="109" t="str">
        <f>Montagem!BJ185</f>
        <v/>
      </c>
      <c r="BD54" s="110" t="str">
        <f>Montagem!BK185</f>
        <v/>
      </c>
      <c r="BE54" s="110" t="str">
        <f>Montagem!BL185</f>
        <v/>
      </c>
      <c r="BF54" s="110" t="str">
        <f>Montagem!BM185</f>
        <v/>
      </c>
      <c r="BG54" s="110" t="str">
        <f>Montagem!BN185</f>
        <v/>
      </c>
      <c r="BH54" s="110" t="str">
        <f>Montagem!BO185</f>
        <v/>
      </c>
      <c r="BI54" s="114"/>
      <c r="BJ54" s="111">
        <f>Montagem!BD185</f>
        <v>7</v>
      </c>
      <c r="BK54" s="111" t="str">
        <f>Montagem!BP185</f>
        <v/>
      </c>
      <c r="BL54" s="111" t="str">
        <f>Montagem!BE185</f>
        <v/>
      </c>
      <c r="BM54" s="111" t="str">
        <f>Montagem!BQ185</f>
        <v/>
      </c>
      <c r="BN54" s="106" t="str">
        <f>IF(BM54="",BK54,BM54)</f>
        <v/>
      </c>
      <c r="BO54" s="106" t="str">
        <f>IF(BK55="C",'Dados de Base'!$D$5*0.1,IF(BK55="E",5,IF(BI54="",BN54,BI54)))</f>
        <v/>
      </c>
      <c r="BP54" s="108"/>
      <c r="BQ54" s="115" t="str">
        <f>IF(CC54="","",HYPERLINK(OFFSET(Biblioteca!$B$2,MATCH(CC54,Biblioteca!$A$3:$A$200,0),0),CC54))</f>
        <v/>
      </c>
      <c r="BT54" s="109" t="str">
        <f>Montagem!BY185</f>
        <v/>
      </c>
      <c r="BU54" s="110" t="str">
        <f>Montagem!BZ185</f>
        <v/>
      </c>
      <c r="BV54" s="110" t="str">
        <f>Montagem!CA185</f>
        <v/>
      </c>
      <c r="BW54" s="110" t="str">
        <f>Montagem!CB185</f>
        <v/>
      </c>
      <c r="BX54" s="110" t="str">
        <f>Montagem!CC185</f>
        <v/>
      </c>
      <c r="BY54" s="110" t="str">
        <f>Montagem!CD185</f>
        <v/>
      </c>
      <c r="BZ54" s="114"/>
      <c r="CA54" s="111">
        <f>Montagem!BS185</f>
        <v>8</v>
      </c>
      <c r="CB54" s="111" t="str">
        <f>Montagem!CE185</f>
        <v/>
      </c>
      <c r="CC54" s="111" t="str">
        <f>Montagem!BT185</f>
        <v/>
      </c>
      <c r="CD54" s="111" t="str">
        <f>Montagem!CF185</f>
        <v/>
      </c>
      <c r="CE54" s="106" t="str">
        <f>IF(CD54="",CB54,CD54)</f>
        <v/>
      </c>
      <c r="CF54" s="106" t="str">
        <f>IF(CB55="C",'Dados de Base'!$D$5*0.1,IF(CB55="E",5,IF(BZ54="",CE54,BZ54)))</f>
        <v/>
      </c>
      <c r="CG54" s="108"/>
      <c r="CH54" s="115" t="str">
        <f>IF(CT54="","",HYPERLINK(OFFSET(Biblioteca!$B$2,MATCH(CT54,Biblioteca!$A$3:$A$200,0),0),CT54))</f>
        <v/>
      </c>
      <c r="CK54" s="109" t="str">
        <f>Montagem!CN185</f>
        <v/>
      </c>
      <c r="CL54" s="110" t="str">
        <f>Montagem!CO185</f>
        <v/>
      </c>
      <c r="CM54" s="110" t="str">
        <f>Montagem!CP185</f>
        <v/>
      </c>
      <c r="CN54" s="110" t="str">
        <f>Montagem!CQ185</f>
        <v/>
      </c>
      <c r="CO54" s="110" t="str">
        <f>Montagem!CR185</f>
        <v/>
      </c>
      <c r="CP54" s="110" t="str">
        <f>Montagem!CS185</f>
        <v/>
      </c>
      <c r="CQ54" s="114"/>
      <c r="CR54" s="111">
        <f>Montagem!CH185</f>
        <v>1</v>
      </c>
      <c r="CS54" s="111" t="str">
        <f>Montagem!CT185</f>
        <v/>
      </c>
      <c r="CT54" s="111" t="str">
        <f>Montagem!CI185</f>
        <v/>
      </c>
      <c r="CU54" s="145" t="str">
        <f>Montagem!CU185</f>
        <v/>
      </c>
      <c r="CV54" s="106" t="str">
        <f>IF(CU54="",CS54,CU54)</f>
        <v/>
      </c>
      <c r="CW54" s="106" t="str">
        <f>IF(CS55="C",'Dados de Base'!$D$5*0.1,IF(CS55="E",5,IF(CQ54="",CV54,CQ54)))</f>
        <v/>
      </c>
      <c r="CX54" s="108"/>
      <c r="CY54" s="115" t="str">
        <f>IF(DK54="","",HYPERLINK(OFFSET(Biblioteca!$B$2,MATCH(DK54,Biblioteca!$A$3:$A$200,0),0),DK54))</f>
        <v/>
      </c>
      <c r="DB54" s="130" t="str">
        <f>Montagem!DC185</f>
        <v/>
      </c>
      <c r="DC54" s="131" t="str">
        <f>Montagem!DD185</f>
        <v/>
      </c>
      <c r="DD54" s="131" t="str">
        <f>Montagem!DE185</f>
        <v/>
      </c>
      <c r="DE54" s="131" t="str">
        <f>Montagem!DF185</f>
        <v/>
      </c>
      <c r="DF54" s="131" t="str">
        <f>Montagem!DG185</f>
        <v/>
      </c>
      <c r="DG54" s="131" t="str">
        <f>Montagem!DH185</f>
        <v/>
      </c>
      <c r="DH54" s="114"/>
      <c r="DI54" s="111">
        <f>Montagem!CW185</f>
        <v>1</v>
      </c>
      <c r="DJ54" s="111" t="str">
        <f>Montagem!DI185</f>
        <v/>
      </c>
      <c r="DK54" s="111" t="str">
        <f>Montagem!CX185</f>
        <v/>
      </c>
      <c r="DL54" s="145" t="str">
        <f>Montagem!DJ185</f>
        <v/>
      </c>
      <c r="DM54" s="106" t="str">
        <f>IF(DL54="",DJ54,DL54)</f>
        <v/>
      </c>
      <c r="DN54" s="106" t="str">
        <f>IF(DJ55="C",'Dados de Base'!$D$5*0.1,IF(DJ55="E",5,IF(DH54="",DM54,DH54)))</f>
        <v/>
      </c>
      <c r="DO54" s="146"/>
      <c r="DP54" s="116">
        <v>2.0</v>
      </c>
      <c r="DQ54" s="116">
        <v>3.0</v>
      </c>
      <c r="DR54" s="116">
        <v>4.0</v>
      </c>
      <c r="DS54" s="116">
        <v>5.0</v>
      </c>
      <c r="DT54" s="106"/>
      <c r="DU54" s="116">
        <v>6.0</v>
      </c>
      <c r="DV54" s="106"/>
      <c r="DW54" s="106"/>
      <c r="DX54" s="116">
        <v>7.0</v>
      </c>
      <c r="DY54" s="106"/>
    </row>
    <row r="55">
      <c r="A55" s="117" t="str">
        <f>IF(A54="","",IFS(L55="A",Montagem!$C$180,N55="T","Realizar a maior quantidade de repetições por "&amp;F54&amp;" segundos | ",N55="I",IF(M55="U","Manter a posição por "&amp;F54&amp;" segundos de um lado e trocar para o outro na sequência | ","Manter a posição por "&amp;F54&amp;" segundos | "),M55="A","Realizar alternadamente "&amp;F54&amp;" repetições cada lado | ",M55="U","Realizar "&amp;F54&amp;" repetições de um lado e trocar para o outro na sequência | ",L55="P",OFFSET(Biblioteca!$H$2,MATCH(M54,Biblioteca!$A$3:$A$200,0),0),TRUE,"")&amp;IF(N55="R","Ajuste a carga para que tenha "&amp;$K$2&amp;" repetições de reserva",""))</f>
        <v>Ajuste a carga para que tenha 0 a 2 repetições de reserva</v>
      </c>
      <c r="E55" s="118" t="str">
        <f>IF(A54="","",IFS(L55="H","Carga Sugerida: "&amp;ROUNDUP(O54/2,0)&amp;" kg de cada lado (Total: "&amp;ROUNDUP(O54/2,0)*2&amp;" kg)",L55="C","Este exercício usa o Peso Corporal como carga",L55="E","Este exercício usa a resistência da banda elástica como carga",L55="O","Carga Sugerida: "&amp;INT(O54)&amp;" kg",TRUE,""))</f>
        <v>Este exercício usa o Peso Corporal como carga</v>
      </c>
      <c r="J55" s="66"/>
      <c r="K55" s="106">
        <f>K54</f>
        <v>10</v>
      </c>
      <c r="L55" s="120" t="str">
        <f>LEFT(O55)</f>
        <v>C</v>
      </c>
      <c r="M55" s="121" t="str">
        <f>MID(O55,2,1)</f>
        <v>O</v>
      </c>
      <c r="N55" s="122" t="str">
        <f>RIGHT(O55)</f>
        <v>R</v>
      </c>
      <c r="O55" s="123" t="str">
        <f>IF(M54="","",OFFSET(Biblioteca!$I$2,MATCH(M54,Biblioteca!$A$3:$A$200,0),0))</f>
        <v>COR</v>
      </c>
      <c r="P55" s="57"/>
      <c r="Q55" s="125"/>
      <c r="R55" s="117" t="str">
        <f>IF(R54="","",IFS(AC55="A",Montagem!$D$180,AE55="T","Realizar a maior quantidade de repetições por "&amp;W54&amp;" segundos | ",AE55="I",IF(AD55="U","Manter a posição por "&amp;W54&amp;" segundos de um lado e trocar para o outro na sequência | ","Manter a posição por "&amp;W54&amp;" segundos | "),AD55="A","Realizar alternadamente "&amp;W54&amp;" repetições cada lado | ",AD55="U","Realizar "&amp;W54&amp;" repetições de um lado e trocar para o outro na sequência | ",AC55="P",OFFSET(Biblioteca!$H$2,MATCH(AD54,Biblioteca!$A$3:$A$200,0),0),TRUE,"")&amp;IF(AE55="R","Ajuste a carga para que tenha "&amp;$K$2&amp;" repetições de reserva",""))</f>
        <v>Ajuste a carga para que tenha 0 a 2 repetições de reserva</v>
      </c>
      <c r="V55" s="118" t="str">
        <f>IF(R54="","",IFS(AC55="H","Carga Sugerida: "&amp;ROUNDUP(AF54/2,0)&amp;" kg de cada lado (Total: "&amp;ROUNDUP(AF54/2,0)*2&amp;" kg)",AC55="C","Este exercício usa o Peso Corporal como carga",AC55="E","Este exercício usa a resistência da banda elástica como carga",AC55="O","Carga Sugerida: "&amp;INT(AF54)&amp;" kg",TRUE,""))</f>
        <v>Carga Sugerida: 4 kg</v>
      </c>
      <c r="AA55" s="66"/>
      <c r="AB55" s="126">
        <f>AB54</f>
        <v>10</v>
      </c>
      <c r="AC55" s="120" t="str">
        <f>LEFT(AF55)</f>
        <v>O</v>
      </c>
      <c r="AD55" s="121" t="str">
        <f>MID(AF55,2,1)</f>
        <v>O</v>
      </c>
      <c r="AE55" s="122" t="str">
        <f>RIGHT(AF55)</f>
        <v>R</v>
      </c>
      <c r="AF55" s="123" t="str">
        <f>IF(AD54="","",OFFSET(Biblioteca!$I$2,MATCH(AD54,Biblioteca!$A$3:$A$200,0),0))</f>
        <v>OOR</v>
      </c>
      <c r="AG55" s="57"/>
      <c r="AH55" s="125"/>
      <c r="AI55" s="117" t="str">
        <f>IF(AI54="","",IFS(AT55="A",Montagem!$E$180,AV55="T","Realizar a maior quantidade de repetições por "&amp;AN54&amp;" segundos | ",AV55="I",IF(AU55="U","Manter a posição por "&amp;AN54&amp;" segundos de um lado e trocar para o outro na sequência | ","Manter a posição por "&amp;AN54&amp;" segundos | "),AU55="A","Realizar alternadamente "&amp;AN54&amp;" repetições cada lado | ",AU55="U","Realizar "&amp;AN54&amp;" repetições de um lado e trocar para o outro na sequência | ",AT55="P",OFFSET(Biblioteca!$H$2,MATCH(AU54,Biblioteca!$A$3:$A$200,0),0),TRUE,"")&amp;IF(AV55="R","Ajuste a carga para que tenha "&amp;$K$2&amp;" repetições de reserva",""))</f>
        <v/>
      </c>
      <c r="AM55" s="118" t="str">
        <f>IF(AI54="","",IFS(AT55="H","Carga Sugerida: "&amp;ROUNDUP(AW54/2,0)&amp;" kg de cada lado (Total: "&amp;ROUNDUP(AW54/2,0)*2&amp;" kg)",AT55="C","Este exercício usa o Peso Corporal como carga",AT55="E","Este exercício usa a resistência da banda elástica como carga",AT55="O","Carga Sugerida: "&amp;INT(AW54)&amp;" kg",TRUE,""))</f>
        <v/>
      </c>
      <c r="AR55" s="66"/>
      <c r="AS55" s="126">
        <f>AS54</f>
        <v>1</v>
      </c>
      <c r="AT55" s="120" t="str">
        <f>LEFT(AW55)</f>
        <v/>
      </c>
      <c r="AU55" s="121" t="str">
        <f>MID(AW55,2,1)</f>
        <v/>
      </c>
      <c r="AV55" s="122" t="str">
        <f>RIGHT(AW55)</f>
        <v/>
      </c>
      <c r="AW55" s="123" t="str">
        <f>IF(AU54="","",OFFSET(Biblioteca!$I$2,MATCH(AU54,Biblioteca!$A$3:$A$200,0),0))</f>
        <v/>
      </c>
      <c r="AX55" s="57"/>
      <c r="AY55" s="125"/>
      <c r="AZ55" s="117" t="str">
        <f>IF(AZ54="","",IFS(BK55="A",Montagem!$F$180,BM55="T","Realizar a maior quantidade de repetições por "&amp;BE54&amp;" segundos | ",BM55="I",IF(BL55="U","Manter a posição por "&amp;BE54&amp;" segundos de um lado e trocar para o outro na sequência | ","Manter a posição por "&amp;BE54&amp;" segundos | "),BL55="A","Realizar alternadamente "&amp;BE54&amp;" repetições cada lado | ",BL55="U","Realizar "&amp;BE54&amp;" repetições de um lado e trocar para o outro na sequência | ",BK55="P",OFFSET(Biblioteca!$H$2,MATCH(BL54,Biblioteca!$A$3:$A$200,0),0),TRUE,"")&amp;IF(BM55="R","Ajuste a carga para que tenha "&amp;$K$2&amp;" repetições de reserva",""))</f>
        <v/>
      </c>
      <c r="BD55" s="118" t="str">
        <f>IF(AZ54="","",IFS(BK55="H","Carga Sugerida: "&amp;ROUNDUP(BN54/2,0)&amp;" kg de cada lado (Total: "&amp;ROUNDUP(BN54/2,0)*2&amp;" kg)",BK55="C","Este exercício usa o Peso Corporal como carga",BK55="E","Este exercício usa a resistência da banda elástica como carga",BK55="O","Carga Sugerida: "&amp;INT(BN54)&amp;" kg",TRUE,""))</f>
        <v/>
      </c>
      <c r="BI55" s="66"/>
      <c r="BJ55" s="126">
        <f>BJ54</f>
        <v>7</v>
      </c>
      <c r="BK55" s="120" t="str">
        <f>LEFT(BN55)</f>
        <v/>
      </c>
      <c r="BL55" s="121" t="str">
        <f>MID(BN55,2,1)</f>
        <v/>
      </c>
      <c r="BM55" s="122" t="str">
        <f>RIGHT(BN55)</f>
        <v/>
      </c>
      <c r="BN55" s="123" t="str">
        <f>IF(BL54="","",OFFSET(Biblioteca!$I$2,MATCH(BL54,Biblioteca!$A$3:$A$200,0),0))</f>
        <v/>
      </c>
      <c r="BO55" s="57"/>
      <c r="BP55" s="125"/>
      <c r="BQ55" s="117" t="str">
        <f>IF(BQ54="","",IFS(CB55="A",Montagem!$G$180,CD55="T","Realizar a maior quantidade de repetições por "&amp;BV54&amp;" segundos | ",CD55="I",IF(CC55="U","Manter a posição por "&amp;BV54&amp;" segundos de um lado e trocar para o outro na sequência | ","Manter a posição por "&amp;BV54&amp;" segundos | "),CC55="A","Realizar alternadamente "&amp;BV54&amp;" repetições cada lado | ",CC55="U","Realizar "&amp;BV54&amp;" repetições de um lado e trocar para o outro na sequência | ",CB55="P",OFFSET(Biblioteca!$H$2,MATCH(CC54,Biblioteca!$A$3:$A$200,0),0),TRUE,"")&amp;IF(CD55="R","Ajuste a carga para que tenha "&amp;$K$2&amp;" repetições de reserva",""))</f>
        <v/>
      </c>
      <c r="BU55" s="118" t="str">
        <f>IF(BQ54="","",IFS(CB55="H","Carga Sugerida: "&amp;ROUNDUP(CE54/2,0)&amp;" kg de cada lado (Total: "&amp;ROUNDUP(CE54/2,0)*2&amp;" kg)",CB55="C","Este exercício usa o Peso Corporal como carga",CB55="E","Este exercício usa a resistência da banda elástica como carga",CB55="O","Carga Sugerida: "&amp;INT(CE54)&amp;" kg",TRUE,""))</f>
        <v/>
      </c>
      <c r="BZ55" s="66"/>
      <c r="CA55" s="126">
        <f>CA54</f>
        <v>8</v>
      </c>
      <c r="CB55" s="120" t="str">
        <f>LEFT(CE55)</f>
        <v/>
      </c>
      <c r="CC55" s="121" t="str">
        <f>MID(CE55,2,1)</f>
        <v/>
      </c>
      <c r="CD55" s="122" t="str">
        <f>RIGHT(CE55)</f>
        <v/>
      </c>
      <c r="CE55" s="123" t="str">
        <f>IF(CC54="","",OFFSET(Biblioteca!$I$2,MATCH(CC54,Biblioteca!$A$3:$A$200,0),0))</f>
        <v/>
      </c>
      <c r="CF55" s="57"/>
      <c r="CG55" s="125"/>
      <c r="CH55" s="117" t="str">
        <f>IF(CH54="","",IFS(CS55="A",Montagem!$H$180,CU55="T","Realizar a maior quantidade de repetições por "&amp;CM54&amp;" segundos | ",CU55="I",IF(CT55="U","Manter a posição por "&amp;CM54&amp;" segundos de um lado e trocar para o outro na sequência | ","Manter a posição por "&amp;CM54&amp;" segundos | "),CT55="A","Realizar alternadamente "&amp;CM54&amp;" repetições cada lado | ",CT55="U","Realizar "&amp;CM54&amp;" repetições de um lado e trocar para o outro na sequência | ",CS55="P",OFFSET(Biblioteca!$H$2,MATCH(CT54,Biblioteca!$A$3:$A$200,0),0),TRUE,"")&amp;IF(CU55="R","Ajuste a carga para que tenha "&amp;$K$2&amp;" repetições de reserva",""))</f>
        <v/>
      </c>
      <c r="CL55" s="118" t="str">
        <f>IF(CH54="","",IFS(CS55="H","Carga Sugerida: "&amp;ROUNDUP(CV54/2,0)&amp;" kg de cada lado (Total: "&amp;ROUNDUP(CV54/2,0)*2&amp;" kg)",CS55="C","Este exercício usa o Peso Corporal como carga",CS55="E","Este exercício usa a resistência da banda elástica como carga",CS55="O","Carga Sugerida: "&amp;INT(CV54)&amp;" kg",TRUE,""))</f>
        <v/>
      </c>
      <c r="CQ55" s="66"/>
      <c r="CR55" s="126">
        <f>CR54</f>
        <v>1</v>
      </c>
      <c r="CS55" s="120" t="str">
        <f>LEFT(CV55)</f>
        <v/>
      </c>
      <c r="CT55" s="121" t="str">
        <f>MID(CV55,2,1)</f>
        <v/>
      </c>
      <c r="CU55" s="122" t="str">
        <f>RIGHT(CV55)</f>
        <v/>
      </c>
      <c r="CV55" s="123" t="str">
        <f>IF(CT54="","",OFFSET(Biblioteca!$I$2,MATCH(CT54,Biblioteca!$A$3:$A$200,0),0))</f>
        <v/>
      </c>
      <c r="CW55" s="57"/>
      <c r="CX55" s="125"/>
      <c r="CY55" s="117" t="str">
        <f>IF(CY54="","",IFS(DJ55="A",Montagem!$I$180,DL55="T","Realizar a maior quantidade de repetições por "&amp;DD54&amp;" segundos | ",DL55="I",IF(DK55="U","Manter a posição por "&amp;DD54&amp;" segundos de um lado e trocar para o outro na sequência | ","Manter a posição por "&amp;DD54&amp;" segundos | "),DK55="A","Realizar alternadamente "&amp;DD54&amp;" repetições cada lado | ",DK55="U","Realizar "&amp;DD54&amp;" repetições de um lado e trocar para o outro na sequência | ",DJ55="P",OFFSET(Biblioteca!$H$2,MATCH(DK54,Biblioteca!$A$3:$A$200,0),0),TRUE,"")&amp;IF(DL55="R","Ajuste a carga para que tenha "&amp;$K$2&amp;" repetições de reserva",""))</f>
        <v/>
      </c>
      <c r="DC55" s="118" t="str">
        <f>IF(CY54="","",IFS(DJ55="H","Carga Sugerida: "&amp;ROUNDUP(DM54/2,0)&amp;" kg de cada lado (Total: "&amp;ROUNDUP(DM54/2,0)*2&amp;" kg)",DJ55="C","Este exercício usa o Peso Corporal como carga",DJ55="E","Este exercício usa a resistência da banda elástica como carga",DJ55="O","Carga Sugerida: "&amp;INT(DM54)&amp;" kg",TRUE,""))</f>
        <v/>
      </c>
      <c r="DH55" s="66"/>
      <c r="DI55" s="126">
        <f>DI54</f>
        <v>1</v>
      </c>
      <c r="DJ55" s="120" t="str">
        <f>LEFT(DM55)</f>
        <v/>
      </c>
      <c r="DK55" s="121" t="str">
        <f>MID(DM55,2,1)</f>
        <v/>
      </c>
      <c r="DL55" s="122" t="str">
        <f>RIGHT(DM55)</f>
        <v/>
      </c>
      <c r="DM55" s="123" t="str">
        <f>IF(DK54="","",OFFSET(Biblioteca!$I$2,MATCH(DK54,Biblioteca!$A$3:$A$200,0),0))</f>
        <v/>
      </c>
      <c r="DN55" s="57"/>
      <c r="DO55" s="147"/>
      <c r="DP55" s="57">
        <f>AND(J2&gt;1,DQ18&lt;2)+0</f>
        <v>1</v>
      </c>
      <c r="DQ55" s="56">
        <f>AND(J2&gt;2,DQ18&lt;3)+0</f>
        <v>1</v>
      </c>
      <c r="DR55" s="56">
        <f>AND(J2&gt;3,DQ18&lt;4)+0</f>
        <v>1</v>
      </c>
      <c r="DS55" s="56">
        <f>AND(J2&gt;4,DQ18&lt;5)+0</f>
        <v>1</v>
      </c>
      <c r="DT55" s="56"/>
      <c r="DU55" s="56">
        <f>AND(J2&gt;5,DQ18&lt;6)+0</f>
        <v>1</v>
      </c>
      <c r="DV55" s="56"/>
      <c r="DW55" s="56"/>
      <c r="DX55" s="148">
        <f>AND(J2=7,DQ18&lt;7)+0</f>
        <v>0</v>
      </c>
      <c r="DY55" s="56"/>
    </row>
    <row r="56">
      <c r="A56" s="115" t="str">
        <f>IF(M56="","",HYPERLINK(OFFSET(Biblioteca!$B$2,MATCH(M56,Biblioteca!$A$3:$A$200,0),0),M56))</f>
        <v/>
      </c>
      <c r="D56" s="103" t="str">
        <f>Montagem!Q186</f>
        <v/>
      </c>
      <c r="E56" s="104" t="str">
        <f>Montagem!R186</f>
        <v/>
      </c>
      <c r="F56" s="104" t="str">
        <f>Montagem!S186</f>
        <v/>
      </c>
      <c r="G56" s="104" t="str">
        <f>Montagem!T186</f>
        <v/>
      </c>
      <c r="H56" s="104" t="str">
        <f>Montagem!U186</f>
        <v/>
      </c>
      <c r="I56" s="132" t="str">
        <f>Montagem!V186</f>
        <v/>
      </c>
      <c r="J56" s="144"/>
      <c r="K56" s="106">
        <f>Montagem!K186</f>
        <v>11</v>
      </c>
      <c r="L56" s="111" t="str">
        <f>Montagem!W186</f>
        <v/>
      </c>
      <c r="M56" s="111" t="str">
        <f>Montagem!L186</f>
        <v/>
      </c>
      <c r="N56" s="111" t="str">
        <f>Montagem!X186</f>
        <v/>
      </c>
      <c r="O56" s="106" t="str">
        <f>IF(N56="",L56,N56)</f>
        <v/>
      </c>
      <c r="P56" s="106" t="str">
        <f>IF(L57="C",'Dados de Base'!$D$5*0.1,IF(L57="E",5,IF(J56="",O56,J56)))</f>
        <v/>
      </c>
      <c r="Q56" s="108"/>
      <c r="R56" s="115" t="str">
        <f>IF(AD56="","",HYPERLINK(OFFSET(Biblioteca!$B$2,MATCH(AD56,Biblioteca!$A$3:$A$200,0),0),AD56))</f>
        <v/>
      </c>
      <c r="U56" s="109" t="str">
        <f>Montagem!AF186</f>
        <v/>
      </c>
      <c r="V56" s="110" t="str">
        <f>Montagem!AG186</f>
        <v/>
      </c>
      <c r="W56" s="110" t="str">
        <f>Montagem!AH186</f>
        <v/>
      </c>
      <c r="X56" s="110" t="str">
        <f>Montagem!AI186</f>
        <v/>
      </c>
      <c r="Y56" s="110" t="str">
        <f>Montagem!AJ186</f>
        <v/>
      </c>
      <c r="Z56" s="110" t="str">
        <f>Montagem!AK186</f>
        <v/>
      </c>
      <c r="AA56" s="113"/>
      <c r="AB56" s="111">
        <f>Montagem!Z186</f>
        <v>11</v>
      </c>
      <c r="AC56" s="111" t="str">
        <f>Montagem!AL186</f>
        <v/>
      </c>
      <c r="AD56" s="129" t="str">
        <f>Montagem!AA186</f>
        <v/>
      </c>
      <c r="AE56" s="111" t="str">
        <f>Montagem!AM186</f>
        <v/>
      </c>
      <c r="AF56" s="106" t="str">
        <f>IF(AE56="",AC56,AE56)</f>
        <v/>
      </c>
      <c r="AG56" s="106" t="str">
        <f>IF(AC57="C",'Dados de Base'!$D$5*0.1,IF(AC57="E",5,IF(AA56="",AF56,AA56)))</f>
        <v/>
      </c>
      <c r="AH56" s="108"/>
      <c r="AI56" s="115" t="str">
        <f>IF(AU56="","",HYPERLINK(OFFSET(Biblioteca!$B$2,MATCH(AU56,Biblioteca!$A$3:$A$200,0),0),AU56))</f>
        <v/>
      </c>
      <c r="AL56" s="109" t="str">
        <f>Montagem!AU186</f>
        <v/>
      </c>
      <c r="AM56" s="110" t="str">
        <f>Montagem!AV186</f>
        <v/>
      </c>
      <c r="AN56" s="110" t="str">
        <f>Montagem!AW186</f>
        <v/>
      </c>
      <c r="AO56" s="110" t="str">
        <f>Montagem!AX186</f>
        <v/>
      </c>
      <c r="AP56" s="110" t="str">
        <f>Montagem!AY186</f>
        <v/>
      </c>
      <c r="AQ56" s="110" t="str">
        <f>Montagem!AZ186</f>
        <v/>
      </c>
      <c r="AR56" s="114"/>
      <c r="AS56" s="111">
        <f>Montagem!AO186</f>
        <v>1</v>
      </c>
      <c r="AT56" s="111" t="str">
        <f>Montagem!BA186</f>
        <v/>
      </c>
      <c r="AU56" s="111" t="str">
        <f>Montagem!AP186</f>
        <v/>
      </c>
      <c r="AV56" s="111" t="str">
        <f>Montagem!BB186</f>
        <v/>
      </c>
      <c r="AW56" s="106" t="str">
        <f>IF(AV56="",AT56,AV56)</f>
        <v/>
      </c>
      <c r="AX56" s="106" t="str">
        <f>IF(AT57="C",'Dados de Base'!$D$5*0.1,IF(AT57="E",5,IF(AR56="",AW56,AR56)))</f>
        <v/>
      </c>
      <c r="AY56" s="108"/>
      <c r="AZ56" s="115" t="str">
        <f>IF(BL56="","",HYPERLINK(OFFSET(Biblioteca!$B$2,MATCH(BL56,Biblioteca!$A$3:$A$200,0),0),BL56))</f>
        <v/>
      </c>
      <c r="BC56" s="109" t="str">
        <f>Montagem!BJ186</f>
        <v/>
      </c>
      <c r="BD56" s="110" t="str">
        <f>Montagem!BK186</f>
        <v/>
      </c>
      <c r="BE56" s="110" t="str">
        <f>Montagem!BL186</f>
        <v/>
      </c>
      <c r="BF56" s="110" t="str">
        <f>Montagem!BM186</f>
        <v/>
      </c>
      <c r="BG56" s="110" t="str">
        <f>Montagem!BN186</f>
        <v/>
      </c>
      <c r="BH56" s="110" t="str">
        <f>Montagem!BO186</f>
        <v/>
      </c>
      <c r="BI56" s="114"/>
      <c r="BJ56" s="111">
        <f>Montagem!BD186</f>
        <v>7</v>
      </c>
      <c r="BK56" s="111" t="str">
        <f>Montagem!BP186</f>
        <v/>
      </c>
      <c r="BL56" s="111" t="str">
        <f>Montagem!BE186</f>
        <v/>
      </c>
      <c r="BM56" s="111" t="str">
        <f>Montagem!BQ186</f>
        <v/>
      </c>
      <c r="BN56" s="106" t="str">
        <f>IF(BM56="",BK56,BM56)</f>
        <v/>
      </c>
      <c r="BO56" s="106" t="str">
        <f>IF(BK57="C",'Dados de Base'!$D$5*0.1,IF(BK57="E",5,IF(BI56="",BN56,BI56)))</f>
        <v/>
      </c>
      <c r="BP56" s="108"/>
      <c r="BQ56" s="115" t="str">
        <f>IF(CC56="","",HYPERLINK(OFFSET(Biblioteca!$B$2,MATCH(CC56,Biblioteca!$A$3:$A$200,0),0),CC56))</f>
        <v/>
      </c>
      <c r="BT56" s="109" t="str">
        <f>Montagem!BY186</f>
        <v/>
      </c>
      <c r="BU56" s="110" t="str">
        <f>Montagem!BZ186</f>
        <v/>
      </c>
      <c r="BV56" s="110" t="str">
        <f>Montagem!CA186</f>
        <v/>
      </c>
      <c r="BW56" s="110" t="str">
        <f>Montagem!CB186</f>
        <v/>
      </c>
      <c r="BX56" s="110" t="str">
        <f>Montagem!CC186</f>
        <v/>
      </c>
      <c r="BY56" s="110" t="str">
        <f>Montagem!CD186</f>
        <v/>
      </c>
      <c r="BZ56" s="114"/>
      <c r="CA56" s="111">
        <f>Montagem!BS186</f>
        <v>8</v>
      </c>
      <c r="CB56" s="111" t="str">
        <f>Montagem!CE186</f>
        <v/>
      </c>
      <c r="CC56" s="111" t="str">
        <f>Montagem!BT186</f>
        <v/>
      </c>
      <c r="CD56" s="111" t="str">
        <f>Montagem!CF186</f>
        <v/>
      </c>
      <c r="CE56" s="106" t="str">
        <f>IF(CD56="",CB56,CD56)</f>
        <v/>
      </c>
      <c r="CF56" s="106" t="str">
        <f>IF(CB57="C",'Dados de Base'!$D$5*0.1,IF(CB57="E",5,IF(BZ56="",CE56,BZ56)))</f>
        <v/>
      </c>
      <c r="CG56" s="108"/>
      <c r="CH56" s="115" t="str">
        <f>IF(CT56="","",HYPERLINK(OFFSET(Biblioteca!$B$2,MATCH(CT56,Biblioteca!$A$3:$A$200,0),0),CT56))</f>
        <v/>
      </c>
      <c r="CK56" s="109" t="str">
        <f>Montagem!CN186</f>
        <v/>
      </c>
      <c r="CL56" s="110" t="str">
        <f>Montagem!CO186</f>
        <v/>
      </c>
      <c r="CM56" s="110" t="str">
        <f>Montagem!CP186</f>
        <v/>
      </c>
      <c r="CN56" s="110" t="str">
        <f>Montagem!CQ186</f>
        <v/>
      </c>
      <c r="CO56" s="110" t="str">
        <f>Montagem!CR186</f>
        <v/>
      </c>
      <c r="CP56" s="110" t="str">
        <f>Montagem!CS186</f>
        <v/>
      </c>
      <c r="CQ56" s="114"/>
      <c r="CR56" s="111">
        <f>Montagem!CH186</f>
        <v>1</v>
      </c>
      <c r="CS56" s="111" t="str">
        <f>Montagem!CT186</f>
        <v/>
      </c>
      <c r="CT56" s="111" t="str">
        <f>Montagem!CI186</f>
        <v/>
      </c>
      <c r="CU56" s="145" t="str">
        <f>Montagem!CU186</f>
        <v/>
      </c>
      <c r="CV56" s="106" t="str">
        <f>IF(CU56="",CS56,CU56)</f>
        <v/>
      </c>
      <c r="CW56" s="106" t="str">
        <f>IF(CS57="C",'Dados de Base'!$D$5*0.1,IF(CS57="E",5,IF(CQ56="",CV56,CQ56)))</f>
        <v/>
      </c>
      <c r="CX56" s="108"/>
      <c r="CY56" s="115" t="str">
        <f>IF(DK56="","",HYPERLINK(OFFSET(Biblioteca!$B$2,MATCH(DK56,Biblioteca!$A$3:$A$200,0),0),DK56))</f>
        <v/>
      </c>
      <c r="DB56" s="130" t="str">
        <f>Montagem!DC186</f>
        <v/>
      </c>
      <c r="DC56" s="131" t="str">
        <f>Montagem!DD186</f>
        <v/>
      </c>
      <c r="DD56" s="131" t="str">
        <f>Montagem!DE186</f>
        <v/>
      </c>
      <c r="DE56" s="131" t="str">
        <f>Montagem!DF186</f>
        <v/>
      </c>
      <c r="DF56" s="131" t="str">
        <f>Montagem!DG186</f>
        <v/>
      </c>
      <c r="DG56" s="131" t="str">
        <f>Montagem!DH186</f>
        <v/>
      </c>
      <c r="DH56" s="114"/>
      <c r="DI56" s="111">
        <f>Montagem!CW186</f>
        <v>1</v>
      </c>
      <c r="DJ56" s="111" t="str">
        <f>Montagem!DI186</f>
        <v/>
      </c>
      <c r="DK56" s="111" t="str">
        <f>Montagem!CX186</f>
        <v/>
      </c>
      <c r="DL56" s="145" t="str">
        <f>Montagem!DJ186</f>
        <v/>
      </c>
      <c r="DM56" s="106" t="str">
        <f>IF(DL56="",DJ56,DL56)</f>
        <v/>
      </c>
      <c r="DN56" s="106" t="str">
        <f>IF(DJ57="C",'Dados de Base'!$D$5*0.1,IF(DJ57="E",5,IF(DH56="",DM56,DH56)))</f>
        <v/>
      </c>
      <c r="DO56" s="146"/>
      <c r="DP56" s="106">
        <f>AND(J2&gt;1,DQ18&gt;1)+0</f>
        <v>0</v>
      </c>
      <c r="DQ56" s="106">
        <f>AND(J2&gt;2,DQ18&gt;2)+0</f>
        <v>0</v>
      </c>
      <c r="DR56" s="106">
        <f>AND(J2&gt;3,DQ18&gt;3)+0</f>
        <v>0</v>
      </c>
      <c r="DS56" s="106">
        <f>AND(J2&gt;4,DQ18&gt;4)+0</f>
        <v>0</v>
      </c>
      <c r="DT56" s="106"/>
      <c r="DU56" s="106">
        <f>AND(J2&gt;5,DQ18&gt;5)+0</f>
        <v>0</v>
      </c>
      <c r="DV56" s="106"/>
      <c r="DW56" s="106"/>
      <c r="DX56" s="106">
        <f>AND(J2=7,DQ18&gt;6)+0</f>
        <v>0</v>
      </c>
      <c r="DY56" s="106"/>
    </row>
    <row r="57">
      <c r="A57" s="117" t="str">
        <f>IF(A56="","",IFS(L57="A",Montagem!$C$180,N57="T","Realizar a maior quantidade de repetições por "&amp;F56&amp;" segundos | ",N57="I",IF(M57="U","Manter a posição por "&amp;F56&amp;" segundos de um lado e trocar para o outro na sequência | ","Manter a posição por "&amp;F56&amp;" segundos | "),M57="A","Realizar alternadamente "&amp;F56&amp;" repetições cada lado | ",M57="U","Realizar "&amp;F56&amp;" repetições de um lado e trocar para o outro na sequência | ",L57="P",OFFSET(Biblioteca!$H$2,MATCH(M56,Biblioteca!$A$3:$A$200,0),0),TRUE,"")&amp;IF(N57="R","Ajuste a carga para que tenha "&amp;$K$2&amp;" repetições de reserva",""))</f>
        <v/>
      </c>
      <c r="E57" s="118" t="str">
        <f>IF(A56="","",IFS(L57="H","Carga Sugerida: "&amp;ROUNDUP(O56/2,0)&amp;" kg de cada lado (Total: "&amp;ROUNDUP(O56/2,0)*2&amp;" kg)",L57="C","Este exercício usa o Peso Corporal como carga",L57="E","Este exercício usa a resistência da banda elástica como carga",L57="O","Carga Sugerida: "&amp;INT(O56)&amp;" kg",TRUE,""))</f>
        <v/>
      </c>
      <c r="J57" s="66"/>
      <c r="K57" s="106">
        <f>K56</f>
        <v>11</v>
      </c>
      <c r="L57" s="120" t="str">
        <f>LEFT(O57)</f>
        <v/>
      </c>
      <c r="M57" s="121" t="str">
        <f>MID(O57,2,1)</f>
        <v/>
      </c>
      <c r="N57" s="122" t="str">
        <f>RIGHT(O57)</f>
        <v/>
      </c>
      <c r="O57" s="123" t="str">
        <f>IF(M56="","",OFFSET(Biblioteca!$I$2,MATCH(M56,Biblioteca!$A$3:$A$200,0),0))</f>
        <v/>
      </c>
      <c r="P57" s="57"/>
      <c r="Q57" s="125"/>
      <c r="R57" s="117" t="str">
        <f>IF(R56="","",IFS(AC57="A",Montagem!$D$180,AE57="T","Realizar a maior quantidade de repetições por "&amp;W56&amp;" segundos | ",AE57="I",IF(AD57="U","Manter a posição por "&amp;W56&amp;" segundos de um lado e trocar para o outro na sequência | ","Manter a posição por "&amp;W56&amp;" segundos | "),AD57="A","Realizar alternadamente "&amp;W56&amp;" repetições cada lado | ",AD57="U","Realizar "&amp;W56&amp;" repetições de um lado e trocar para o outro na sequência | ",AC57="P",OFFSET(Biblioteca!$H$2,MATCH(AD56,Biblioteca!$A$3:$A$200,0),0),TRUE,"")&amp;IF(AE57="R","Ajuste a carga para que tenha "&amp;$K$2&amp;" repetições de reserva",""))</f>
        <v/>
      </c>
      <c r="V57" s="118" t="str">
        <f>IF(R56="","",IFS(AC57="H","Carga Sugerida: "&amp;ROUNDUP(AF56/2,0)&amp;" kg de cada lado (Total: "&amp;ROUNDUP(AF56/2,0)*2&amp;" kg)",AC57="C","Este exercício usa o Peso Corporal como carga",AC57="E","Este exercício usa a resistência da banda elástica como carga",AC57="O","Carga Sugerida: "&amp;INT(AF56)&amp;" kg",TRUE,""))</f>
        <v/>
      </c>
      <c r="AA57" s="66"/>
      <c r="AB57" s="126">
        <f>AB56</f>
        <v>11</v>
      </c>
      <c r="AC57" s="120" t="str">
        <f>LEFT(AF57)</f>
        <v/>
      </c>
      <c r="AD57" s="121" t="str">
        <f>MID(AF57,2,1)</f>
        <v/>
      </c>
      <c r="AE57" s="122" t="str">
        <f>RIGHT(AF57)</f>
        <v/>
      </c>
      <c r="AF57" s="123" t="str">
        <f>IF(AD56="","",OFFSET(Biblioteca!$I$2,MATCH(AD56,Biblioteca!$A$3:$A$200,0),0))</f>
        <v/>
      </c>
      <c r="AG57" s="57"/>
      <c r="AH57" s="125"/>
      <c r="AI57" s="117" t="str">
        <f>IF(AI56="","",IFS(AT57="A",Montagem!$E$180,AV57="T","Realizar a maior quantidade de repetições por "&amp;AN56&amp;" segundos | ",AV57="I",IF(AU57="U","Manter a posição por "&amp;AN56&amp;" segundos de um lado e trocar para o outro na sequência | ","Manter a posição por "&amp;AN56&amp;" segundos | "),AU57="A","Realizar alternadamente "&amp;AN56&amp;" repetições cada lado | ",AU57="U","Realizar "&amp;AN56&amp;" repetições de um lado e trocar para o outro na sequência | ",AT57="P",OFFSET(Biblioteca!$H$2,MATCH(AU56,Biblioteca!$A$3:$A$200,0),0),TRUE,"")&amp;IF(AV57="R","Ajuste a carga para que tenha "&amp;$K$2&amp;" repetições de reserva",""))</f>
        <v/>
      </c>
      <c r="AM57" s="118" t="str">
        <f>IF(AI56="","",IFS(AT57="H","Carga Sugerida: "&amp;ROUNDUP(AW56/2,0)&amp;" kg de cada lado (Total: "&amp;ROUNDUP(AW56/2,0)*2&amp;" kg)",AT57="C","Este exercício usa o Peso Corporal como carga",AT57="E","Este exercício usa a resistência da banda elástica como carga",AT57="O","Carga Sugerida: "&amp;INT(AW56)&amp;" kg",TRUE,""))</f>
        <v/>
      </c>
      <c r="AR57" s="66"/>
      <c r="AS57" s="126">
        <f>AS56</f>
        <v>1</v>
      </c>
      <c r="AT57" s="120" t="str">
        <f>LEFT(AW57)</f>
        <v/>
      </c>
      <c r="AU57" s="121" t="str">
        <f>MID(AW57,2,1)</f>
        <v/>
      </c>
      <c r="AV57" s="122" t="str">
        <f>RIGHT(AW57)</f>
        <v/>
      </c>
      <c r="AW57" s="123" t="str">
        <f>IF(AU56="","",OFFSET(Biblioteca!$I$2,MATCH(AU56,Biblioteca!$A$3:$A$200,0),0))</f>
        <v/>
      </c>
      <c r="AX57" s="57"/>
      <c r="AY57" s="125"/>
      <c r="AZ57" s="117" t="str">
        <f>IF(AZ56="","",IFS(BK57="A",Montagem!$F$180,BM57="T","Realizar a maior quantidade de repetições por "&amp;BE56&amp;" segundos | ",BM57="I",IF(BL57="U","Manter a posição por "&amp;BE56&amp;" segundos de um lado e trocar para o outro na sequência | ","Manter a posição por "&amp;BE56&amp;" segundos | "),BL57="A","Realizar alternadamente "&amp;BE56&amp;" repetições cada lado | ",BL57="U","Realizar "&amp;BE56&amp;" repetições de um lado e trocar para o outro na sequência | ",BK57="P",OFFSET(Biblioteca!$H$2,MATCH(BL56,Biblioteca!$A$3:$A$200,0),0),TRUE,"")&amp;IF(BM57="R","Ajuste a carga para que tenha "&amp;$K$2&amp;" repetições de reserva",""))</f>
        <v/>
      </c>
      <c r="BD57" s="118" t="str">
        <f>IF(AZ56="","",IFS(BK57="H","Carga Sugerida: "&amp;ROUNDUP(BN56/2,0)&amp;" kg de cada lado (Total: "&amp;ROUNDUP(BN56/2,0)*2&amp;" kg)",BK57="C","Este exercício usa o Peso Corporal como carga",BK57="E","Este exercício usa a resistência da banda elástica como carga",BK57="O","Carga Sugerida: "&amp;INT(BN56)&amp;" kg",TRUE,""))</f>
        <v/>
      </c>
      <c r="BI57" s="66"/>
      <c r="BJ57" s="126">
        <f>BJ56</f>
        <v>7</v>
      </c>
      <c r="BK57" s="120" t="str">
        <f>LEFT(BN57)</f>
        <v/>
      </c>
      <c r="BL57" s="121" t="str">
        <f>MID(BN57,2,1)</f>
        <v/>
      </c>
      <c r="BM57" s="122" t="str">
        <f>RIGHT(BN57)</f>
        <v/>
      </c>
      <c r="BN57" s="123" t="str">
        <f>IF(BL56="","",OFFSET(Biblioteca!$I$2,MATCH(BL56,Biblioteca!$A$3:$A$200,0),0))</f>
        <v/>
      </c>
      <c r="BO57" s="57"/>
      <c r="BP57" s="125"/>
      <c r="BQ57" s="117" t="str">
        <f>IF(BQ56="","",IFS(CB57="A",Montagem!$G$180,CD57="T","Realizar a maior quantidade de repetições por "&amp;BV56&amp;" segundos | ",CD57="I",IF(CC57="U","Manter a posição por "&amp;BV56&amp;" segundos de um lado e trocar para o outro na sequência | ","Manter a posição por "&amp;BV56&amp;" segundos | "),CC57="A","Realizar alternadamente "&amp;BV56&amp;" repetições cada lado | ",CC57="U","Realizar "&amp;BV56&amp;" repetições de um lado e trocar para o outro na sequência | ",CB57="P",OFFSET(Biblioteca!$H$2,MATCH(CC56,Biblioteca!$A$3:$A$200,0),0),TRUE,"")&amp;IF(CD57="R","Ajuste a carga para que tenha "&amp;$K$2&amp;" repetições de reserva",""))</f>
        <v/>
      </c>
      <c r="BU57" s="118" t="str">
        <f>IF(BQ56="","",IFS(CB57="H","Carga Sugerida: "&amp;ROUNDUP(CE56/2,0)&amp;" kg de cada lado (Total: "&amp;ROUNDUP(CE56/2,0)*2&amp;" kg)",CB57="C","Este exercício usa o Peso Corporal como carga",CB57="E","Este exercício usa a resistência da banda elástica como carga",CB57="O","Carga Sugerida: "&amp;INT(CE56)&amp;" kg",TRUE,""))</f>
        <v/>
      </c>
      <c r="BZ57" s="66"/>
      <c r="CA57" s="126">
        <f>CA56</f>
        <v>8</v>
      </c>
      <c r="CB57" s="120" t="str">
        <f>LEFT(CE57)</f>
        <v/>
      </c>
      <c r="CC57" s="121" t="str">
        <f>MID(CE57,2,1)</f>
        <v/>
      </c>
      <c r="CD57" s="122" t="str">
        <f>RIGHT(CE57)</f>
        <v/>
      </c>
      <c r="CE57" s="123" t="str">
        <f>IF(CC56="","",OFFSET(Biblioteca!$I$2,MATCH(CC56,Biblioteca!$A$3:$A$200,0),0))</f>
        <v/>
      </c>
      <c r="CF57" s="57"/>
      <c r="CG57" s="125"/>
      <c r="CH57" s="117" t="str">
        <f>IF(CH56="","",IFS(CS57="A",Montagem!$H$180,CU57="T","Realizar a maior quantidade de repetições por "&amp;CM56&amp;" segundos | ",CU57="I",IF(CT57="U","Manter a posição por "&amp;CM56&amp;" segundos de um lado e trocar para o outro na sequência | ","Manter a posição por "&amp;CM56&amp;" segundos | "),CT57="A","Realizar alternadamente "&amp;CM56&amp;" repetições cada lado | ",CT57="U","Realizar "&amp;CM56&amp;" repetições de um lado e trocar para o outro na sequência | ",CS57="P",OFFSET(Biblioteca!$H$2,MATCH(CT56,Biblioteca!$A$3:$A$200,0),0),TRUE,"")&amp;IF(CU57="R","Ajuste a carga para que tenha "&amp;$K$2&amp;" repetições de reserva",""))</f>
        <v/>
      </c>
      <c r="CL57" s="118" t="str">
        <f>IF(CH56="","",IFS(CS57="H","Carga Sugerida: "&amp;ROUNDUP(CV56/2,0)&amp;" kg de cada lado (Total: "&amp;ROUNDUP(CV56/2,0)*2&amp;" kg)",CS57="C","Este exercício usa o Peso Corporal como carga",CS57="E","Este exercício usa a resistência da banda elástica como carga",CS57="O","Carga Sugerida: "&amp;INT(CV56)&amp;" kg",TRUE,""))</f>
        <v/>
      </c>
      <c r="CQ57" s="66"/>
      <c r="CR57" s="126">
        <f>CR56</f>
        <v>1</v>
      </c>
      <c r="CS57" s="120" t="str">
        <f>LEFT(CV57)</f>
        <v/>
      </c>
      <c r="CT57" s="121" t="str">
        <f>MID(CV57,2,1)</f>
        <v/>
      </c>
      <c r="CU57" s="122" t="str">
        <f>RIGHT(CV57)</f>
        <v/>
      </c>
      <c r="CV57" s="123" t="str">
        <f>IF(CT56="","",OFFSET(Biblioteca!$I$2,MATCH(CT56,Biblioteca!$A$3:$A$200,0),0))</f>
        <v/>
      </c>
      <c r="CW57" s="57"/>
      <c r="CX57" s="125"/>
      <c r="CY57" s="117" t="str">
        <f>IF(CY56="","",IFS(DJ57="A",Montagem!$I$180,DL57="T","Realizar a maior quantidade de repetições por "&amp;DD56&amp;" segundos | ",DL57="I",IF(DK57="U","Manter a posição por "&amp;DD56&amp;" segundos de um lado e trocar para o outro na sequência | ","Manter a posição por "&amp;DD56&amp;" segundos | "),DK57="A","Realizar alternadamente "&amp;DD56&amp;" repetições cada lado | ",DK57="U","Realizar "&amp;DD56&amp;" repetições de um lado e trocar para o outro na sequência | ",DJ57="P",OFFSET(Biblioteca!$H$2,MATCH(DK56,Biblioteca!$A$3:$A$200,0),0),TRUE,"")&amp;IF(DL57="R","Ajuste a carga para que tenha "&amp;$K$2&amp;" repetições de reserva",""))</f>
        <v/>
      </c>
      <c r="DC57" s="118" t="str">
        <f>IF(CY56="","",IFS(DJ57="H","Carga Sugerida: "&amp;ROUNDUP(DM56/2,0)&amp;" kg de cada lado (Total: "&amp;ROUNDUP(DM56/2,0)*2&amp;" kg)",DJ57="C","Este exercício usa o Peso Corporal como carga",DJ57="E","Este exercício usa a resistência da banda elástica como carga",DJ57="O","Carga Sugerida: "&amp;INT(DM56)&amp;" kg",TRUE,""))</f>
        <v/>
      </c>
      <c r="DH57" s="66"/>
      <c r="DI57" s="126">
        <f>DI56</f>
        <v>1</v>
      </c>
      <c r="DJ57" s="120" t="str">
        <f>LEFT(DM57)</f>
        <v/>
      </c>
      <c r="DK57" s="121" t="str">
        <f>MID(DM57,2,1)</f>
        <v/>
      </c>
      <c r="DL57" s="122" t="str">
        <f>RIGHT(DM57)</f>
        <v/>
      </c>
      <c r="DM57" s="123" t="str">
        <f>IF(DK56="","",OFFSET(Biblioteca!$I$2,MATCH(DK56,Biblioteca!$A$3:$A$200,0),0))</f>
        <v/>
      </c>
      <c r="DN57" s="57"/>
      <c r="DO57" s="147"/>
      <c r="DP57" s="149"/>
      <c r="DQ57" s="150"/>
      <c r="DR57" s="56"/>
      <c r="DS57" s="151"/>
      <c r="DU57" s="151"/>
      <c r="DX57" s="152"/>
      <c r="DY57" s="152"/>
    </row>
    <row r="58">
      <c r="A58" s="115" t="str">
        <f>IF(M58="","",HYPERLINK(OFFSET(Biblioteca!$B$2,MATCH(M58,Biblioteca!$A$3:$A$200,0),0),M58))</f>
        <v/>
      </c>
      <c r="D58" s="103" t="str">
        <f>Montagem!Q187</f>
        <v/>
      </c>
      <c r="E58" s="104" t="str">
        <f>Montagem!R187</f>
        <v/>
      </c>
      <c r="F58" s="104" t="str">
        <f>Montagem!S187</f>
        <v/>
      </c>
      <c r="G58" s="104" t="str">
        <f>Montagem!T187</f>
        <v/>
      </c>
      <c r="H58" s="104" t="str">
        <f>Montagem!U187</f>
        <v/>
      </c>
      <c r="I58" s="132" t="str">
        <f>Montagem!V187</f>
        <v/>
      </c>
      <c r="J58" s="144"/>
      <c r="K58" s="106">
        <f>Montagem!K187</f>
        <v>11</v>
      </c>
      <c r="L58" s="111" t="str">
        <f>Montagem!W187</f>
        <v/>
      </c>
      <c r="M58" s="111" t="str">
        <f>Montagem!L187</f>
        <v/>
      </c>
      <c r="N58" s="111" t="str">
        <f>Montagem!X187</f>
        <v/>
      </c>
      <c r="O58" s="106" t="str">
        <f>IF(N58="",L58,N58)</f>
        <v/>
      </c>
      <c r="P58" s="106" t="str">
        <f>IF(L59="C",'Dados de Base'!$D$5*0.1,IF(L59="E",5,IF(J58="",O58,J58)))</f>
        <v/>
      </c>
      <c r="Q58" s="108"/>
      <c r="R58" s="115" t="str">
        <f>IF(AD58="","",HYPERLINK(OFFSET(Biblioteca!$B$2,MATCH(AD58,Biblioteca!$A$3:$A$200,0),0),AD58))</f>
        <v/>
      </c>
      <c r="U58" s="109" t="str">
        <f>Montagem!AF187</f>
        <v/>
      </c>
      <c r="V58" s="110" t="str">
        <f>Montagem!AG187</f>
        <v/>
      </c>
      <c r="W58" s="110" t="str">
        <f>Montagem!AH187</f>
        <v/>
      </c>
      <c r="X58" s="110" t="str">
        <f>Montagem!AI187</f>
        <v/>
      </c>
      <c r="Y58" s="110" t="str">
        <f>Montagem!AJ187</f>
        <v/>
      </c>
      <c r="Z58" s="110" t="str">
        <f>Montagem!AK187</f>
        <v/>
      </c>
      <c r="AA58" s="113"/>
      <c r="AB58" s="111">
        <f>Montagem!Z187</f>
        <v>11</v>
      </c>
      <c r="AC58" s="111" t="str">
        <f>Montagem!AL187</f>
        <v/>
      </c>
      <c r="AD58" s="129" t="str">
        <f>Montagem!AA187</f>
        <v/>
      </c>
      <c r="AE58" s="111" t="str">
        <f>Montagem!AM187</f>
        <v/>
      </c>
      <c r="AF58" s="106" t="str">
        <f>IF(AE58="",AC58,AE58)</f>
        <v/>
      </c>
      <c r="AG58" s="106" t="str">
        <f>IF(AC59="C",'Dados de Base'!$D$5*0.1,IF(AC59="E",5,IF(AA58="",AF58,AA58)))</f>
        <v/>
      </c>
      <c r="AH58" s="108"/>
      <c r="AI58" s="115" t="str">
        <f>IF(AU58="","",HYPERLINK(OFFSET(Biblioteca!$B$2,MATCH(AU58,Biblioteca!$A$3:$A$200,0),0),AU58))</f>
        <v/>
      </c>
      <c r="AL58" s="109" t="str">
        <f>Montagem!AU187</f>
        <v/>
      </c>
      <c r="AM58" s="110" t="str">
        <f>Montagem!AV187</f>
        <v/>
      </c>
      <c r="AN58" s="110" t="str">
        <f>Montagem!AW187</f>
        <v/>
      </c>
      <c r="AO58" s="110" t="str">
        <f>Montagem!AX187</f>
        <v/>
      </c>
      <c r="AP58" s="110" t="str">
        <f>Montagem!AY187</f>
        <v/>
      </c>
      <c r="AQ58" s="110" t="str">
        <f>Montagem!AZ187</f>
        <v/>
      </c>
      <c r="AR58" s="114"/>
      <c r="AS58" s="111">
        <f>Montagem!AO187</f>
        <v>1</v>
      </c>
      <c r="AT58" s="111" t="str">
        <f>Montagem!BA187</f>
        <v/>
      </c>
      <c r="AU58" s="111" t="str">
        <f>Montagem!AP187</f>
        <v/>
      </c>
      <c r="AV58" s="111" t="str">
        <f>Montagem!BB187</f>
        <v/>
      </c>
      <c r="AW58" s="106" t="str">
        <f>IF(AV58="",AT58,AV58)</f>
        <v/>
      </c>
      <c r="AX58" s="106" t="str">
        <f>IF(AT59="C",'Dados de Base'!$D$5*0.1,IF(AT59="E",5,IF(AR58="",AW58,AR58)))</f>
        <v/>
      </c>
      <c r="AY58" s="108"/>
      <c r="AZ58" s="115" t="str">
        <f>IF(BL58="","",HYPERLINK(OFFSET(Biblioteca!$B$2,MATCH(BL58,Biblioteca!$A$3:$A$200,0),0),BL58))</f>
        <v/>
      </c>
      <c r="BC58" s="109" t="str">
        <f>Montagem!BJ187</f>
        <v/>
      </c>
      <c r="BD58" s="110" t="str">
        <f>Montagem!BK187</f>
        <v/>
      </c>
      <c r="BE58" s="110" t="str">
        <f>Montagem!BL187</f>
        <v/>
      </c>
      <c r="BF58" s="110" t="str">
        <f>Montagem!BM187</f>
        <v/>
      </c>
      <c r="BG58" s="110" t="str">
        <f>Montagem!BN187</f>
        <v/>
      </c>
      <c r="BH58" s="110" t="str">
        <f>Montagem!BO187</f>
        <v/>
      </c>
      <c r="BI58" s="114"/>
      <c r="BJ58" s="111">
        <f>Montagem!BD187</f>
        <v>7</v>
      </c>
      <c r="BK58" s="111" t="str">
        <f>Montagem!BP187</f>
        <v/>
      </c>
      <c r="BL58" s="111" t="str">
        <f>Montagem!BE187</f>
        <v/>
      </c>
      <c r="BM58" s="111" t="str">
        <f>Montagem!BQ187</f>
        <v/>
      </c>
      <c r="BN58" s="106" t="str">
        <f>IF(BM58="",BK58,BM58)</f>
        <v/>
      </c>
      <c r="BO58" s="106" t="str">
        <f>IF(BK59="C",'Dados de Base'!$D$5*0.1,IF(BK59="E",5,IF(BI58="",BN58,BI58)))</f>
        <v/>
      </c>
      <c r="BP58" s="108"/>
      <c r="BQ58" s="115" t="str">
        <f>IF(CC58="","",HYPERLINK(OFFSET(Biblioteca!$B$2,MATCH(CC58,Biblioteca!$A$3:$A$200,0),0),CC58))</f>
        <v/>
      </c>
      <c r="BT58" s="109" t="str">
        <f>Montagem!BY187</f>
        <v/>
      </c>
      <c r="BU58" s="110" t="str">
        <f>Montagem!BZ187</f>
        <v/>
      </c>
      <c r="BV58" s="110" t="str">
        <f>Montagem!CA187</f>
        <v/>
      </c>
      <c r="BW58" s="110" t="str">
        <f>Montagem!CB187</f>
        <v/>
      </c>
      <c r="BX58" s="110" t="str">
        <f>Montagem!CC187</f>
        <v/>
      </c>
      <c r="BY58" s="110" t="str">
        <f>Montagem!CD187</f>
        <v/>
      </c>
      <c r="BZ58" s="114"/>
      <c r="CA58" s="111">
        <f>Montagem!BS187</f>
        <v>8</v>
      </c>
      <c r="CB58" s="111" t="str">
        <f>Montagem!CE187</f>
        <v/>
      </c>
      <c r="CC58" s="111" t="str">
        <f>Montagem!BT187</f>
        <v/>
      </c>
      <c r="CD58" s="111" t="str">
        <f>Montagem!CF187</f>
        <v/>
      </c>
      <c r="CE58" s="106" t="str">
        <f>IF(CD58="",CB58,CD58)</f>
        <v/>
      </c>
      <c r="CF58" s="106" t="str">
        <f>IF(CB59="C",'Dados de Base'!$D$5*0.1,IF(CB59="E",5,IF(BZ58="",CE58,BZ58)))</f>
        <v/>
      </c>
      <c r="CG58" s="108"/>
      <c r="CH58" s="115" t="str">
        <f>IF(CT58="","",HYPERLINK(OFFSET(Biblioteca!$B$2,MATCH(CT58,Biblioteca!$A$3:$A$200,0),0),CT58))</f>
        <v/>
      </c>
      <c r="CK58" s="109" t="str">
        <f>Montagem!CN187</f>
        <v/>
      </c>
      <c r="CL58" s="110" t="str">
        <f>Montagem!CO187</f>
        <v/>
      </c>
      <c r="CM58" s="110" t="str">
        <f>Montagem!CP187</f>
        <v/>
      </c>
      <c r="CN58" s="110" t="str">
        <f>Montagem!CQ187</f>
        <v/>
      </c>
      <c r="CO58" s="110" t="str">
        <f>Montagem!CR187</f>
        <v/>
      </c>
      <c r="CP58" s="110" t="str">
        <f>Montagem!CS187</f>
        <v/>
      </c>
      <c r="CQ58" s="114"/>
      <c r="CR58" s="111">
        <f>Montagem!CH187</f>
        <v>1</v>
      </c>
      <c r="CS58" s="111" t="str">
        <f>Montagem!CT187</f>
        <v/>
      </c>
      <c r="CT58" s="111" t="str">
        <f>Montagem!CI187</f>
        <v/>
      </c>
      <c r="CU58" s="145" t="str">
        <f>Montagem!CU187</f>
        <v/>
      </c>
      <c r="CV58" s="106" t="str">
        <f>IF(CU58="",CS58,CU58)</f>
        <v/>
      </c>
      <c r="CW58" s="106" t="str">
        <f>IF(CS59="C",'Dados de Base'!$D$5*0.1,IF(CS59="E",5,IF(CQ58="",CV58,CQ58)))</f>
        <v/>
      </c>
      <c r="CX58" s="108"/>
      <c r="CY58" s="115" t="str">
        <f>IF(DK58="","",HYPERLINK(OFFSET(Biblioteca!$B$2,MATCH(DK58,Biblioteca!$A$3:$A$200,0),0),DK58))</f>
        <v/>
      </c>
      <c r="DB58" s="130" t="str">
        <f>Montagem!DC187</f>
        <v/>
      </c>
      <c r="DC58" s="131" t="str">
        <f>Montagem!DD187</f>
        <v/>
      </c>
      <c r="DD58" s="131" t="str">
        <f>Montagem!DE187</f>
        <v/>
      </c>
      <c r="DE58" s="131" t="str">
        <f>Montagem!DF187</f>
        <v/>
      </c>
      <c r="DF58" s="131" t="str">
        <f>Montagem!DG187</f>
        <v/>
      </c>
      <c r="DG58" s="131" t="str">
        <f>Montagem!DH187</f>
        <v/>
      </c>
      <c r="DH58" s="114"/>
      <c r="DI58" s="111">
        <f>Montagem!CW187</f>
        <v>1</v>
      </c>
      <c r="DJ58" s="111" t="str">
        <f>Montagem!DI187</f>
        <v/>
      </c>
      <c r="DK58" s="111" t="str">
        <f>Montagem!CX187</f>
        <v/>
      </c>
      <c r="DL58" s="145" t="str">
        <f>Montagem!DJ187</f>
        <v/>
      </c>
      <c r="DM58" s="106" t="str">
        <f>IF(DL58="",DJ58,DL58)</f>
        <v/>
      </c>
      <c r="DN58" s="106" t="str">
        <f>IF(DJ59="C",'Dados de Base'!$D$5*0.1,IF(DJ59="E",5,IF(DH58="",DM58,DH58)))</f>
        <v/>
      </c>
      <c r="DO58" s="146"/>
      <c r="DP58" s="106"/>
      <c r="DQ58" s="106"/>
      <c r="DR58" s="106"/>
      <c r="DS58" s="106"/>
      <c r="DT58" s="106"/>
      <c r="DU58" s="106"/>
      <c r="DV58" s="106"/>
      <c r="DW58" s="106"/>
      <c r="DX58" s="106"/>
      <c r="DY58" s="106"/>
    </row>
    <row r="59">
      <c r="A59" s="117" t="str">
        <f>IF(A58="","",IFS(L59="A",Montagem!$C$180,N59="T","Realizar a maior quantidade de repetições por "&amp;F58&amp;" segundos | ",N59="I",IF(M59="U","Manter a posição por "&amp;F58&amp;" segundos de um lado e trocar para o outro na sequência | ","Manter a posição por "&amp;F58&amp;" segundos | "),M59="A","Realizar alternadamente "&amp;F58&amp;" repetições cada lado | ",M59="U","Realizar "&amp;F58&amp;" repetições de um lado e trocar para o outro na sequência | ",L59="P",OFFSET(Biblioteca!$H$2,MATCH(M58,Biblioteca!$A$3:$A$200,0),0),TRUE,"")&amp;IF(N59="R","Ajuste a carga para que tenha "&amp;$K$2&amp;" repetições de reserva",""))</f>
        <v/>
      </c>
      <c r="E59" s="118" t="str">
        <f>IF(A58="","",IFS(L59="H","Carga Sugerida: "&amp;ROUNDUP(O58/2,0)&amp;" kg de cada lado (Total: "&amp;ROUNDUP(O58/2,0)*2&amp;" kg)",L59="C","Este exercício usa o Peso Corporal como carga",L59="E","Este exercício usa a resistência da banda elástica como carga",L59="O","Carga Sugerida: "&amp;INT(O58)&amp;" kg",TRUE,""))</f>
        <v/>
      </c>
      <c r="J59" s="66"/>
      <c r="K59" s="106">
        <f>K58</f>
        <v>11</v>
      </c>
      <c r="L59" s="120" t="str">
        <f>LEFT(O59)</f>
        <v/>
      </c>
      <c r="M59" s="121" t="str">
        <f>MID(O59,2,1)</f>
        <v/>
      </c>
      <c r="N59" s="122" t="str">
        <f>RIGHT(O59)</f>
        <v/>
      </c>
      <c r="O59" s="123" t="str">
        <f>IF(M58="","",OFFSET(Biblioteca!$I$2,MATCH(M58,Biblioteca!$A$3:$A$200,0),0))</f>
        <v/>
      </c>
      <c r="P59" s="57"/>
      <c r="Q59" s="125"/>
      <c r="R59" s="117" t="str">
        <f>IF(R58="","",IFS(AC59="A",Montagem!$D$180,AE59="T","Realizar a maior quantidade de repetições por "&amp;W58&amp;" segundos | ",AE59="I",IF(AD59="U","Manter a posição por "&amp;W58&amp;" segundos de um lado e trocar para o outro na sequência | ","Manter a posição por "&amp;W58&amp;" segundos | "),AD59="A","Realizar alternadamente "&amp;W58&amp;" repetições cada lado | ",AD59="U","Realizar "&amp;W58&amp;" repetições de um lado e trocar para o outro na sequência | ",AC59="P",OFFSET(Biblioteca!$H$2,MATCH(AD58,Biblioteca!$A$3:$A$200,0),0),TRUE,"")&amp;IF(AE59="R","Ajuste a carga para que tenha "&amp;$K$2&amp;" repetições de reserva",""))</f>
        <v/>
      </c>
      <c r="V59" s="118" t="str">
        <f>IF(R58="","",IFS(AC59="H","Carga Sugerida: "&amp;ROUNDUP(AF58/2,0)&amp;" kg de cada lado (Total: "&amp;ROUNDUP(AF58/2,0)*2&amp;" kg)",AC59="C","Este exercício usa o Peso Corporal como carga",AC59="E","Este exercício usa a resistência da banda elástica como carga",AC59="O","Carga Sugerida: "&amp;INT(AF58)&amp;" kg",TRUE,""))</f>
        <v/>
      </c>
      <c r="AA59" s="66"/>
      <c r="AB59" s="126">
        <f>AB58</f>
        <v>11</v>
      </c>
      <c r="AC59" s="120" t="str">
        <f>LEFT(AF59)</f>
        <v/>
      </c>
      <c r="AD59" s="121" t="str">
        <f>MID(AF59,2,1)</f>
        <v/>
      </c>
      <c r="AE59" s="122" t="str">
        <f>RIGHT(AF59)</f>
        <v/>
      </c>
      <c r="AF59" s="123" t="str">
        <f>IF(AD58="","",OFFSET(Biblioteca!$I$2,MATCH(AD58,Biblioteca!$A$3:$A$200,0),0))</f>
        <v/>
      </c>
      <c r="AG59" s="57"/>
      <c r="AH59" s="125"/>
      <c r="AI59" s="117" t="str">
        <f>IF(AI58="","",IFS(AT59="A",Montagem!$E$180,AV59="T","Realizar a maior quantidade de repetições por "&amp;AN58&amp;" segundos | ",AV59="I",IF(AU59="U","Manter a posição por "&amp;AN58&amp;" segundos de um lado e trocar para o outro na sequência | ","Manter a posição por "&amp;AN58&amp;" segundos | "),AU59="A","Realizar alternadamente "&amp;AN58&amp;" repetições cada lado | ",AU59="U","Realizar "&amp;AN58&amp;" repetições de um lado e trocar para o outro na sequência | ",AT59="P",OFFSET(Biblioteca!$H$2,MATCH(AU58,Biblioteca!$A$3:$A$200,0),0),TRUE,"")&amp;IF(AV59="R","Ajuste a carga para que tenha "&amp;$K$2&amp;" repetições de reserva",""))</f>
        <v/>
      </c>
      <c r="AM59" s="118" t="str">
        <f>IF(AI58="","",IFS(AT59="H","Carga Sugerida: "&amp;ROUNDUP(AW58/2,0)&amp;" kg de cada lado (Total: "&amp;ROUNDUP(AW58/2,0)*2&amp;" kg)",AT59="C","Este exercício usa o Peso Corporal como carga",AT59="E","Este exercício usa a resistência da banda elástica como carga",AT59="O","Carga Sugerida: "&amp;INT(AW58)&amp;" kg",TRUE,""))</f>
        <v/>
      </c>
      <c r="AR59" s="66"/>
      <c r="AS59" s="126">
        <f>AS58</f>
        <v>1</v>
      </c>
      <c r="AT59" s="120" t="str">
        <f>LEFT(AW59)</f>
        <v/>
      </c>
      <c r="AU59" s="121" t="str">
        <f>MID(AW59,2,1)</f>
        <v/>
      </c>
      <c r="AV59" s="122" t="str">
        <f>RIGHT(AW59)</f>
        <v/>
      </c>
      <c r="AW59" s="123" t="str">
        <f>IF(AU58="","",OFFSET(Biblioteca!$I$2,MATCH(AU58,Biblioteca!$A$3:$A$200,0),0))</f>
        <v/>
      </c>
      <c r="AX59" s="57"/>
      <c r="AY59" s="125"/>
      <c r="AZ59" s="117" t="str">
        <f>IF(AZ58="","",IFS(BK59="A",Montagem!$F$180,BM59="T","Realizar a maior quantidade de repetições por "&amp;BE58&amp;" segundos | ",BM59="I",IF(BL59="U","Manter a posição por "&amp;BE58&amp;" segundos de um lado e trocar para o outro na sequência | ","Manter a posição por "&amp;BE58&amp;" segundos | "),BL59="A","Realizar alternadamente "&amp;BE58&amp;" repetições cada lado | ",BL59="U","Realizar "&amp;BE58&amp;" repetições de um lado e trocar para o outro na sequência | ",BK59="P",OFFSET(Biblioteca!$H$2,MATCH(BL58,Biblioteca!$A$3:$A$200,0),0),TRUE,"")&amp;IF(BM59="R","Ajuste a carga para que tenha "&amp;$K$2&amp;" repetições de reserva",""))</f>
        <v/>
      </c>
      <c r="BD59" s="118" t="str">
        <f>IF(AZ58="","",IFS(BK59="H","Carga Sugerida: "&amp;ROUNDUP(BN58/2,0)&amp;" kg de cada lado (Total: "&amp;ROUNDUP(BN58/2,0)*2&amp;" kg)",BK59="C","Este exercício usa o Peso Corporal como carga",BK59="E","Este exercício usa a resistência da banda elástica como carga",BK59="O","Carga Sugerida: "&amp;INT(BN58)&amp;" kg",TRUE,""))</f>
        <v/>
      </c>
      <c r="BI59" s="66"/>
      <c r="BJ59" s="126">
        <f>BJ58</f>
        <v>7</v>
      </c>
      <c r="BK59" s="120" t="str">
        <f>LEFT(BN59)</f>
        <v/>
      </c>
      <c r="BL59" s="121" t="str">
        <f>MID(BN59,2,1)</f>
        <v/>
      </c>
      <c r="BM59" s="122" t="str">
        <f>RIGHT(BN59)</f>
        <v/>
      </c>
      <c r="BN59" s="123" t="str">
        <f>IF(BL58="","",OFFSET(Biblioteca!$I$2,MATCH(BL58,Biblioteca!$A$3:$A$200,0),0))</f>
        <v/>
      </c>
      <c r="BO59" s="57"/>
      <c r="BP59" s="125"/>
      <c r="BQ59" s="117" t="str">
        <f>IF(BQ58="","",IFS(CB59="A",Montagem!$G$180,CD59="T","Realizar a maior quantidade de repetições por "&amp;BV58&amp;" segundos | ",CD59="I",IF(CC59="U","Manter a posição por "&amp;BV58&amp;" segundos de um lado e trocar para o outro na sequência | ","Manter a posição por "&amp;BV58&amp;" segundos | "),CC59="A","Realizar alternadamente "&amp;BV58&amp;" repetições cada lado | ",CC59="U","Realizar "&amp;BV58&amp;" repetições de um lado e trocar para o outro na sequência | ",CB59="P",OFFSET(Biblioteca!$H$2,MATCH(CC58,Biblioteca!$A$3:$A$200,0),0),TRUE,"")&amp;IF(CD59="R","Ajuste a carga para que tenha "&amp;$K$2&amp;" repetições de reserva",""))</f>
        <v/>
      </c>
      <c r="BU59" s="118" t="str">
        <f>IF(BQ58="","",IFS(CB59="H","Carga Sugerida: "&amp;ROUNDUP(CE58/2,0)&amp;" kg de cada lado (Total: "&amp;ROUNDUP(CE58/2,0)*2&amp;" kg)",CB59="C","Este exercício usa o Peso Corporal como carga",CB59="E","Este exercício usa a resistência da banda elástica como carga",CB59="O","Carga Sugerida: "&amp;INT(CE58)&amp;" kg",TRUE,""))</f>
        <v/>
      </c>
      <c r="BZ59" s="66"/>
      <c r="CA59" s="126">
        <f>CA58</f>
        <v>8</v>
      </c>
      <c r="CB59" s="120" t="str">
        <f>LEFT(CE59)</f>
        <v/>
      </c>
      <c r="CC59" s="121" t="str">
        <f>MID(CE59,2,1)</f>
        <v/>
      </c>
      <c r="CD59" s="122" t="str">
        <f>RIGHT(CE59)</f>
        <v/>
      </c>
      <c r="CE59" s="123" t="str">
        <f>IF(CC58="","",OFFSET(Biblioteca!$I$2,MATCH(CC58,Biblioteca!$A$3:$A$200,0),0))</f>
        <v/>
      </c>
      <c r="CF59" s="57"/>
      <c r="CG59" s="125"/>
      <c r="CH59" s="117" t="str">
        <f>IF(CH58="","",IFS(CS59="A",Montagem!$H$180,CU59="T","Realizar a maior quantidade de repetições por "&amp;CM58&amp;" segundos | ",CU59="I",IF(CT59="U","Manter a posição por "&amp;CM58&amp;" segundos de um lado e trocar para o outro na sequência | ","Manter a posição por "&amp;CM58&amp;" segundos | "),CT59="A","Realizar alternadamente "&amp;CM58&amp;" repetições cada lado | ",CT59="U","Realizar "&amp;CM58&amp;" repetições de um lado e trocar para o outro na sequência | ",CS59="P",OFFSET(Biblioteca!$H$2,MATCH(CT58,Biblioteca!$A$3:$A$200,0),0),TRUE,"")&amp;IF(CU59="R","Ajuste a carga para que tenha "&amp;$K$2&amp;" repetições de reserva",""))</f>
        <v/>
      </c>
      <c r="CL59" s="118" t="str">
        <f>IF(CH58="","",IFS(CS59="H","Carga Sugerida: "&amp;ROUNDUP(CV58/2,0)&amp;" kg de cada lado (Total: "&amp;ROUNDUP(CV58/2,0)*2&amp;" kg)",CS59="C","Este exercício usa o Peso Corporal como carga",CS59="E","Este exercício usa a resistência da banda elástica como carga",CS59="O","Carga Sugerida: "&amp;INT(CV58)&amp;" kg",TRUE,""))</f>
        <v/>
      </c>
      <c r="CQ59" s="66"/>
      <c r="CR59" s="126">
        <f>CR58</f>
        <v>1</v>
      </c>
      <c r="CS59" s="120" t="str">
        <f>LEFT(CV59)</f>
        <v/>
      </c>
      <c r="CT59" s="121" t="str">
        <f>MID(CV59,2,1)</f>
        <v/>
      </c>
      <c r="CU59" s="122" t="str">
        <f>RIGHT(CV59)</f>
        <v/>
      </c>
      <c r="CV59" s="123" t="str">
        <f>IF(CT58="","",OFFSET(Biblioteca!$I$2,MATCH(CT58,Biblioteca!$A$3:$A$200,0),0))</f>
        <v/>
      </c>
      <c r="CW59" s="57"/>
      <c r="CX59" s="125"/>
      <c r="CY59" s="117" t="str">
        <f>IF(CY58="","",IFS(DJ59="A",Montagem!$I$180,DL59="T","Realizar a maior quantidade de repetições por "&amp;DD58&amp;" segundos | ",DL59="I",IF(DK59="U","Manter a posição por "&amp;DD58&amp;" segundos de um lado e trocar para o outro na sequência | ","Manter a posição por "&amp;DD58&amp;" segundos | "),DK59="A","Realizar alternadamente "&amp;DD58&amp;" repetições cada lado | ",DK59="U","Realizar "&amp;DD58&amp;" repetições de um lado e trocar para o outro na sequência | ",DJ59="P",OFFSET(Biblioteca!$H$2,MATCH(DK58,Biblioteca!$A$3:$A$200,0),0),TRUE,"")&amp;IF(DL59="R","Ajuste a carga para que tenha "&amp;$K$2&amp;" repetições de reserva",""))</f>
        <v/>
      </c>
      <c r="DC59" s="118" t="str">
        <f>IF(CY58="","",IFS(DJ59="H","Carga Sugerida: "&amp;ROUNDUP(DM58/2,0)&amp;" kg de cada lado (Total: "&amp;ROUNDUP(DM58/2,0)*2&amp;" kg)",DJ59="C","Este exercício usa o Peso Corporal como carga",DJ59="E","Este exercício usa a resistência da banda elástica como carga",DJ59="O","Carga Sugerida: "&amp;INT(DM58)&amp;" kg",TRUE,""))</f>
        <v/>
      </c>
      <c r="DH59" s="66"/>
      <c r="DI59" s="126">
        <f>DI58</f>
        <v>1</v>
      </c>
      <c r="DJ59" s="120" t="str">
        <f>LEFT(DM59)</f>
        <v/>
      </c>
      <c r="DK59" s="121" t="str">
        <f>MID(DM59,2,1)</f>
        <v/>
      </c>
      <c r="DL59" s="122" t="str">
        <f>RIGHT(DM59)</f>
        <v/>
      </c>
      <c r="DM59" s="123" t="str">
        <f>IF(DK58="","",OFFSET(Biblioteca!$I$2,MATCH(DK58,Biblioteca!$A$3:$A$200,0),0))</f>
        <v/>
      </c>
      <c r="DN59" s="57"/>
      <c r="DO59" s="147"/>
      <c r="DP59" s="142"/>
      <c r="DQ59" s="56"/>
      <c r="DR59" s="56"/>
      <c r="DS59" s="56"/>
      <c r="DT59" s="56"/>
      <c r="DU59" s="56"/>
      <c r="DV59" s="56"/>
      <c r="DW59" s="56"/>
      <c r="DX59" s="56"/>
      <c r="DY59" s="56"/>
    </row>
    <row r="60">
      <c r="A60" s="115" t="str">
        <f>IF(M60="","",HYPERLINK(OFFSET(Biblioteca!$B$2,MATCH(M60,Biblioteca!$A$3:$A$200,0),0),M60))</f>
        <v/>
      </c>
      <c r="D60" s="103" t="str">
        <f>Montagem!Q188</f>
        <v/>
      </c>
      <c r="E60" s="104" t="str">
        <f>Montagem!R188</f>
        <v/>
      </c>
      <c r="F60" s="104" t="str">
        <f>Montagem!S188</f>
        <v/>
      </c>
      <c r="G60" s="104" t="str">
        <f>Montagem!T188</f>
        <v/>
      </c>
      <c r="H60" s="104" t="str">
        <f>Montagem!U188</f>
        <v/>
      </c>
      <c r="I60" s="132" t="str">
        <f>Montagem!V188</f>
        <v/>
      </c>
      <c r="J60" s="144"/>
      <c r="K60" s="106">
        <f>Montagem!K188</f>
        <v>11</v>
      </c>
      <c r="L60" s="111" t="str">
        <f>Montagem!W188</f>
        <v/>
      </c>
      <c r="M60" s="111" t="str">
        <f>Montagem!L188</f>
        <v/>
      </c>
      <c r="N60" s="111" t="str">
        <f>Montagem!X188</f>
        <v/>
      </c>
      <c r="O60" s="106" t="str">
        <f>IF(N60="",L60,N60)</f>
        <v/>
      </c>
      <c r="P60" s="106" t="str">
        <f>IF(L61="C",'Dados de Base'!$D$5*0.1,IF(L61="E",5,IF(J60="",O60,J60)))</f>
        <v/>
      </c>
      <c r="Q60" s="108"/>
      <c r="R60" s="115" t="str">
        <f>IF(AD60="","",HYPERLINK(OFFSET(Biblioteca!$B$2,MATCH(AD60,Biblioteca!$A$3:$A$200,0),0),AD60))</f>
        <v/>
      </c>
      <c r="U60" s="109" t="str">
        <f>Montagem!AF188</f>
        <v/>
      </c>
      <c r="V60" s="110" t="str">
        <f>Montagem!AG188</f>
        <v/>
      </c>
      <c r="W60" s="110" t="str">
        <f>Montagem!AH188</f>
        <v/>
      </c>
      <c r="X60" s="110" t="str">
        <f>Montagem!AI188</f>
        <v/>
      </c>
      <c r="Y60" s="110" t="str">
        <f>Montagem!AJ188</f>
        <v/>
      </c>
      <c r="Z60" s="110" t="str">
        <f>Montagem!AK188</f>
        <v/>
      </c>
      <c r="AA60" s="113"/>
      <c r="AB60" s="111">
        <f>Montagem!Z188</f>
        <v>11</v>
      </c>
      <c r="AC60" s="111" t="str">
        <f>Montagem!AL188</f>
        <v/>
      </c>
      <c r="AD60" s="129" t="str">
        <f>Montagem!AA188</f>
        <v/>
      </c>
      <c r="AE60" s="111" t="str">
        <f>Montagem!AM188</f>
        <v/>
      </c>
      <c r="AF60" s="106" t="str">
        <f>IF(AE60="",AC60,AE60)</f>
        <v/>
      </c>
      <c r="AG60" s="106" t="str">
        <f>IF(AC61="C",'Dados de Base'!$D$5*0.1,IF(AC61="E",5,IF(AA60="",AF60,AA60)))</f>
        <v/>
      </c>
      <c r="AH60" s="108"/>
      <c r="AI60" s="115" t="str">
        <f>IF(AU60="","",HYPERLINK(OFFSET(Biblioteca!$B$2,MATCH(AU60,Biblioteca!$A$3:$A$200,0),0),AU60))</f>
        <v/>
      </c>
      <c r="AL60" s="109" t="str">
        <f>Montagem!AU188</f>
        <v/>
      </c>
      <c r="AM60" s="110" t="str">
        <f>Montagem!AV188</f>
        <v/>
      </c>
      <c r="AN60" s="110" t="str">
        <f>Montagem!AW188</f>
        <v/>
      </c>
      <c r="AO60" s="110" t="str">
        <f>Montagem!AX188</f>
        <v/>
      </c>
      <c r="AP60" s="110" t="str">
        <f>Montagem!AY188</f>
        <v/>
      </c>
      <c r="AQ60" s="110" t="str">
        <f>Montagem!AZ188</f>
        <v/>
      </c>
      <c r="AR60" s="114"/>
      <c r="AS60" s="111">
        <f>Montagem!AO188</f>
        <v>1</v>
      </c>
      <c r="AT60" s="111" t="str">
        <f>Montagem!BA188</f>
        <v/>
      </c>
      <c r="AU60" s="111" t="str">
        <f>Montagem!AP188</f>
        <v/>
      </c>
      <c r="AV60" s="111" t="str">
        <f>Montagem!BB188</f>
        <v/>
      </c>
      <c r="AW60" s="106" t="str">
        <f>IF(AV60="",AT60,AV60)</f>
        <v/>
      </c>
      <c r="AX60" s="106" t="str">
        <f>IF(AT61="C",'Dados de Base'!$D$5*0.1,IF(AT61="E",5,IF(AR60="",AW60,AR60)))</f>
        <v/>
      </c>
      <c r="AY60" s="108"/>
      <c r="AZ60" s="115" t="str">
        <f>IF(BL60="","",HYPERLINK(OFFSET(Biblioteca!$B$2,MATCH(BL60,Biblioteca!$A$3:$A$200,0),0),BL60))</f>
        <v/>
      </c>
      <c r="BC60" s="109" t="str">
        <f>Montagem!BJ188</f>
        <v/>
      </c>
      <c r="BD60" s="110" t="str">
        <f>Montagem!BK188</f>
        <v/>
      </c>
      <c r="BE60" s="110" t="str">
        <f>Montagem!BL188</f>
        <v/>
      </c>
      <c r="BF60" s="110" t="str">
        <f>Montagem!BM188</f>
        <v/>
      </c>
      <c r="BG60" s="110" t="str">
        <f>Montagem!BN188</f>
        <v/>
      </c>
      <c r="BH60" s="110" t="str">
        <f>Montagem!BO188</f>
        <v/>
      </c>
      <c r="BI60" s="114"/>
      <c r="BJ60" s="111">
        <f>Montagem!BD188</f>
        <v>7</v>
      </c>
      <c r="BK60" s="111" t="str">
        <f>Montagem!BP188</f>
        <v/>
      </c>
      <c r="BL60" s="111" t="str">
        <f>Montagem!BE188</f>
        <v/>
      </c>
      <c r="BM60" s="111" t="str">
        <f>Montagem!BQ188</f>
        <v/>
      </c>
      <c r="BN60" s="106" t="str">
        <f>IF(BM60="",BK60,BM60)</f>
        <v/>
      </c>
      <c r="BO60" s="106" t="str">
        <f>IF(BK61="C",'Dados de Base'!$D$5*0.1,IF(BK61="E",5,IF(BI60="",BN60,BI60)))</f>
        <v/>
      </c>
      <c r="BP60" s="108"/>
      <c r="BQ60" s="115" t="str">
        <f>IF(CC60="","",HYPERLINK(OFFSET(Biblioteca!$B$2,MATCH(CC60,Biblioteca!$A$3:$A$200,0),0),CC60))</f>
        <v/>
      </c>
      <c r="BT60" s="109" t="str">
        <f>Montagem!BY188</f>
        <v/>
      </c>
      <c r="BU60" s="110" t="str">
        <f>Montagem!BZ188</f>
        <v/>
      </c>
      <c r="BV60" s="110" t="str">
        <f>Montagem!CA188</f>
        <v/>
      </c>
      <c r="BW60" s="110" t="str">
        <f>Montagem!CB188</f>
        <v/>
      </c>
      <c r="BX60" s="110" t="str">
        <f>Montagem!CC188</f>
        <v/>
      </c>
      <c r="BY60" s="110" t="str">
        <f>Montagem!CD188</f>
        <v/>
      </c>
      <c r="BZ60" s="114"/>
      <c r="CA60" s="111">
        <f>Montagem!BS188</f>
        <v>8</v>
      </c>
      <c r="CB60" s="111" t="str">
        <f>Montagem!CE188</f>
        <v/>
      </c>
      <c r="CC60" s="111" t="str">
        <f>Montagem!BT188</f>
        <v/>
      </c>
      <c r="CD60" s="111" t="str">
        <f>Montagem!CF188</f>
        <v/>
      </c>
      <c r="CE60" s="106" t="str">
        <f>IF(CD60="",CB60,CD60)</f>
        <v/>
      </c>
      <c r="CF60" s="106" t="str">
        <f>IF(CB61="C",'Dados de Base'!$D$5*0.1,IF(CB61="E",5,IF(BZ60="",CE60,BZ60)))</f>
        <v/>
      </c>
      <c r="CG60" s="108"/>
      <c r="CH60" s="115" t="str">
        <f>IF(CT60="","",HYPERLINK(OFFSET(Biblioteca!$B$2,MATCH(CT60,Biblioteca!$A$3:$A$200,0),0),CT60))</f>
        <v/>
      </c>
      <c r="CK60" s="109" t="str">
        <f>Montagem!CN188</f>
        <v/>
      </c>
      <c r="CL60" s="110" t="str">
        <f>Montagem!CO188</f>
        <v/>
      </c>
      <c r="CM60" s="110" t="str">
        <f>Montagem!CP188</f>
        <v/>
      </c>
      <c r="CN60" s="110" t="str">
        <f>Montagem!CQ188</f>
        <v/>
      </c>
      <c r="CO60" s="110" t="str">
        <f>Montagem!CR188</f>
        <v/>
      </c>
      <c r="CP60" s="110" t="str">
        <f>Montagem!CS188</f>
        <v/>
      </c>
      <c r="CQ60" s="114"/>
      <c r="CR60" s="111">
        <f>Montagem!CH188</f>
        <v>1</v>
      </c>
      <c r="CS60" s="111" t="str">
        <f>Montagem!CT188</f>
        <v/>
      </c>
      <c r="CT60" s="111" t="str">
        <f>Montagem!CI188</f>
        <v/>
      </c>
      <c r="CU60" s="145" t="str">
        <f>Montagem!CU188</f>
        <v/>
      </c>
      <c r="CV60" s="106" t="str">
        <f>IF(CU60="",CS60,CU60)</f>
        <v/>
      </c>
      <c r="CW60" s="106" t="str">
        <f>IF(CS61="C",'Dados de Base'!$D$5*0.1,IF(CS61="E",5,IF(CQ60="",CV60,CQ60)))</f>
        <v/>
      </c>
      <c r="CX60" s="108"/>
      <c r="CY60" s="115" t="str">
        <f>IF(DK60="","",HYPERLINK(OFFSET(Biblioteca!$B$2,MATCH(DK60,Biblioteca!$A$3:$A$200,0),0),DK60))</f>
        <v/>
      </c>
      <c r="DB60" s="130" t="str">
        <f>Montagem!DC188</f>
        <v/>
      </c>
      <c r="DC60" s="131" t="str">
        <f>Montagem!DD188</f>
        <v/>
      </c>
      <c r="DD60" s="131" t="str">
        <f>Montagem!DE188</f>
        <v/>
      </c>
      <c r="DE60" s="131" t="str">
        <f>Montagem!DF188</f>
        <v/>
      </c>
      <c r="DF60" s="131" t="str">
        <f>Montagem!DG188</f>
        <v/>
      </c>
      <c r="DG60" s="131" t="str">
        <f>Montagem!DH188</f>
        <v/>
      </c>
      <c r="DH60" s="114"/>
      <c r="DI60" s="111">
        <f>Montagem!CW188</f>
        <v>1</v>
      </c>
      <c r="DJ60" s="111" t="str">
        <f>Montagem!DI188</f>
        <v/>
      </c>
      <c r="DK60" s="111" t="str">
        <f>Montagem!CX188</f>
        <v/>
      </c>
      <c r="DL60" s="145" t="str">
        <f>Montagem!DJ188</f>
        <v/>
      </c>
      <c r="DM60" s="106" t="str">
        <f>IF(DL60="",DJ60,DL60)</f>
        <v/>
      </c>
      <c r="DN60" s="106" t="str">
        <f>IF(DJ61="C",'Dados de Base'!$D$5*0.1,IF(DJ61="E",5,IF(DH60="",DM60,DH60)))</f>
        <v/>
      </c>
      <c r="DO60" s="146"/>
      <c r="DP60" s="106"/>
      <c r="DQ60" s="106"/>
      <c r="DR60" s="106"/>
      <c r="DS60" s="106"/>
      <c r="DT60" s="106"/>
      <c r="DU60" s="106"/>
      <c r="DV60" s="106"/>
      <c r="DW60" s="106"/>
      <c r="DX60" s="106"/>
      <c r="DY60" s="106"/>
    </row>
    <row r="61">
      <c r="A61" s="117" t="str">
        <f>IF(A60="","",IFS(L61="A",Montagem!$C$180,N61="T","Realizar a maior quantidade de repetições por "&amp;F60&amp;" segundos | ",N61="I",IF(M61="U","Manter a posição por "&amp;F60&amp;" segundos de um lado e trocar para o outro na sequência | ","Manter a posição por "&amp;F60&amp;" segundos | "),M61="A","Realizar alternadamente "&amp;F60&amp;" repetições cada lado | ",M61="U","Realizar "&amp;F60&amp;" repetições de um lado e trocar para o outro na sequência | ",L61="P",OFFSET(Biblioteca!$H$2,MATCH(M60,Biblioteca!$A$3:$A$200,0),0),TRUE,"")&amp;IF(N61="R","Ajuste a carga para que tenha "&amp;$K$2&amp;" repetições de reserva",""))</f>
        <v/>
      </c>
      <c r="E61" s="118" t="str">
        <f>IF(A60="","",IFS(L61="H","Carga Sugerida: "&amp;ROUNDUP(O60/2,0)&amp;" kg de cada lado (Total: "&amp;ROUNDUP(O60/2,0)*2&amp;" kg)",L61="C","Este exercício usa o Peso Corporal como carga",L61="E","Este exercício usa a resistência da banda elástica como carga",L61="O","Carga Sugerida: "&amp;INT(O60)&amp;" kg",TRUE,""))</f>
        <v/>
      </c>
      <c r="J61" s="66"/>
      <c r="K61" s="106">
        <f>K60</f>
        <v>11</v>
      </c>
      <c r="L61" s="120" t="str">
        <f>LEFT(O61)</f>
        <v/>
      </c>
      <c r="M61" s="121" t="str">
        <f>MID(O61,2,1)</f>
        <v/>
      </c>
      <c r="N61" s="122" t="str">
        <f>RIGHT(O61)</f>
        <v/>
      </c>
      <c r="O61" s="123" t="str">
        <f>IF(M60="","",OFFSET(Biblioteca!$I$2,MATCH(M60,Biblioteca!$A$3:$A$200,0),0))</f>
        <v/>
      </c>
      <c r="P61" s="57"/>
      <c r="Q61" s="125"/>
      <c r="R61" s="117" t="str">
        <f>IF(R60="","",IFS(AC61="A",Montagem!$D$180,AE61="T","Realizar a maior quantidade de repetições por "&amp;W60&amp;" segundos | ",AE61="I",IF(AD61="U","Manter a posição por "&amp;W60&amp;" segundos de um lado e trocar para o outro na sequência | ","Manter a posição por "&amp;W60&amp;" segundos | "),AD61="A","Realizar alternadamente "&amp;W60&amp;" repetições cada lado | ",AD61="U","Realizar "&amp;W60&amp;" repetições de um lado e trocar para o outro na sequência | ",AC61="P",OFFSET(Biblioteca!$H$2,MATCH(AD60,Biblioteca!$A$3:$A$200,0),0),TRUE,"")&amp;IF(AE61="R","Ajuste a carga para que tenha "&amp;$K$2&amp;" repetições de reserva",""))</f>
        <v/>
      </c>
      <c r="V61" s="118" t="str">
        <f>IF(R60="","",IFS(AC61="H","Carga Sugerida: "&amp;ROUNDUP(AF60/2,0)&amp;" kg de cada lado (Total: "&amp;ROUNDUP(AF60/2,0)*2&amp;" kg)",AC61="C","Este exercício usa o Peso Corporal como carga",AC61="E","Este exercício usa a resistência da banda elástica como carga",AC61="O","Carga Sugerida: "&amp;INT(AF60)&amp;" kg",TRUE,""))</f>
        <v/>
      </c>
      <c r="AA61" s="66"/>
      <c r="AB61" s="126">
        <f>AB60</f>
        <v>11</v>
      </c>
      <c r="AC61" s="120" t="str">
        <f>LEFT(AF61)</f>
        <v/>
      </c>
      <c r="AD61" s="121" t="str">
        <f>MID(AF61,2,1)</f>
        <v/>
      </c>
      <c r="AE61" s="122" t="str">
        <f>RIGHT(AF61)</f>
        <v/>
      </c>
      <c r="AF61" s="123" t="str">
        <f>IF(AD60="","",OFFSET(Biblioteca!$I$2,MATCH(AD60,Biblioteca!$A$3:$A$200,0),0))</f>
        <v/>
      </c>
      <c r="AG61" s="57"/>
      <c r="AH61" s="125"/>
      <c r="AI61" s="117" t="str">
        <f>IF(AI60="","",IFS(AT61="A",Montagem!$E$180,AV61="T","Realizar a maior quantidade de repetições por "&amp;AN60&amp;" segundos | ",AV61="I",IF(AU61="U","Manter a posição por "&amp;AN60&amp;" segundos de um lado e trocar para o outro na sequência | ","Manter a posição por "&amp;AN60&amp;" segundos | "),AU61="A","Realizar alternadamente "&amp;AN60&amp;" repetições cada lado | ",AU61="U","Realizar "&amp;AN60&amp;" repetições de um lado e trocar para o outro na sequência | ",AT61="P",OFFSET(Biblioteca!$H$2,MATCH(AU60,Biblioteca!$A$3:$A$200,0),0),TRUE,"")&amp;IF(AV61="R","Ajuste a carga para que tenha "&amp;$K$2&amp;" repetições de reserva",""))</f>
        <v/>
      </c>
      <c r="AM61" s="118" t="str">
        <f>IF(AI60="","",IFS(AT61="H","Carga Sugerida: "&amp;ROUNDUP(AW60/2,0)&amp;" kg de cada lado (Total: "&amp;ROUNDUP(AW60/2,0)*2&amp;" kg)",AT61="C","Este exercício usa o Peso Corporal como carga",AT61="E","Este exercício usa a resistência da banda elástica como carga",AT61="O","Carga Sugerida: "&amp;INT(AW60)&amp;" kg",TRUE,""))</f>
        <v/>
      </c>
      <c r="AR61" s="66"/>
      <c r="AS61" s="126">
        <f>AS60</f>
        <v>1</v>
      </c>
      <c r="AT61" s="120" t="str">
        <f>LEFT(AW61)</f>
        <v/>
      </c>
      <c r="AU61" s="121" t="str">
        <f>MID(AW61,2,1)</f>
        <v/>
      </c>
      <c r="AV61" s="122" t="str">
        <f>RIGHT(AW61)</f>
        <v/>
      </c>
      <c r="AW61" s="123" t="str">
        <f>IF(AU60="","",OFFSET(Biblioteca!$I$2,MATCH(AU60,Biblioteca!$A$3:$A$200,0),0))</f>
        <v/>
      </c>
      <c r="AX61" s="57"/>
      <c r="AY61" s="125"/>
      <c r="AZ61" s="117" t="str">
        <f>IF(AZ60="","",IFS(BK61="A",Montagem!$F$180,BM61="T","Realizar a maior quantidade de repetições por "&amp;BE60&amp;" segundos | ",BM61="I",IF(BL61="U","Manter a posição por "&amp;BE60&amp;" segundos de um lado e trocar para o outro na sequência | ","Manter a posição por "&amp;BE60&amp;" segundos | "),BL61="A","Realizar alternadamente "&amp;BE60&amp;" repetições cada lado | ",BL61="U","Realizar "&amp;BE60&amp;" repetições de um lado e trocar para o outro na sequência | ",BK61="P",OFFSET(Biblioteca!$H$2,MATCH(BL60,Biblioteca!$A$3:$A$200,0),0),TRUE,"")&amp;IF(BM61="R","Ajuste a carga para que tenha "&amp;$K$2&amp;" repetições de reserva",""))</f>
        <v/>
      </c>
      <c r="BD61" s="118" t="str">
        <f>IF(AZ60="","",IFS(BK61="H","Carga Sugerida: "&amp;ROUNDUP(BN60/2,0)&amp;" kg de cada lado (Total: "&amp;ROUNDUP(BN60/2,0)*2&amp;" kg)",BK61="C","Este exercício usa o Peso Corporal como carga",BK61="E","Este exercício usa a resistência da banda elástica como carga",BK61="O","Carga Sugerida: "&amp;INT(BN60)&amp;" kg",TRUE,""))</f>
        <v/>
      </c>
      <c r="BI61" s="66"/>
      <c r="BJ61" s="126">
        <f>BJ60</f>
        <v>7</v>
      </c>
      <c r="BK61" s="120" t="str">
        <f>LEFT(BN61)</f>
        <v/>
      </c>
      <c r="BL61" s="121" t="str">
        <f>MID(BN61,2,1)</f>
        <v/>
      </c>
      <c r="BM61" s="122" t="str">
        <f>RIGHT(BN61)</f>
        <v/>
      </c>
      <c r="BN61" s="123" t="str">
        <f>IF(BL60="","",OFFSET(Biblioteca!$I$2,MATCH(BL60,Biblioteca!$A$3:$A$200,0),0))</f>
        <v/>
      </c>
      <c r="BO61" s="57"/>
      <c r="BP61" s="125"/>
      <c r="BQ61" s="117" t="str">
        <f>IF(BQ60="","",IFS(CB61="A",Montagem!$G$180,CD61="T","Realizar a maior quantidade de repetições por "&amp;BV60&amp;" segundos | ",CD61="I",IF(CC61="U","Manter a posição por "&amp;BV60&amp;" segundos de um lado e trocar para o outro na sequência | ","Manter a posição por "&amp;BV60&amp;" segundos | "),CC61="A","Realizar alternadamente "&amp;BV60&amp;" repetições cada lado | ",CC61="U","Realizar "&amp;BV60&amp;" repetições de um lado e trocar para o outro na sequência | ",CB61="P",OFFSET(Biblioteca!$H$2,MATCH(CC60,Biblioteca!$A$3:$A$200,0),0),TRUE,"")&amp;IF(CD61="R","Ajuste a carga para que tenha "&amp;$K$2&amp;" repetições de reserva",""))</f>
        <v/>
      </c>
      <c r="BU61" s="118" t="str">
        <f>IF(BQ60="","",IFS(CB61="H","Carga Sugerida: "&amp;ROUNDUP(CE60/2,0)&amp;" kg de cada lado (Total: "&amp;ROUNDUP(CE60/2,0)*2&amp;" kg)",CB61="C","Este exercício usa o Peso Corporal como carga",CB61="E","Este exercício usa a resistência da banda elástica como carga",CB61="O","Carga Sugerida: "&amp;INT(CE60)&amp;" kg",TRUE,""))</f>
        <v/>
      </c>
      <c r="BZ61" s="66"/>
      <c r="CA61" s="126">
        <f>CA60</f>
        <v>8</v>
      </c>
      <c r="CB61" s="120" t="str">
        <f>LEFT(CE61)</f>
        <v/>
      </c>
      <c r="CC61" s="121" t="str">
        <f>MID(CE61,2,1)</f>
        <v/>
      </c>
      <c r="CD61" s="122" t="str">
        <f>RIGHT(CE61)</f>
        <v/>
      </c>
      <c r="CE61" s="123" t="str">
        <f>IF(CC60="","",OFFSET(Biblioteca!$I$2,MATCH(CC60,Biblioteca!$A$3:$A$200,0),0))</f>
        <v/>
      </c>
      <c r="CF61" s="57"/>
      <c r="CG61" s="125"/>
      <c r="CH61" s="117" t="str">
        <f>IF(CH60="","",IFS(CS61="A",Montagem!$H$180,CU61="T","Realizar a maior quantidade de repetições por "&amp;CM60&amp;" segundos | ",CU61="I",IF(CT61="U","Manter a posição por "&amp;CM60&amp;" segundos de um lado e trocar para o outro na sequência | ","Manter a posição por "&amp;CM60&amp;" segundos | "),CT61="A","Realizar alternadamente "&amp;CM60&amp;" repetições cada lado | ",CT61="U","Realizar "&amp;CM60&amp;" repetições de um lado e trocar para o outro na sequência | ",CS61="P",OFFSET(Biblioteca!$H$2,MATCH(CT60,Biblioteca!$A$3:$A$200,0),0),TRUE,"")&amp;IF(CU61="R","Ajuste a carga para que tenha "&amp;$K$2&amp;" repetições de reserva",""))</f>
        <v/>
      </c>
      <c r="CL61" s="118" t="str">
        <f>IF(CH60="","",IFS(CS61="H","Carga Sugerida: "&amp;ROUNDUP(CV60/2,0)&amp;" kg de cada lado (Total: "&amp;ROUNDUP(CV60/2,0)*2&amp;" kg)",CS61="C","Este exercício usa o Peso Corporal como carga",CS61="E","Este exercício usa a resistência da banda elástica como carga",CS61="O","Carga Sugerida: "&amp;INT(CV60)&amp;" kg",TRUE,""))</f>
        <v/>
      </c>
      <c r="CQ61" s="66"/>
      <c r="CR61" s="126">
        <f>CR60</f>
        <v>1</v>
      </c>
      <c r="CS61" s="120" t="str">
        <f>LEFT(CV61)</f>
        <v/>
      </c>
      <c r="CT61" s="121" t="str">
        <f>MID(CV61,2,1)</f>
        <v/>
      </c>
      <c r="CU61" s="122" t="str">
        <f>RIGHT(CV61)</f>
        <v/>
      </c>
      <c r="CV61" s="123" t="str">
        <f>IF(CT60="","",OFFSET(Biblioteca!$I$2,MATCH(CT60,Biblioteca!$A$3:$A$200,0),0))</f>
        <v/>
      </c>
      <c r="CW61" s="57"/>
      <c r="CX61" s="125"/>
      <c r="CY61" s="117" t="str">
        <f>IF(CY60="","",IFS(DJ61="A",Montagem!$I$180,DL61="T","Realizar a maior quantidade de repetições por "&amp;DD60&amp;" segundos | ",DL61="I",IF(DK61="U","Manter a posição por "&amp;DD60&amp;" segundos de um lado e trocar para o outro na sequência | ","Manter a posição por "&amp;DD60&amp;" segundos | "),DK61="A","Realizar alternadamente "&amp;DD60&amp;" repetições cada lado | ",DK61="U","Realizar "&amp;DD60&amp;" repetições de um lado e trocar para o outro na sequência | ",DJ61="P",OFFSET(Biblioteca!$H$2,MATCH(DK60,Biblioteca!$A$3:$A$200,0),0),TRUE,"")&amp;IF(DL61="R","Ajuste a carga para que tenha "&amp;$K$2&amp;" repetições de reserva",""))</f>
        <v/>
      </c>
      <c r="DC61" s="118" t="str">
        <f>IF(CY60="","",IFS(DJ61="H","Carga Sugerida: "&amp;ROUNDUP(DM60/2,0)&amp;" kg de cada lado (Total: "&amp;ROUNDUP(DM60/2,0)*2&amp;" kg)",DJ61="C","Este exercício usa o Peso Corporal como carga",DJ61="E","Este exercício usa a resistência da banda elástica como carga",DJ61="O","Carga Sugerida: "&amp;INT(DM60)&amp;" kg",TRUE,""))</f>
        <v/>
      </c>
      <c r="DH61" s="66"/>
      <c r="DI61" s="126">
        <f>DI60</f>
        <v>1</v>
      </c>
      <c r="DJ61" s="120" t="str">
        <f>LEFT(DM61)</f>
        <v/>
      </c>
      <c r="DK61" s="121" t="str">
        <f>MID(DM61,2,1)</f>
        <v/>
      </c>
      <c r="DL61" s="122" t="str">
        <f>RIGHT(DM61)</f>
        <v/>
      </c>
      <c r="DM61" s="123" t="str">
        <f>IF(DK60="","",OFFSET(Biblioteca!$I$2,MATCH(DK60,Biblioteca!$A$3:$A$200,0),0))</f>
        <v/>
      </c>
      <c r="DN61" s="57"/>
      <c r="DO61" s="125"/>
      <c r="DP61" s="142"/>
      <c r="DQ61" s="56"/>
      <c r="DR61" s="56"/>
      <c r="DS61" s="56"/>
      <c r="DT61" s="56"/>
      <c r="DU61" s="56"/>
      <c r="DV61" s="56"/>
      <c r="DW61" s="56"/>
      <c r="DX61" s="56"/>
      <c r="DY61" s="56"/>
    </row>
    <row r="62">
      <c r="A62" s="115" t="str">
        <f>IF(M62="","",HYPERLINK(OFFSET(Biblioteca!$B$2,MATCH(M62,Biblioteca!$A$3:$A$200,0),0),M62))</f>
        <v/>
      </c>
      <c r="D62" s="103" t="str">
        <f>Montagem!Q189</f>
        <v/>
      </c>
      <c r="E62" s="104" t="str">
        <f>Montagem!R189</f>
        <v/>
      </c>
      <c r="F62" s="104" t="str">
        <f>Montagem!S189</f>
        <v/>
      </c>
      <c r="G62" s="104" t="str">
        <f>Montagem!T189</f>
        <v/>
      </c>
      <c r="H62" s="104" t="str">
        <f>Montagem!U189</f>
        <v/>
      </c>
      <c r="I62" s="132" t="str">
        <f>Montagem!V189</f>
        <v/>
      </c>
      <c r="J62" s="144"/>
      <c r="K62" s="106">
        <f>Montagem!K189</f>
        <v>11</v>
      </c>
      <c r="L62" s="111" t="str">
        <f>Montagem!W189</f>
        <v/>
      </c>
      <c r="M62" s="111" t="str">
        <f>Montagem!L189</f>
        <v/>
      </c>
      <c r="N62" s="111" t="str">
        <f>Montagem!X189</f>
        <v/>
      </c>
      <c r="O62" s="106" t="str">
        <f>IF(N62="",L62,N62)</f>
        <v/>
      </c>
      <c r="P62" s="106" t="str">
        <f>IF(L63="C",'Dados de Base'!$D$5*0.1,IF(L63="E",5,IF(J62="",O62,J62)))</f>
        <v/>
      </c>
      <c r="Q62" s="108"/>
      <c r="R62" s="115" t="str">
        <f>IF(AD62="","",HYPERLINK(OFFSET(Biblioteca!$B$2,MATCH(AD62,Biblioteca!$A$3:$A$200,0),0),AD62))</f>
        <v/>
      </c>
      <c r="U62" s="109" t="str">
        <f>Montagem!AF189</f>
        <v/>
      </c>
      <c r="V62" s="110" t="str">
        <f>Montagem!AG189</f>
        <v/>
      </c>
      <c r="W62" s="110" t="str">
        <f>Montagem!AH189</f>
        <v/>
      </c>
      <c r="X62" s="110" t="str">
        <f>Montagem!AI189</f>
        <v/>
      </c>
      <c r="Y62" s="110" t="str">
        <f>Montagem!AJ189</f>
        <v/>
      </c>
      <c r="Z62" s="110" t="str">
        <f>Montagem!AK189</f>
        <v/>
      </c>
      <c r="AA62" s="114"/>
      <c r="AB62" s="111">
        <f>Montagem!Z189</f>
        <v>11</v>
      </c>
      <c r="AC62" s="111" t="str">
        <f>Montagem!AL189</f>
        <v/>
      </c>
      <c r="AD62" s="129" t="str">
        <f>Montagem!AA189</f>
        <v/>
      </c>
      <c r="AE62" s="111" t="str">
        <f>Montagem!AM189</f>
        <v/>
      </c>
      <c r="AF62" s="106" t="str">
        <f>IF(AE62="",AC62,AE62)</f>
        <v/>
      </c>
      <c r="AG62" s="106" t="str">
        <f>IF(AC63="C",'Dados de Base'!$D$5*0.1,IF(AC63="E",5,IF(AA62="",AF62,AA62)))</f>
        <v/>
      </c>
      <c r="AH62" s="108"/>
      <c r="AI62" s="115" t="str">
        <f>IF(AU62="","",HYPERLINK(OFFSET(Biblioteca!$B$2,MATCH(AU62,Biblioteca!$A$3:$A$200,0),0),AU62))</f>
        <v/>
      </c>
      <c r="AL62" s="109" t="str">
        <f>Montagem!AU189</f>
        <v/>
      </c>
      <c r="AM62" s="110" t="str">
        <f>Montagem!AV189</f>
        <v/>
      </c>
      <c r="AN62" s="110" t="str">
        <f>Montagem!AW189</f>
        <v/>
      </c>
      <c r="AO62" s="110" t="str">
        <f>Montagem!AX189</f>
        <v/>
      </c>
      <c r="AP62" s="110" t="str">
        <f>Montagem!AY189</f>
        <v/>
      </c>
      <c r="AQ62" s="110" t="str">
        <f>Montagem!AZ189</f>
        <v/>
      </c>
      <c r="AR62" s="114"/>
      <c r="AS62" s="111">
        <f>Montagem!AO189</f>
        <v>1</v>
      </c>
      <c r="AT62" s="111" t="str">
        <f>Montagem!BA189</f>
        <v/>
      </c>
      <c r="AU62" s="111" t="str">
        <f>Montagem!AP189</f>
        <v/>
      </c>
      <c r="AV62" s="111" t="str">
        <f>Montagem!BB189</f>
        <v/>
      </c>
      <c r="AW62" s="106" t="str">
        <f>IF(AV62="",AT62,AV62)</f>
        <v/>
      </c>
      <c r="AX62" s="106" t="str">
        <f>IF(AT63="C",'Dados de Base'!$D$5*0.1,IF(AT63="E",5,IF(AR62="",AW62,AR62)))</f>
        <v/>
      </c>
      <c r="AY62" s="108"/>
      <c r="AZ62" s="115" t="str">
        <f>IF(BL62="","",HYPERLINK(OFFSET(Biblioteca!$B$2,MATCH(BL62,Biblioteca!$A$3:$A$200,0),0),BL62))</f>
        <v/>
      </c>
      <c r="BC62" s="109" t="str">
        <f>Montagem!BJ189</f>
        <v/>
      </c>
      <c r="BD62" s="110" t="str">
        <f>Montagem!BK189</f>
        <v/>
      </c>
      <c r="BE62" s="110" t="str">
        <f>Montagem!BL189</f>
        <v/>
      </c>
      <c r="BF62" s="110" t="str">
        <f>Montagem!BM189</f>
        <v/>
      </c>
      <c r="BG62" s="110" t="str">
        <f>Montagem!BN189</f>
        <v/>
      </c>
      <c r="BH62" s="110" t="str">
        <f>Montagem!BO189</f>
        <v/>
      </c>
      <c r="BI62" s="114"/>
      <c r="BJ62" s="111">
        <f>Montagem!BD189</f>
        <v>7</v>
      </c>
      <c r="BK62" s="111" t="str">
        <f>Montagem!BP189</f>
        <v/>
      </c>
      <c r="BL62" s="111" t="str">
        <f>Montagem!BE189</f>
        <v/>
      </c>
      <c r="BM62" s="111" t="str">
        <f>Montagem!BQ189</f>
        <v/>
      </c>
      <c r="BN62" s="106" t="str">
        <f>IF(BM62="",BK62,BM62)</f>
        <v/>
      </c>
      <c r="BO62" s="106" t="str">
        <f>IF(BK63="C",'Dados de Base'!$D$5*0.1,IF(BK63="E",5,IF(BI62="",BN62,BI62)))</f>
        <v/>
      </c>
      <c r="BP62" s="108"/>
      <c r="BQ62" s="115" t="str">
        <f>IF(CC62="","",HYPERLINK(OFFSET(Biblioteca!$B$2,MATCH(CC62,Biblioteca!$A$3:$A$200,0),0),CC62))</f>
        <v/>
      </c>
      <c r="BT62" s="109" t="str">
        <f>Montagem!BY189</f>
        <v/>
      </c>
      <c r="BU62" s="110" t="str">
        <f>Montagem!BZ189</f>
        <v/>
      </c>
      <c r="BV62" s="110" t="str">
        <f>Montagem!CA189</f>
        <v/>
      </c>
      <c r="BW62" s="110" t="str">
        <f>Montagem!CB189</f>
        <v/>
      </c>
      <c r="BX62" s="110" t="str">
        <f>Montagem!CC189</f>
        <v/>
      </c>
      <c r="BY62" s="110" t="str">
        <f>Montagem!CD189</f>
        <v/>
      </c>
      <c r="BZ62" s="114"/>
      <c r="CA62" s="111">
        <f>Montagem!BS189</f>
        <v>8</v>
      </c>
      <c r="CB62" s="111" t="str">
        <f>Montagem!CE189</f>
        <v/>
      </c>
      <c r="CC62" s="111" t="str">
        <f>Montagem!BT189</f>
        <v/>
      </c>
      <c r="CD62" s="111" t="str">
        <f>Montagem!CF189</f>
        <v/>
      </c>
      <c r="CE62" s="106" t="str">
        <f>IF(CD62="",CB62,CD62)</f>
        <v/>
      </c>
      <c r="CF62" s="106" t="str">
        <f>IF(CB63="C",'Dados de Base'!$D$5*0.1,IF(CB63="E",5,IF(BZ62="",CE62,BZ62)))</f>
        <v/>
      </c>
      <c r="CG62" s="108"/>
      <c r="CH62" s="115" t="str">
        <f>IF(CT62="","",HYPERLINK(OFFSET(Biblioteca!$B$2,MATCH(CT62,Biblioteca!$A$3:$A$200,0),0),CT62))</f>
        <v/>
      </c>
      <c r="CK62" s="109" t="str">
        <f>Montagem!CN189</f>
        <v/>
      </c>
      <c r="CL62" s="110" t="str">
        <f>Montagem!CO189</f>
        <v/>
      </c>
      <c r="CM62" s="110" t="str">
        <f>Montagem!CP189</f>
        <v/>
      </c>
      <c r="CN62" s="110" t="str">
        <f>Montagem!CQ189</f>
        <v/>
      </c>
      <c r="CO62" s="110" t="str">
        <f>Montagem!CR189</f>
        <v/>
      </c>
      <c r="CP62" s="110" t="str">
        <f>Montagem!CS189</f>
        <v/>
      </c>
      <c r="CQ62" s="114"/>
      <c r="CR62" s="111">
        <f>Montagem!CH189</f>
        <v>1</v>
      </c>
      <c r="CS62" s="111" t="str">
        <f>Montagem!CT189</f>
        <v/>
      </c>
      <c r="CT62" s="111" t="str">
        <f>Montagem!CI189</f>
        <v/>
      </c>
      <c r="CU62" s="145" t="str">
        <f>Montagem!CU189</f>
        <v/>
      </c>
      <c r="CV62" s="106" t="str">
        <f>IF(CU62="",CS62,CU62)</f>
        <v/>
      </c>
      <c r="CW62" s="106" t="str">
        <f>IF(CS63="C",'Dados de Base'!$D$5*0.1,IF(CS63="E",5,IF(CQ62="",CV62,CQ62)))</f>
        <v/>
      </c>
      <c r="CX62" s="108"/>
      <c r="CY62" s="115" t="str">
        <f>IF(DK62="","",HYPERLINK(OFFSET(Biblioteca!$B$2,MATCH(DK62,Biblioteca!$A$3:$A$200,0),0),DK62))</f>
        <v/>
      </c>
      <c r="DB62" s="130" t="str">
        <f>Montagem!DC189</f>
        <v/>
      </c>
      <c r="DC62" s="131" t="str">
        <f>Montagem!DD189</f>
        <v/>
      </c>
      <c r="DD62" s="131" t="str">
        <f>Montagem!DE189</f>
        <v/>
      </c>
      <c r="DE62" s="131" t="str">
        <f>Montagem!DF189</f>
        <v/>
      </c>
      <c r="DF62" s="131" t="str">
        <f>Montagem!DG189</f>
        <v/>
      </c>
      <c r="DG62" s="131" t="str">
        <f>Montagem!DH189</f>
        <v/>
      </c>
      <c r="DH62" s="114"/>
      <c r="DI62" s="111">
        <f>Montagem!CW189</f>
        <v>1</v>
      </c>
      <c r="DJ62" s="111" t="str">
        <f>Montagem!DI189</f>
        <v/>
      </c>
      <c r="DK62" s="111" t="str">
        <f>Montagem!CX189</f>
        <v/>
      </c>
      <c r="DL62" s="145" t="str">
        <f>Montagem!DJ189</f>
        <v/>
      </c>
      <c r="DM62" s="106" t="str">
        <f>IF(DL62="",DJ62,DL62)</f>
        <v/>
      </c>
      <c r="DN62" s="106" t="str">
        <f>IF(DJ63="C",'Dados de Base'!$D$5*0.1,IF(DJ63="E",5,IF(DH62="",DM62,DH62)))</f>
        <v/>
      </c>
      <c r="DO62" s="108"/>
      <c r="DP62" s="106"/>
      <c r="DQ62" s="106"/>
      <c r="DR62" s="106"/>
      <c r="DS62" s="106"/>
      <c r="DT62" s="106"/>
      <c r="DU62" s="106"/>
      <c r="DV62" s="106"/>
      <c r="DW62" s="106"/>
      <c r="DX62" s="106"/>
      <c r="DY62" s="106"/>
    </row>
    <row r="63">
      <c r="A63" s="117" t="str">
        <f>IF(A62="","",IFS(L63="A",Montagem!$C$180,N63="T","Realizar a maior quantidade de repetições por "&amp;F62&amp;" segundos | ",N63="I",IF(M63="U","Manter a posição por "&amp;F62&amp;" segundos de um lado e trocar para o outro na sequência | ","Manter a posição por "&amp;F62&amp;" segundos | "),M63="A","Realizar alternadamente "&amp;F62&amp;" repetições cada lado | ",M63="U","Realizar "&amp;F62&amp;" repetições de um lado e trocar para o outro na sequência | ",L63="P",OFFSET(Biblioteca!$H$2,MATCH(M62,Biblioteca!$A$3:$A$200,0),0),TRUE,"")&amp;IF(N63="R","Ajuste a carga para que tenha "&amp;$K$2&amp;" repetições de reserva",""))</f>
        <v/>
      </c>
      <c r="E63" s="118" t="str">
        <f>IF(A62="","",IFS(L63="H","Carga Sugerida: "&amp;ROUNDUP(O62/2,0)&amp;" kg de cada lado (Total: "&amp;ROUNDUP(O62/2,0)*2&amp;" kg)",L63="C","Este exercício usa o Peso Corporal como carga",L63="E","Este exercício usa a resistência da banda elástica como carga",L63="O","Carga Sugerida: "&amp;INT(O62)&amp;" kg",TRUE,""))</f>
        <v/>
      </c>
      <c r="J63" s="66"/>
      <c r="K63" s="106">
        <f>K62</f>
        <v>11</v>
      </c>
      <c r="L63" s="120" t="str">
        <f>LEFT(O63)</f>
        <v/>
      </c>
      <c r="M63" s="121" t="str">
        <f>MID(O63,2,1)</f>
        <v/>
      </c>
      <c r="N63" s="122" t="str">
        <f>RIGHT(O63)</f>
        <v/>
      </c>
      <c r="O63" s="123" t="str">
        <f>IF(M62="","",OFFSET(Biblioteca!$I$2,MATCH(M62,Biblioteca!$A$3:$A$200,0),0))</f>
        <v/>
      </c>
      <c r="P63" s="124"/>
      <c r="Q63" s="125"/>
      <c r="R63" s="117" t="str">
        <f>IF(R62="","",IFS(AC63="A",Montagem!$D$180,AE63="T","Realizar a maior quantidade de repetições por "&amp;W62&amp;" segundos | ",AE63="I",IF(AD63="U","Manter a posição por "&amp;W62&amp;" segundos de um lado e trocar para o outro na sequência | ","Manter a posição por "&amp;W62&amp;" segundos | "),AD63="A","Realizar alternadamente "&amp;W62&amp;" repetições cada lado | ",AD63="U","Realizar "&amp;W62&amp;" repetições de um lado e trocar para o outro na sequência | ",AC63="P",OFFSET(Biblioteca!$H$2,MATCH(AD62,Biblioteca!$A$3:$A$200,0),0),TRUE,"")&amp;IF(AE63="R","Ajuste a carga para que tenha "&amp;$K$2&amp;" repetições de reserva",""))</f>
        <v/>
      </c>
      <c r="V63" s="118" t="str">
        <f>IF(R62="","",IFS(AC63="H","Carga Sugerida: "&amp;ROUNDUP(AF62/2,0)&amp;" kg de cada lado (Total: "&amp;ROUNDUP(AF62/2,0)*2&amp;" kg)",AC63="C","Este exercício usa o Peso Corporal como carga",AC63="E","Este exercício usa a resistência da banda elástica como carga",AC63="O","Carga Sugerida: "&amp;INT(AF62)&amp;" kg",TRUE,""))</f>
        <v/>
      </c>
      <c r="AA63" s="66"/>
      <c r="AB63" s="126">
        <f>AB62</f>
        <v>11</v>
      </c>
      <c r="AC63" s="120" t="str">
        <f>LEFT(AF63)</f>
        <v/>
      </c>
      <c r="AD63" s="121" t="str">
        <f>MID(AF63,2,1)</f>
        <v/>
      </c>
      <c r="AE63" s="122" t="str">
        <f>RIGHT(AF63)</f>
        <v/>
      </c>
      <c r="AF63" s="123" t="str">
        <f>IF(AD62="","",OFFSET(Biblioteca!$I$2,MATCH(AD62,Biblioteca!$A$3:$A$200,0),0))</f>
        <v/>
      </c>
      <c r="AG63" s="124"/>
      <c r="AH63" s="125"/>
      <c r="AI63" s="117" t="str">
        <f>IF(AI62="","",IFS(AT63="A",Montagem!$E$180,AV63="T","Realizar a maior quantidade de repetições por "&amp;AN62&amp;" segundos | ",AV63="I",IF(AU63="U","Manter a posição por "&amp;AN62&amp;" segundos de um lado e trocar para o outro na sequência | ","Manter a posição por "&amp;AN62&amp;" segundos | "),AU63="A","Realizar alternadamente "&amp;AN62&amp;" repetições cada lado | ",AU63="U","Realizar "&amp;AN62&amp;" repetições de um lado e trocar para o outro na sequência | ",AT63="P",OFFSET(Biblioteca!$H$2,MATCH(AU62,Biblioteca!$A$3:$A$200,0),0),TRUE,"")&amp;IF(AV63="R","Ajuste a carga para que tenha "&amp;$K$2&amp;" repetições de reserva",""))</f>
        <v/>
      </c>
      <c r="AM63" s="118" t="str">
        <f>IF(AI62="","",IFS(AT63="H","Carga Sugerida: "&amp;ROUNDUP(AW62/2,0)&amp;" kg de cada lado (Total: "&amp;ROUNDUP(AW62/2,0)*2&amp;" kg)",AT63="C","Este exercício usa o Peso Corporal como carga",AT63="E","Este exercício usa a resistência da banda elástica como carga",AT63="O","Carga Sugerida: "&amp;INT(AW62)&amp;" kg",TRUE,""))</f>
        <v/>
      </c>
      <c r="AR63" s="66"/>
      <c r="AS63" s="126">
        <f>AS62</f>
        <v>1</v>
      </c>
      <c r="AT63" s="120" t="str">
        <f>LEFT(AW63)</f>
        <v/>
      </c>
      <c r="AU63" s="121" t="str">
        <f>MID(AW63,2,1)</f>
        <v/>
      </c>
      <c r="AV63" s="122" t="str">
        <f>RIGHT(AW63)</f>
        <v/>
      </c>
      <c r="AW63" s="123" t="str">
        <f>IF(AU62="","",OFFSET(Biblioteca!$I$2,MATCH(AU62,Biblioteca!$A$3:$A$200,0),0))</f>
        <v/>
      </c>
      <c r="AX63" s="124"/>
      <c r="AY63" s="125"/>
      <c r="AZ63" s="117" t="str">
        <f>IF(AZ62="","",IFS(BK63="A",Montagem!$F$180,BM63="T","Realizar a maior quantidade de repetições por "&amp;BE62&amp;" segundos | ",BM63="I",IF(BL63="U","Manter a posição por "&amp;BE62&amp;" segundos de um lado e trocar para o outro na sequência | ","Manter a posição por "&amp;BE62&amp;" segundos | "),BL63="A","Realizar alternadamente "&amp;BE62&amp;" repetições cada lado | ",BL63="U","Realizar "&amp;BE62&amp;" repetições de um lado e trocar para o outro na sequência | ",BK63="P",OFFSET(Biblioteca!$H$2,MATCH(BL62,Biblioteca!$A$3:$A$200,0),0),TRUE,"")&amp;IF(BM63="R","Ajuste a carga para que tenha "&amp;$K$2&amp;" repetições de reserva",""))</f>
        <v/>
      </c>
      <c r="BD63" s="118" t="str">
        <f>IF(AZ62="","",IFS(BK63="H","Carga Sugerida: "&amp;ROUNDUP(BN62/2,0)&amp;" kg de cada lado (Total: "&amp;ROUNDUP(BN62/2,0)*2&amp;" kg)",BK63="C","Este exercício usa o Peso Corporal como carga",BK63="E","Este exercício usa a resistência da banda elástica como carga",BK63="O","Carga Sugerida: "&amp;INT(BN62)&amp;" kg",TRUE,""))</f>
        <v/>
      </c>
      <c r="BI63" s="66"/>
      <c r="BJ63" s="126">
        <f>BJ62</f>
        <v>7</v>
      </c>
      <c r="BK63" s="120" t="str">
        <f>LEFT(BN63)</f>
        <v/>
      </c>
      <c r="BL63" s="121" t="str">
        <f>MID(BN63,2,1)</f>
        <v/>
      </c>
      <c r="BM63" s="122" t="str">
        <f>RIGHT(BN63)</f>
        <v/>
      </c>
      <c r="BN63" s="123" t="str">
        <f>IF(BL62="","",OFFSET(Biblioteca!$I$2,MATCH(BL62,Biblioteca!$A$3:$A$200,0),0))</f>
        <v/>
      </c>
      <c r="BO63" s="124"/>
      <c r="BP63" s="125"/>
      <c r="BQ63" s="117" t="str">
        <f>IF(BQ62="","",IFS(CB63="A",Montagem!$G$180,CD63="T","Realizar a maior quantidade de repetições por "&amp;BV62&amp;" segundos | ",CD63="I",IF(CC63="U","Manter a posição por "&amp;BV62&amp;" segundos de um lado e trocar para o outro na sequência | ","Manter a posição por "&amp;BV62&amp;" segundos | "),CC63="A","Realizar alternadamente "&amp;BV62&amp;" repetições cada lado | ",CC63="U","Realizar "&amp;BV62&amp;" repetições de um lado e trocar para o outro na sequência | ",CB63="P",OFFSET(Biblioteca!$H$2,MATCH(CC62,Biblioteca!$A$3:$A$200,0),0),TRUE,"")&amp;IF(CD63="R","Ajuste a carga para que tenha "&amp;$K$2&amp;" repetições de reserva",""))</f>
        <v/>
      </c>
      <c r="BU63" s="118" t="str">
        <f>IF(BQ62="","",IFS(CB63="H","Carga Sugerida: "&amp;ROUNDUP(CE62/2,0)&amp;" kg de cada lado (Total: "&amp;ROUNDUP(CE62/2,0)*2&amp;" kg)",CB63="C","Este exercício usa o Peso Corporal como carga",CB63="E","Este exercício usa a resistência da banda elástica como carga",CB63="O","Carga Sugerida: "&amp;INT(CE62)&amp;" kg",TRUE,""))</f>
        <v/>
      </c>
      <c r="BZ63" s="66"/>
      <c r="CA63" s="126">
        <f>CA62</f>
        <v>8</v>
      </c>
      <c r="CB63" s="120" t="str">
        <f>LEFT(CE63)</f>
        <v/>
      </c>
      <c r="CC63" s="121" t="str">
        <f>MID(CE63,2,1)</f>
        <v/>
      </c>
      <c r="CD63" s="122" t="str">
        <f>RIGHT(CE63)</f>
        <v/>
      </c>
      <c r="CE63" s="123" t="str">
        <f>IF(CC62="","",OFFSET(Biblioteca!$I$2,MATCH(CC62,Biblioteca!$A$3:$A$200,0),0))</f>
        <v/>
      </c>
      <c r="CF63" s="124"/>
      <c r="CG63" s="125"/>
      <c r="CH63" s="117" t="str">
        <f>IF(CH62="","",IFS(CS63="A",Montagem!$H$180,CU63="T","Realizar a maior quantidade de repetições por "&amp;CM62&amp;" segundos | ",CU63="I",IF(CT63="U","Manter a posição por "&amp;CM62&amp;" segundos de um lado e trocar para o outro na sequência | ","Manter a posição por "&amp;CM62&amp;" segundos | "),CT63="A","Realizar alternadamente "&amp;CM62&amp;" repetições cada lado | ",CT63="U","Realizar "&amp;CM62&amp;" repetições de um lado e trocar para o outro na sequência | ",CS63="P",OFFSET(Biblioteca!$H$2,MATCH(CT62,Biblioteca!$A$3:$A$200,0),0),TRUE,"")&amp;IF(CU63="R","Ajuste a carga para que tenha "&amp;$K$2&amp;" repetições de reserva",""))</f>
        <v/>
      </c>
      <c r="CL63" s="118" t="str">
        <f>IF(CH62="","",IFS(CS63="H","Carga Sugerida: "&amp;ROUNDUP(CV62/2,0)&amp;" kg de cada lado (Total: "&amp;ROUNDUP(CV62/2,0)*2&amp;" kg)",CS63="C","Este exercício usa o Peso Corporal como carga",CS63="E","Este exercício usa a resistência da banda elástica como carga",CS63="O","Carga Sugerida: "&amp;INT(CV62)&amp;" kg",TRUE,""))</f>
        <v/>
      </c>
      <c r="CQ63" s="66"/>
      <c r="CR63" s="126">
        <f>CR62</f>
        <v>1</v>
      </c>
      <c r="CS63" s="120" t="str">
        <f>LEFT(CV63)</f>
        <v/>
      </c>
      <c r="CT63" s="121" t="str">
        <f>MID(CV63,2,1)</f>
        <v/>
      </c>
      <c r="CU63" s="122" t="str">
        <f>RIGHT(CV63)</f>
        <v/>
      </c>
      <c r="CV63" s="123" t="str">
        <f>IF(CT62="","",OFFSET(Biblioteca!$I$2,MATCH(CT62,Biblioteca!$A$3:$A$200,0),0))</f>
        <v/>
      </c>
      <c r="CW63" s="124"/>
      <c r="CX63" s="125"/>
      <c r="CY63" s="117" t="str">
        <f>IF(CY62="","",IFS(DJ63="A",Montagem!$I$180,DL63="T","Realizar a maior quantidade de repetições por "&amp;DD62&amp;" segundos | ",DL63="I",IF(DK63="U","Manter a posição por "&amp;DD62&amp;" segundos de um lado e trocar para o outro na sequência | ","Manter a posição por "&amp;DD62&amp;" segundos | "),DK63="A","Realizar alternadamente "&amp;DD62&amp;" repetições cada lado | ",DK63="U","Realizar "&amp;DD62&amp;" repetições de um lado e trocar para o outro na sequência | ",DJ63="P",OFFSET(Biblioteca!$H$2,MATCH(DK62,Biblioteca!$A$3:$A$200,0),0),TRUE,"")&amp;IF(DL63="R","Ajuste a carga para que tenha "&amp;$K$2&amp;" repetições de reserva",""))</f>
        <v/>
      </c>
      <c r="DC63" s="118" t="str">
        <f>IF(CY62="","",IFS(DJ63="H","Carga Sugerida: "&amp;ROUNDUP(DM62/2,0)&amp;" kg de cada lado (Total: "&amp;ROUNDUP(DM62/2,0)*2&amp;" kg)",DJ63="C","Este exercício usa o Peso Corporal como carga",DJ63="E","Este exercício usa a resistência da banda elástica como carga",DJ63="O","Carga Sugerida: "&amp;INT(DM62)&amp;" kg",TRUE,""))</f>
        <v/>
      </c>
      <c r="DH63" s="66"/>
      <c r="DI63" s="126">
        <f>DI62</f>
        <v>1</v>
      </c>
      <c r="DJ63" s="120" t="str">
        <f>LEFT(DM63)</f>
        <v/>
      </c>
      <c r="DK63" s="121" t="str">
        <f>MID(DM63,2,1)</f>
        <v/>
      </c>
      <c r="DL63" s="122" t="str">
        <f>RIGHT(DM63)</f>
        <v/>
      </c>
      <c r="DM63" s="123" t="str">
        <f>IF(DK62="","",OFFSET(Biblioteca!$I$2,MATCH(DK62,Biblioteca!$A$3:$A$200,0),0))</f>
        <v/>
      </c>
      <c r="DN63" s="124"/>
      <c r="DO63" s="125"/>
      <c r="DP63" s="142"/>
      <c r="DQ63" s="56"/>
      <c r="DR63" s="56"/>
      <c r="DS63" s="56"/>
      <c r="DT63" s="56"/>
      <c r="DU63" s="56"/>
      <c r="DV63" s="56"/>
      <c r="DW63" s="56"/>
      <c r="DX63" s="56"/>
      <c r="DY63" s="56"/>
    </row>
    <row r="64">
      <c r="A64" s="115" t="str">
        <f>IF(M64="","",HYPERLINK(OFFSET(Biblioteca!$B$2,MATCH(M64,Biblioteca!$A$3:$A$200,0),0),M64))</f>
        <v/>
      </c>
      <c r="D64" s="103" t="str">
        <f>Montagem!Q190</f>
        <v/>
      </c>
      <c r="E64" s="104" t="str">
        <f>Montagem!R190</f>
        <v/>
      </c>
      <c r="F64" s="104" t="str">
        <f>Montagem!S190</f>
        <v/>
      </c>
      <c r="G64" s="104" t="str">
        <f>Montagem!T190</f>
        <v/>
      </c>
      <c r="H64" s="104" t="str">
        <f>Montagem!U190</f>
        <v/>
      </c>
      <c r="I64" s="132" t="str">
        <f>Montagem!V190</f>
        <v/>
      </c>
      <c r="J64" s="144"/>
      <c r="K64" s="106">
        <f>Montagem!K190</f>
        <v>11</v>
      </c>
      <c r="L64" s="111" t="str">
        <f>Montagem!W190</f>
        <v/>
      </c>
      <c r="M64" s="111" t="str">
        <f>Montagem!L190</f>
        <v/>
      </c>
      <c r="N64" s="111" t="str">
        <f>Montagem!X190</f>
        <v/>
      </c>
      <c r="O64" s="106" t="str">
        <f>IF(N64="",L64,N64)</f>
        <v/>
      </c>
      <c r="P64" s="106" t="str">
        <f>IF(L65="C",'Dados de Base'!$D$5*0.1,IF(L65="E",5,IF(J64="",O64,J64)))</f>
        <v/>
      </c>
      <c r="Q64" s="108"/>
      <c r="R64" s="115" t="str">
        <f>IF(AD64="","",HYPERLINK(OFFSET(Biblioteca!$B$2,MATCH(AD64,Biblioteca!$A$3:$A$200,0),0),AD64))</f>
        <v/>
      </c>
      <c r="U64" s="109" t="str">
        <f>Montagem!AF190</f>
        <v/>
      </c>
      <c r="V64" s="110" t="str">
        <f>Montagem!AG190</f>
        <v/>
      </c>
      <c r="W64" s="110" t="str">
        <f>Montagem!AH190</f>
        <v/>
      </c>
      <c r="X64" s="110" t="str">
        <f>Montagem!AI190</f>
        <v/>
      </c>
      <c r="Y64" s="110" t="str">
        <f>Montagem!AJ190</f>
        <v/>
      </c>
      <c r="Z64" s="110" t="str">
        <f>Montagem!AK190</f>
        <v/>
      </c>
      <c r="AA64" s="114"/>
      <c r="AB64" s="111">
        <f>Montagem!Z190</f>
        <v>11</v>
      </c>
      <c r="AC64" s="111" t="str">
        <f>Montagem!AL190</f>
        <v/>
      </c>
      <c r="AD64" s="129" t="str">
        <f>Montagem!AA190</f>
        <v/>
      </c>
      <c r="AE64" s="111" t="str">
        <f>Montagem!AM190</f>
        <v/>
      </c>
      <c r="AF64" s="106" t="str">
        <f>IF(AE64="",AC64,AE64)</f>
        <v/>
      </c>
      <c r="AG64" s="106" t="str">
        <f>IF(AC65="C",'Dados de Base'!$D$5*0.1,IF(AC65="E",5,IF(AA64="",AF64,AA64)))</f>
        <v/>
      </c>
      <c r="AH64" s="108"/>
      <c r="AI64" s="115" t="str">
        <f>IF(AU64="","",HYPERLINK(OFFSET(Biblioteca!$B$2,MATCH(AU64,Biblioteca!$A$3:$A$200,0),0),AU64))</f>
        <v/>
      </c>
      <c r="AL64" s="109" t="str">
        <f>Montagem!AU190</f>
        <v/>
      </c>
      <c r="AM64" s="110" t="str">
        <f>Montagem!AV190</f>
        <v/>
      </c>
      <c r="AN64" s="110" t="str">
        <f>Montagem!AW190</f>
        <v/>
      </c>
      <c r="AO64" s="110" t="str">
        <f>Montagem!AX190</f>
        <v/>
      </c>
      <c r="AP64" s="110" t="str">
        <f>Montagem!AY190</f>
        <v/>
      </c>
      <c r="AQ64" s="110" t="str">
        <f>Montagem!AZ190</f>
        <v/>
      </c>
      <c r="AR64" s="114"/>
      <c r="AS64" s="111">
        <f>Montagem!AO190</f>
        <v>1</v>
      </c>
      <c r="AT64" s="111" t="str">
        <f>Montagem!BA190</f>
        <v/>
      </c>
      <c r="AU64" s="111" t="str">
        <f>Montagem!AP190</f>
        <v/>
      </c>
      <c r="AV64" s="111" t="str">
        <f>Montagem!BB190</f>
        <v/>
      </c>
      <c r="AW64" s="106" t="str">
        <f>IF(AV64="",AT64,AV64)</f>
        <v/>
      </c>
      <c r="AX64" s="106" t="str">
        <f>IF(AT65="C",'Dados de Base'!$D$5*0.1,IF(AT65="E",5,IF(AR64="",AW64,AR64)))</f>
        <v/>
      </c>
      <c r="AY64" s="108"/>
      <c r="AZ64" s="115" t="str">
        <f>IF(BL64="","",HYPERLINK(OFFSET(Biblioteca!$B$2,MATCH(BL64,Biblioteca!$A$3:$A$200,0),0),BL64))</f>
        <v/>
      </c>
      <c r="BC64" s="109" t="str">
        <f>Montagem!BJ190</f>
        <v/>
      </c>
      <c r="BD64" s="110" t="str">
        <f>Montagem!BK190</f>
        <v/>
      </c>
      <c r="BE64" s="110" t="str">
        <f>Montagem!BL190</f>
        <v/>
      </c>
      <c r="BF64" s="110" t="str">
        <f>Montagem!BM190</f>
        <v/>
      </c>
      <c r="BG64" s="110" t="str">
        <f>Montagem!BN190</f>
        <v/>
      </c>
      <c r="BH64" s="110" t="str">
        <f>Montagem!BO190</f>
        <v/>
      </c>
      <c r="BI64" s="114"/>
      <c r="BJ64" s="111">
        <f>Montagem!BD190</f>
        <v>7</v>
      </c>
      <c r="BK64" s="111" t="str">
        <f>Montagem!BP190</f>
        <v/>
      </c>
      <c r="BL64" s="111" t="str">
        <f>Montagem!BE190</f>
        <v/>
      </c>
      <c r="BM64" s="111" t="str">
        <f>Montagem!BQ190</f>
        <v/>
      </c>
      <c r="BN64" s="106" t="str">
        <f>IF(BM64="",BK64,BM64)</f>
        <v/>
      </c>
      <c r="BO64" s="106" t="str">
        <f>IF(BK65="C",'Dados de Base'!$D$5*0.1,IF(BK65="E",5,IF(BI64="",BN64,BI64)))</f>
        <v/>
      </c>
      <c r="BP64" s="108"/>
      <c r="BQ64" s="115" t="str">
        <f>IF(CC64="","",HYPERLINK(OFFSET(Biblioteca!$B$2,MATCH(CC64,Biblioteca!$A$3:$A$200,0),0),CC64))</f>
        <v/>
      </c>
      <c r="BT64" s="109" t="str">
        <f>Montagem!BY190</f>
        <v/>
      </c>
      <c r="BU64" s="110" t="str">
        <f>Montagem!BZ190</f>
        <v/>
      </c>
      <c r="BV64" s="110" t="str">
        <f>Montagem!CA190</f>
        <v/>
      </c>
      <c r="BW64" s="110" t="str">
        <f>Montagem!CB190</f>
        <v/>
      </c>
      <c r="BX64" s="110" t="str">
        <f>Montagem!CC190</f>
        <v/>
      </c>
      <c r="BY64" s="110" t="str">
        <f>Montagem!CD190</f>
        <v/>
      </c>
      <c r="BZ64" s="114"/>
      <c r="CA64" s="111">
        <f>Montagem!BS190</f>
        <v>8</v>
      </c>
      <c r="CB64" s="111" t="str">
        <f>Montagem!CE190</f>
        <v/>
      </c>
      <c r="CC64" s="111" t="str">
        <f>Montagem!BT190</f>
        <v/>
      </c>
      <c r="CD64" s="111" t="str">
        <f>Montagem!CF190</f>
        <v/>
      </c>
      <c r="CE64" s="106" t="str">
        <f>IF(CD64="",CB64,CD64)</f>
        <v/>
      </c>
      <c r="CF64" s="106" t="str">
        <f>IF(CB65="C",'Dados de Base'!$D$5*0.1,IF(CB65="E",5,IF(BZ64="",CE64,BZ64)))</f>
        <v/>
      </c>
      <c r="CG64" s="108"/>
      <c r="CH64" s="115" t="str">
        <f>IF(CT64="","",HYPERLINK(OFFSET(Biblioteca!$B$2,MATCH(CT64,Biblioteca!$A$3:$A$200,0),0),CT64))</f>
        <v/>
      </c>
      <c r="CK64" s="109" t="str">
        <f>Montagem!CN190</f>
        <v/>
      </c>
      <c r="CL64" s="110" t="str">
        <f>Montagem!CO190</f>
        <v/>
      </c>
      <c r="CM64" s="110" t="str">
        <f>Montagem!CP190</f>
        <v/>
      </c>
      <c r="CN64" s="110" t="str">
        <f>Montagem!CQ190</f>
        <v/>
      </c>
      <c r="CO64" s="110" t="str">
        <f>Montagem!CR190</f>
        <v/>
      </c>
      <c r="CP64" s="110" t="str">
        <f>Montagem!CS190</f>
        <v/>
      </c>
      <c r="CQ64" s="114"/>
      <c r="CR64" s="111">
        <f>Montagem!CH190</f>
        <v>1</v>
      </c>
      <c r="CS64" s="111" t="str">
        <f>Montagem!CT190</f>
        <v/>
      </c>
      <c r="CT64" s="111" t="str">
        <f>Montagem!CI190</f>
        <v/>
      </c>
      <c r="CU64" s="145" t="str">
        <f>Montagem!CU190</f>
        <v/>
      </c>
      <c r="CV64" s="106" t="str">
        <f>IF(CU64="",CS64,CU64)</f>
        <v/>
      </c>
      <c r="CW64" s="106" t="str">
        <f>IF(CS65="C",'Dados de Base'!$D$5*0.1,IF(CS65="E",5,IF(CQ64="",CV64,CQ64)))</f>
        <v/>
      </c>
      <c r="CX64" s="108"/>
      <c r="CY64" s="115" t="str">
        <f>IF(DK64="","",HYPERLINK(OFFSET(Biblioteca!$B$2,MATCH(DK64,Biblioteca!$A$3:$A$200,0),0),DK64))</f>
        <v/>
      </c>
      <c r="DB64" s="130" t="str">
        <f>Montagem!DC190</f>
        <v/>
      </c>
      <c r="DC64" s="131" t="str">
        <f>Montagem!DD190</f>
        <v/>
      </c>
      <c r="DD64" s="131" t="str">
        <f>Montagem!DE190</f>
        <v/>
      </c>
      <c r="DE64" s="131" t="str">
        <f>Montagem!DF190</f>
        <v/>
      </c>
      <c r="DF64" s="131" t="str">
        <f>Montagem!DG190</f>
        <v/>
      </c>
      <c r="DG64" s="131" t="str">
        <f>Montagem!DH190</f>
        <v/>
      </c>
      <c r="DH64" s="114"/>
      <c r="DI64" s="111">
        <f>Montagem!CW190</f>
        <v>1</v>
      </c>
      <c r="DJ64" s="111" t="str">
        <f>Montagem!DI190</f>
        <v/>
      </c>
      <c r="DK64" s="111" t="str">
        <f>Montagem!CX190</f>
        <v/>
      </c>
      <c r="DL64" s="111" t="str">
        <f>Montagem!DJ190</f>
        <v/>
      </c>
      <c r="DM64" s="106" t="str">
        <f>IF(DL64="",DJ64,DL64)</f>
        <v/>
      </c>
      <c r="DN64" s="106" t="str">
        <f>IF(DJ65="C",'Dados de Base'!$D$5*0.1,IF(DJ65="E",5,IF(DH64="",DM64,DH64)))</f>
        <v/>
      </c>
      <c r="DO64" s="108"/>
      <c r="DP64" s="106"/>
      <c r="DQ64" s="106"/>
      <c r="DR64" s="106"/>
      <c r="DS64" s="106"/>
      <c r="DT64" s="106"/>
      <c r="DU64" s="106"/>
      <c r="DV64" s="106"/>
      <c r="DW64" s="106"/>
      <c r="DX64" s="106"/>
      <c r="DY64" s="106"/>
    </row>
    <row r="65">
      <c r="A65" s="117" t="str">
        <f>IF(A64="","",IFS(L65="A",Montagem!$C$180,N65="T","Realizar a maior quantidade de repetições por "&amp;F64&amp;" segundos | ",N65="I",IF(M65="U","Manter a posição por "&amp;F64&amp;" segundos de um lado e trocar para o outro na sequência | ","Manter a posição por "&amp;F64&amp;" segundos | "),M65="A","Realizar alternadamente "&amp;F64&amp;" repetições cada lado | ",M65="U","Realizar "&amp;F64&amp;" repetições de um lado e trocar para o outro na sequência | ",L65="P",OFFSET(Biblioteca!$H$2,MATCH(M64,Biblioteca!$A$3:$A$200,0),0),TRUE,"")&amp;IF(N65="R","Ajuste a carga para que tenha "&amp;$K$2&amp;" repetições de reserva",""))</f>
        <v/>
      </c>
      <c r="E65" s="118" t="str">
        <f>IF(A64="","",IFS(L65="H","Carga Sugerida: "&amp;ROUNDUP(O64/2,0)&amp;" kg de cada lado (Total: "&amp;ROUNDUP(O64/2,0)*2&amp;" kg)",L65="C","Este exercício usa o Peso Corporal como carga",L65="E","Este exercício usa a resistência da banda elástica como carga",L65="O","Carga Sugerida: "&amp;INT(O64)&amp;" kg",TRUE,""))</f>
        <v/>
      </c>
      <c r="J65" s="66"/>
      <c r="K65" s="106">
        <f>K64</f>
        <v>11</v>
      </c>
      <c r="L65" s="120" t="str">
        <f>LEFT(O65)</f>
        <v/>
      </c>
      <c r="M65" s="121" t="str">
        <f>MID(O65,2,1)</f>
        <v/>
      </c>
      <c r="N65" s="122" t="str">
        <f>RIGHT(O65)</f>
        <v/>
      </c>
      <c r="O65" s="123" t="str">
        <f>IF(M64="","",OFFSET(Biblioteca!$I$2,MATCH(M64,Biblioteca!$A$3:$A$200,0),0))</f>
        <v/>
      </c>
      <c r="P65" s="124"/>
      <c r="Q65" s="125"/>
      <c r="R65" s="117" t="str">
        <f>IF(R64="","",IFS(AC65="A",Montagem!$D$180,AE65="T","Realizar a maior quantidade de repetições por "&amp;W64&amp;" segundos | ",AE65="I",IF(AD65="U","Manter a posição por "&amp;W64&amp;" segundos de um lado e trocar para o outro na sequência | ","Manter a posição por "&amp;W64&amp;" segundos | "),AD65="A","Realizar alternadamente "&amp;W64&amp;" repetições cada lado | ",AD65="U","Realizar "&amp;W64&amp;" repetições de um lado e trocar para o outro na sequência | ",AC65="P",OFFSET(Biblioteca!$H$2,MATCH(AD64,Biblioteca!$A$3:$A$200,0),0),TRUE,"")&amp;IF(AE65="R","Ajuste a carga para que tenha "&amp;$K$2&amp;" repetições de reserva",""))</f>
        <v/>
      </c>
      <c r="V65" s="118" t="str">
        <f>IF(R64="","",IFS(AC65="H","Carga Sugerida: "&amp;ROUNDUP(AF64/2,0)&amp;" kg de cada lado (Total: "&amp;ROUNDUP(AF64/2,0)*2&amp;" kg)",AC65="C","Este exercício usa o Peso Corporal como carga",AC65="E","Este exercício usa a resistência da banda elástica como carga",AC65="O","Carga Sugerida: "&amp;INT(AF64)&amp;" kg",TRUE,""))</f>
        <v/>
      </c>
      <c r="AA65" s="66"/>
      <c r="AB65" s="126">
        <f>AB64</f>
        <v>11</v>
      </c>
      <c r="AC65" s="120" t="str">
        <f>LEFT(AF65)</f>
        <v/>
      </c>
      <c r="AD65" s="121" t="str">
        <f>MID(AF65,2,1)</f>
        <v/>
      </c>
      <c r="AE65" s="122" t="str">
        <f>RIGHT(AF65)</f>
        <v/>
      </c>
      <c r="AF65" s="123" t="str">
        <f>IF(AD64="","",OFFSET(Biblioteca!$I$2,MATCH(AD64,Biblioteca!$A$3:$A$200,0),0))</f>
        <v/>
      </c>
      <c r="AG65" s="124"/>
      <c r="AH65" s="125"/>
      <c r="AI65" s="117" t="str">
        <f>IF(AI64="","",IFS(AT65="A",Montagem!$E$180,AV65="T","Realizar a maior quantidade de repetições por "&amp;AN64&amp;" segundos | ",AV65="I",IF(AU65="U","Manter a posição por "&amp;AN64&amp;" segundos de um lado e trocar para o outro na sequência | ","Manter a posição por "&amp;AN64&amp;" segundos | "),AU65="A","Realizar alternadamente "&amp;AN64&amp;" repetições cada lado | ",AU65="U","Realizar "&amp;AN64&amp;" repetições de um lado e trocar para o outro na sequência | ",AT65="P",OFFSET(Biblioteca!$H$2,MATCH(AU64,Biblioteca!$A$3:$A$200,0),0),TRUE,"")&amp;IF(AV65="R","Ajuste a carga para que tenha "&amp;$K$2&amp;" repetições de reserva",""))</f>
        <v/>
      </c>
      <c r="AM65" s="118" t="str">
        <f>IF(AI64="","",IFS(AT65="H","Carga Sugerida: "&amp;ROUNDUP(AW64/2,0)&amp;" kg de cada lado (Total: "&amp;ROUNDUP(AW64/2,0)*2&amp;" kg)",AT65="C","Este exercício usa o Peso Corporal como carga",AT65="E","Este exercício usa a resistência da banda elástica como carga",AT65="O","Carga Sugerida: "&amp;INT(AW64)&amp;" kg",TRUE,""))</f>
        <v/>
      </c>
      <c r="AR65" s="66"/>
      <c r="AS65" s="126">
        <f>AS64</f>
        <v>1</v>
      </c>
      <c r="AT65" s="120" t="str">
        <f>LEFT(AW65)</f>
        <v/>
      </c>
      <c r="AU65" s="121" t="str">
        <f>MID(AW65,2,1)</f>
        <v/>
      </c>
      <c r="AV65" s="122" t="str">
        <f>RIGHT(AW65)</f>
        <v/>
      </c>
      <c r="AW65" s="123" t="str">
        <f>IF(AU64="","",OFFSET(Biblioteca!$I$2,MATCH(AU64,Biblioteca!$A$3:$A$200,0),0))</f>
        <v/>
      </c>
      <c r="AX65" s="124"/>
      <c r="AY65" s="125"/>
      <c r="AZ65" s="117" t="str">
        <f>IF(AZ64="","",IFS(BK65="A",Montagem!$F$180,BM65="T","Realizar a maior quantidade de repetições por "&amp;BE64&amp;" segundos | ",BM65="I",IF(BL65="U","Manter a posição por "&amp;BE64&amp;" segundos de um lado e trocar para o outro na sequência | ","Manter a posição por "&amp;BE64&amp;" segundos | "),BL65="A","Realizar alternadamente "&amp;BE64&amp;" repetições cada lado | ",BL65="U","Realizar "&amp;BE64&amp;" repetições de um lado e trocar para o outro na sequência | ",BK65="P",OFFSET(Biblioteca!$H$2,MATCH(BL64,Biblioteca!$A$3:$A$200,0),0),TRUE,"")&amp;IF(BM65="R","Ajuste a carga para que tenha "&amp;$K$2&amp;" repetições de reserva",""))</f>
        <v/>
      </c>
      <c r="BD65" s="118" t="str">
        <f>IF(AZ64="","",IFS(BK65="H","Carga Sugerida: "&amp;ROUNDUP(BN64/2,0)&amp;" kg de cada lado (Total: "&amp;ROUNDUP(BN64/2,0)*2&amp;" kg)",BK65="C","Este exercício usa o Peso Corporal como carga",BK65="E","Este exercício usa a resistência da banda elástica como carga",BK65="O","Carga Sugerida: "&amp;INT(BN64)&amp;" kg",TRUE,""))</f>
        <v/>
      </c>
      <c r="BI65" s="66"/>
      <c r="BJ65" s="126">
        <f>BJ64</f>
        <v>7</v>
      </c>
      <c r="BK65" s="120" t="str">
        <f>LEFT(BN65)</f>
        <v/>
      </c>
      <c r="BL65" s="121" t="str">
        <f>MID(BN65,2,1)</f>
        <v/>
      </c>
      <c r="BM65" s="122" t="str">
        <f>RIGHT(BN65)</f>
        <v/>
      </c>
      <c r="BN65" s="123" t="str">
        <f>IF(BL64="","",OFFSET(Biblioteca!$I$2,MATCH(BL64,Biblioteca!$A$3:$A$200,0),0))</f>
        <v/>
      </c>
      <c r="BO65" s="124"/>
      <c r="BP65" s="125"/>
      <c r="BQ65" s="117" t="str">
        <f>IF(BQ64="","",IFS(CB65="A",Montagem!$G$180,CD65="T","Realizar a maior quantidade de repetições por "&amp;BV64&amp;" segundos | ",CD65="I",IF(CC65="U","Manter a posição por "&amp;BV64&amp;" segundos de um lado e trocar para o outro na sequência | ","Manter a posição por "&amp;BV64&amp;" segundos | "),CC65="A","Realizar alternadamente "&amp;BV64&amp;" repetições cada lado | ",CC65="U","Realizar "&amp;BV64&amp;" repetições de um lado e trocar para o outro na sequência | ",CB65="P",OFFSET(Biblioteca!$H$2,MATCH(CC64,Biblioteca!$A$3:$A$200,0),0),TRUE,"")&amp;IF(CD65="R","Ajuste a carga para que tenha "&amp;$K$2&amp;" repetições de reserva",""))</f>
        <v/>
      </c>
      <c r="BU65" s="118" t="str">
        <f>IF(BQ64="","",IFS(CB65="H","Carga Sugerida: "&amp;ROUNDUP(CE64/2,0)&amp;" kg de cada lado (Total: "&amp;ROUNDUP(CE64/2,0)*2&amp;" kg)",CB65="C","Este exercício usa o Peso Corporal como carga",CB65="E","Este exercício usa a resistência da banda elástica como carga",CB65="O","Carga Sugerida: "&amp;INT(CE64)&amp;" kg",TRUE,""))</f>
        <v/>
      </c>
      <c r="BZ65" s="66"/>
      <c r="CA65" s="126">
        <f>CA64</f>
        <v>8</v>
      </c>
      <c r="CB65" s="120" t="str">
        <f>LEFT(CE65)</f>
        <v/>
      </c>
      <c r="CC65" s="121" t="str">
        <f>MID(CE65,2,1)</f>
        <v/>
      </c>
      <c r="CD65" s="122" t="str">
        <f>RIGHT(CE65)</f>
        <v/>
      </c>
      <c r="CE65" s="123" t="str">
        <f>IF(CC64="","",OFFSET(Biblioteca!$I$2,MATCH(CC64,Biblioteca!$A$3:$A$200,0),0))</f>
        <v/>
      </c>
      <c r="CF65" s="124"/>
      <c r="CG65" s="125"/>
      <c r="CH65" s="117" t="str">
        <f>IF(CH64="","",IFS(CS65="A",Montagem!$H$180,CU65="T","Realizar a maior quantidade de repetições por "&amp;CM64&amp;" segundos | ",CU65="I",IF(CT65="U","Manter a posição por "&amp;CM64&amp;" segundos de um lado e trocar para o outro na sequência | ","Manter a posição por "&amp;CM64&amp;" segundos | "),CT65="A","Realizar alternadamente "&amp;CM64&amp;" repetições cada lado | ",CT65="U","Realizar "&amp;CM64&amp;" repetições de um lado e trocar para o outro na sequência | ",CS65="P",OFFSET(Biblioteca!$H$2,MATCH(CT64,Biblioteca!$A$3:$A$200,0),0),TRUE,"")&amp;IF(CU65="R","Ajuste a carga para que tenha "&amp;$K$2&amp;" repetições de reserva",""))</f>
        <v/>
      </c>
      <c r="CL65" s="118" t="str">
        <f>IF(CH64="","",IFS(CS65="H","Carga Sugerida: "&amp;ROUNDUP(CV64/2,0)&amp;" kg de cada lado (Total: "&amp;ROUNDUP(CV64/2,0)*2&amp;" kg)",CS65="C","Este exercício usa o Peso Corporal como carga",CS65="E","Este exercício usa a resistência da banda elástica como carga",CS65="O","Carga Sugerida: "&amp;INT(CV64)&amp;" kg",TRUE,""))</f>
        <v/>
      </c>
      <c r="CQ65" s="66"/>
      <c r="CR65" s="126">
        <f>CR64</f>
        <v>1</v>
      </c>
      <c r="CS65" s="120" t="str">
        <f>LEFT(CV65)</f>
        <v/>
      </c>
      <c r="CT65" s="121" t="str">
        <f>MID(CV65,2,1)</f>
        <v/>
      </c>
      <c r="CU65" s="122" t="str">
        <f>RIGHT(CV65)</f>
        <v/>
      </c>
      <c r="CV65" s="123" t="str">
        <f>IF(CT64="","",OFFSET(Biblioteca!$I$2,MATCH(CT64,Biblioteca!$A$3:$A$200,0),0))</f>
        <v/>
      </c>
      <c r="CW65" s="124"/>
      <c r="CX65" s="125"/>
      <c r="CY65" s="117" t="str">
        <f>IF(CY64="","",IFS(DJ65="A",Montagem!$I$180,DL65="T","Realizar a maior quantidade de repetições por "&amp;DD64&amp;" segundos | ",DL65="I",IF(DK65="U","Manter a posição por "&amp;DD64&amp;" segundos de um lado e trocar para o outro na sequência | ","Manter a posição por "&amp;DD64&amp;" segundos | "),DK65="A","Realizar alternadamente "&amp;DD64&amp;" repetições cada lado | ",DK65="U","Realizar "&amp;DD64&amp;" repetições de um lado e trocar para o outro na sequência | ",DJ65="P",OFFSET(Biblioteca!$H$2,MATCH(DK64,Biblioteca!$A$3:$A$200,0),0),TRUE,"")&amp;IF(DL65="R","Ajuste a carga para que tenha "&amp;$K$2&amp;" repetições de reserva",""))</f>
        <v/>
      </c>
      <c r="DC65" s="118" t="str">
        <f>IF(CY64="","",IFS(DJ65="H","Carga Sugerida: "&amp;ROUNDUP(DM64/2,0)&amp;" kg de cada lado (Total: "&amp;ROUNDUP(DM64/2,0)*2&amp;" kg)",DJ65="C","Este exercício usa o Peso Corporal como carga",DJ65="E","Este exercício usa a resistência da banda elástica como carga",DJ65="O","Carga Sugerida: "&amp;INT(DM64)&amp;" kg",TRUE,""))</f>
        <v/>
      </c>
      <c r="DH65" s="66"/>
      <c r="DI65" s="126">
        <f>DI64</f>
        <v>1</v>
      </c>
      <c r="DJ65" s="120" t="str">
        <f>LEFT(DM65)</f>
        <v/>
      </c>
      <c r="DK65" s="121" t="str">
        <f>MID(DM65,2,1)</f>
        <v/>
      </c>
      <c r="DL65" s="122" t="str">
        <f>RIGHT(DM65)</f>
        <v/>
      </c>
      <c r="DM65" s="123" t="str">
        <f>IF(DK64="","",OFFSET(Biblioteca!$I$2,MATCH(DK64,Biblioteca!$A$3:$A$200,0),0))</f>
        <v/>
      </c>
      <c r="DN65" s="124"/>
      <c r="DO65" s="125"/>
      <c r="DP65" s="142"/>
      <c r="DQ65" s="56"/>
      <c r="DR65" s="56"/>
      <c r="DS65" s="56"/>
      <c r="DT65" s="56"/>
      <c r="DU65" s="56"/>
      <c r="DV65" s="56"/>
      <c r="DW65" s="56"/>
      <c r="DX65" s="56"/>
      <c r="DY65" s="56"/>
    </row>
    <row r="66">
      <c r="A66" s="90" t="s">
        <v>48</v>
      </c>
      <c r="J66" s="66"/>
      <c r="K66" s="142"/>
      <c r="L66" s="138"/>
      <c r="M66" s="138"/>
      <c r="N66" s="138"/>
      <c r="O66" s="57" t="str">
        <f>IF(N66="",L66,N66)</f>
        <v/>
      </c>
      <c r="P66" s="57"/>
      <c r="Q66" s="153"/>
      <c r="R66" s="90" t="s">
        <v>48</v>
      </c>
      <c r="AA66" s="66"/>
      <c r="AB66" s="138"/>
      <c r="AC66" s="138"/>
      <c r="AD66" s="138"/>
      <c r="AE66" s="138"/>
      <c r="AF66" s="57" t="str">
        <f>IF(AE66="",AC66,AE66)</f>
        <v/>
      </c>
      <c r="AG66" s="57"/>
      <c r="AH66" s="153"/>
      <c r="AI66" s="90" t="s">
        <v>48</v>
      </c>
      <c r="AR66" s="66"/>
      <c r="AS66" s="138"/>
      <c r="AT66" s="138"/>
      <c r="AU66" s="138"/>
      <c r="AV66" s="138"/>
      <c r="AW66" s="57" t="str">
        <f>IF(AV66="",AT66,AV66)</f>
        <v/>
      </c>
      <c r="AX66" s="57"/>
      <c r="AY66" s="153"/>
      <c r="AZ66" s="90" t="s">
        <v>48</v>
      </c>
      <c r="BI66" s="66"/>
      <c r="BJ66" s="138"/>
      <c r="BK66" s="138"/>
      <c r="BL66" s="138"/>
      <c r="BM66" s="138"/>
      <c r="BN66" s="57" t="str">
        <f>IF(BM66="",BK66,BM66)</f>
        <v/>
      </c>
      <c r="BO66" s="57"/>
      <c r="BP66" s="153"/>
      <c r="BQ66" s="90" t="s">
        <v>48</v>
      </c>
      <c r="BZ66" s="66"/>
      <c r="CA66" s="138"/>
      <c r="CB66" s="138"/>
      <c r="CC66" s="138"/>
      <c r="CD66" s="138"/>
      <c r="CE66" s="57" t="str">
        <f>IF(CD66="",CB66,CD66)</f>
        <v/>
      </c>
      <c r="CF66" s="57"/>
      <c r="CG66" s="153"/>
      <c r="CH66" s="90" t="s">
        <v>48</v>
      </c>
      <c r="CQ66" s="66"/>
      <c r="CR66" s="138"/>
      <c r="CS66" s="138"/>
      <c r="CT66" s="138"/>
      <c r="CU66" s="138"/>
      <c r="CV66" s="57" t="str">
        <f>IF(CU66="",CS66,CU66)</f>
        <v/>
      </c>
      <c r="CW66" s="57"/>
      <c r="CX66" s="153"/>
      <c r="CY66" s="90" t="s">
        <v>48</v>
      </c>
      <c r="DH66" s="66"/>
      <c r="DI66" s="138"/>
      <c r="DJ66" s="138"/>
      <c r="DK66" s="138"/>
      <c r="DL66" s="138"/>
      <c r="DM66" s="57" t="str">
        <f>IF(DL66="",DJ66,DL66)</f>
        <v/>
      </c>
      <c r="DN66" s="57"/>
      <c r="DO66" s="153"/>
      <c r="DP66" s="142"/>
      <c r="DQ66" s="56"/>
      <c r="DR66" s="56"/>
      <c r="DS66" s="56"/>
      <c r="DT66" s="56"/>
      <c r="DU66" s="56"/>
      <c r="DV66" s="56"/>
      <c r="DW66" s="56"/>
      <c r="DX66" s="56"/>
      <c r="DY66" s="56"/>
    </row>
    <row r="67">
      <c r="A67" s="96" t="s">
        <v>31</v>
      </c>
      <c r="D67" s="97" t="s">
        <v>32</v>
      </c>
      <c r="E67" s="98" t="s">
        <v>33</v>
      </c>
      <c r="F67" s="98" t="s">
        <v>34</v>
      </c>
      <c r="G67" s="98" t="s">
        <v>35</v>
      </c>
      <c r="H67" s="98" t="s">
        <v>36</v>
      </c>
      <c r="I67" s="98" t="s">
        <v>37</v>
      </c>
      <c r="J67" s="99" t="s">
        <v>38</v>
      </c>
      <c r="K67" s="142" t="str">
        <f>K66</f>
        <v/>
      </c>
      <c r="L67" s="138"/>
      <c r="M67" s="138"/>
      <c r="N67" s="138"/>
      <c r="O67" s="138"/>
      <c r="P67" s="138"/>
      <c r="Q67" s="153"/>
      <c r="R67" s="96" t="s">
        <v>31</v>
      </c>
      <c r="U67" s="139" t="s">
        <v>32</v>
      </c>
      <c r="V67" s="140" t="s">
        <v>33</v>
      </c>
      <c r="W67" s="140" t="s">
        <v>34</v>
      </c>
      <c r="X67" s="140" t="s">
        <v>35</v>
      </c>
      <c r="Y67" s="140" t="s">
        <v>36</v>
      </c>
      <c r="Z67" s="140" t="s">
        <v>37</v>
      </c>
      <c r="AA67" s="141" t="s">
        <v>38</v>
      </c>
      <c r="AB67" s="138" t="str">
        <f>AB66</f>
        <v/>
      </c>
      <c r="AC67" s="138"/>
      <c r="AD67" s="138"/>
      <c r="AE67" s="138"/>
      <c r="AF67" s="138"/>
      <c r="AG67" s="138"/>
      <c r="AH67" s="153"/>
      <c r="AI67" s="96" t="s">
        <v>31</v>
      </c>
      <c r="AL67" s="139" t="s">
        <v>32</v>
      </c>
      <c r="AM67" s="140" t="s">
        <v>33</v>
      </c>
      <c r="AN67" s="140" t="s">
        <v>34</v>
      </c>
      <c r="AO67" s="140" t="s">
        <v>35</v>
      </c>
      <c r="AP67" s="140" t="s">
        <v>36</v>
      </c>
      <c r="AQ67" s="140" t="s">
        <v>37</v>
      </c>
      <c r="AR67" s="141" t="s">
        <v>38</v>
      </c>
      <c r="AS67" s="138"/>
      <c r="AT67" s="138"/>
      <c r="AU67" s="138"/>
      <c r="AV67" s="138"/>
      <c r="AW67" s="138"/>
      <c r="AX67" s="138"/>
      <c r="AY67" s="153"/>
      <c r="AZ67" s="96" t="s">
        <v>31</v>
      </c>
      <c r="BC67" s="139" t="s">
        <v>32</v>
      </c>
      <c r="BD67" s="140" t="s">
        <v>33</v>
      </c>
      <c r="BE67" s="140" t="s">
        <v>34</v>
      </c>
      <c r="BF67" s="140" t="s">
        <v>35</v>
      </c>
      <c r="BG67" s="140" t="s">
        <v>36</v>
      </c>
      <c r="BH67" s="140" t="s">
        <v>37</v>
      </c>
      <c r="BI67" s="141" t="s">
        <v>38</v>
      </c>
      <c r="BJ67" s="138"/>
      <c r="BK67" s="138"/>
      <c r="BL67" s="138"/>
      <c r="BM67" s="138"/>
      <c r="BN67" s="138"/>
      <c r="BO67" s="138"/>
      <c r="BP67" s="153"/>
      <c r="BQ67" s="96" t="s">
        <v>31</v>
      </c>
      <c r="BT67" s="139" t="s">
        <v>32</v>
      </c>
      <c r="BU67" s="140" t="s">
        <v>33</v>
      </c>
      <c r="BV67" s="140" t="s">
        <v>34</v>
      </c>
      <c r="BW67" s="140" t="s">
        <v>35</v>
      </c>
      <c r="BX67" s="140" t="s">
        <v>36</v>
      </c>
      <c r="BY67" s="140" t="s">
        <v>37</v>
      </c>
      <c r="BZ67" s="141" t="s">
        <v>38</v>
      </c>
      <c r="CA67" s="138"/>
      <c r="CB67" s="138"/>
      <c r="CC67" s="138"/>
      <c r="CD67" s="138"/>
      <c r="CE67" s="138"/>
      <c r="CF67" s="138"/>
      <c r="CG67" s="153"/>
      <c r="CH67" s="96" t="s">
        <v>31</v>
      </c>
      <c r="CK67" s="139" t="s">
        <v>32</v>
      </c>
      <c r="CL67" s="140" t="s">
        <v>33</v>
      </c>
      <c r="CM67" s="140" t="s">
        <v>34</v>
      </c>
      <c r="CN67" s="140" t="s">
        <v>35</v>
      </c>
      <c r="CO67" s="140" t="s">
        <v>36</v>
      </c>
      <c r="CP67" s="140" t="s">
        <v>37</v>
      </c>
      <c r="CQ67" s="141" t="s">
        <v>38</v>
      </c>
      <c r="CR67" s="138"/>
      <c r="CS67" s="138"/>
      <c r="CT67" s="138"/>
      <c r="CU67" s="138"/>
      <c r="CV67" s="138"/>
      <c r="CW67" s="138"/>
      <c r="CX67" s="153"/>
      <c r="CY67" s="96" t="s">
        <v>31</v>
      </c>
      <c r="DB67" s="139" t="s">
        <v>32</v>
      </c>
      <c r="DC67" s="140" t="s">
        <v>33</v>
      </c>
      <c r="DD67" s="140" t="s">
        <v>34</v>
      </c>
      <c r="DE67" s="140" t="s">
        <v>35</v>
      </c>
      <c r="DF67" s="140" t="s">
        <v>36</v>
      </c>
      <c r="DG67" s="140" t="s">
        <v>37</v>
      </c>
      <c r="DH67" s="141" t="s">
        <v>38</v>
      </c>
      <c r="DI67" s="138"/>
      <c r="DJ67" s="138"/>
      <c r="DK67" s="138"/>
      <c r="DL67" s="138"/>
      <c r="DM67" s="138"/>
      <c r="DN67" s="138"/>
      <c r="DO67" s="153"/>
      <c r="DP67" s="57"/>
      <c r="DQ67" s="56"/>
      <c r="DR67" s="56"/>
      <c r="DS67" s="56"/>
      <c r="DT67" s="56"/>
      <c r="DU67" s="56"/>
      <c r="DV67" s="56"/>
      <c r="DW67" s="56"/>
      <c r="DX67" s="56"/>
      <c r="DY67" s="56"/>
    </row>
    <row r="68">
      <c r="A68" s="115" t="str">
        <f>IF(M68="","",HYPERLINK(OFFSET(Biblioteca!$B$2,MATCH(M68,Biblioteca!$A$3:$A$200,0),0),M68))</f>
        <v/>
      </c>
      <c r="D68" s="103" t="str">
        <f>Montagem!Q192</f>
        <v/>
      </c>
      <c r="E68" s="104" t="str">
        <f>Montagem!R192</f>
        <v/>
      </c>
      <c r="F68" s="104" t="str">
        <f>Montagem!S192</f>
        <v/>
      </c>
      <c r="G68" s="104" t="str">
        <f>Montagem!T192</f>
        <v/>
      </c>
      <c r="H68" s="104" t="str">
        <f>Montagem!U192</f>
        <v/>
      </c>
      <c r="I68" s="104" t="str">
        <f>Montagem!V192</f>
        <v/>
      </c>
      <c r="J68" s="144"/>
      <c r="K68" s="106">
        <f>Montagem!K192</f>
        <v>1</v>
      </c>
      <c r="L68" s="111" t="str">
        <f>Montagem!W192</f>
        <v/>
      </c>
      <c r="M68" s="111" t="str">
        <f>Montagem!L192</f>
        <v/>
      </c>
      <c r="N68" s="111" t="str">
        <f>Montagem!X192</f>
        <v/>
      </c>
      <c r="O68" s="106" t="str">
        <f>IF(N68="",L68,N68)</f>
        <v/>
      </c>
      <c r="P68" s="106" t="str">
        <f>IF(L69="C",'Dados de Base'!$D$5*0.1,IF(L69="E",5,IF(J68="",O68,J68)))</f>
        <v/>
      </c>
      <c r="Q68" s="108"/>
      <c r="R68" s="115" t="str">
        <f>IF(AD68="","",HYPERLINK(OFFSET(Biblioteca!$B$2,MATCH(AD68,Biblioteca!$A$3:$A$200,0),0),AD68))</f>
        <v/>
      </c>
      <c r="U68" s="109" t="str">
        <f>Montagem!AF192</f>
        <v/>
      </c>
      <c r="V68" s="110" t="str">
        <f>Montagem!AG192</f>
        <v/>
      </c>
      <c r="W68" s="110" t="str">
        <f>Montagem!AH192</f>
        <v/>
      </c>
      <c r="X68" s="110" t="str">
        <f>Montagem!AI192</f>
        <v/>
      </c>
      <c r="Y68" s="110" t="str">
        <f>Montagem!AJ192</f>
        <v/>
      </c>
      <c r="Z68" s="110" t="str">
        <f>Montagem!AK192</f>
        <v/>
      </c>
      <c r="AA68" s="114"/>
      <c r="AB68" s="111">
        <f>Montagem!Z192</f>
        <v>1</v>
      </c>
      <c r="AC68" s="111" t="str">
        <f>Montagem!AL192</f>
        <v/>
      </c>
      <c r="AD68" s="129" t="str">
        <f>Montagem!AA192</f>
        <v/>
      </c>
      <c r="AE68" s="111" t="str">
        <f>Montagem!AM192</f>
        <v/>
      </c>
      <c r="AF68" s="106" t="str">
        <f>IF(AE68="",AC68,AE68)</f>
        <v/>
      </c>
      <c r="AG68" s="106" t="str">
        <f>IF(AC69="C",'Dados de Base'!$D$5*0.1,IF(AC69="E",5,IF(AA68="",AF68,AA68)))</f>
        <v/>
      </c>
      <c r="AH68" s="108"/>
      <c r="AI68" s="115" t="str">
        <f>IF(AU68="","",HYPERLINK(OFFSET(Biblioteca!$B$2,MATCH(AU68,Biblioteca!$A$3:$A$200,0),0),AU68))</f>
        <v/>
      </c>
      <c r="AL68" s="109" t="str">
        <f>Montagem!AU192</f>
        <v/>
      </c>
      <c r="AM68" s="110" t="str">
        <f>Montagem!AV192</f>
        <v/>
      </c>
      <c r="AN68" s="110" t="str">
        <f>Montagem!AW192</f>
        <v/>
      </c>
      <c r="AO68" s="110" t="str">
        <f>Montagem!AX192</f>
        <v/>
      </c>
      <c r="AP68" s="110" t="str">
        <f>Montagem!AY192</f>
        <v/>
      </c>
      <c r="AQ68" s="110" t="str">
        <f>Montagem!AZ192</f>
        <v/>
      </c>
      <c r="AR68" s="114"/>
      <c r="AS68" s="111">
        <f>Montagem!AO192</f>
        <v>1</v>
      </c>
      <c r="AT68" s="111" t="str">
        <f>Montagem!BA192</f>
        <v/>
      </c>
      <c r="AU68" s="111" t="str">
        <f>Montagem!AP192</f>
        <v/>
      </c>
      <c r="AV68" s="111" t="str">
        <f>Montagem!BB192</f>
        <v/>
      </c>
      <c r="AW68" s="106" t="str">
        <f>IF(AV68="",AT68,AV68)</f>
        <v/>
      </c>
      <c r="AX68" s="106" t="str">
        <f>IF(AT69="C",'Dados de Base'!$D$5*0.1,IF(AT69="E",5,IF(AR68="",AW68,AR68)))</f>
        <v/>
      </c>
      <c r="AY68" s="108"/>
      <c r="AZ68" s="115" t="str">
        <f>IF(BL68="","",HYPERLINK(OFFSET(Biblioteca!$B$2,MATCH(BL68,Biblioteca!$A$3:$A$200,0),0),BL68))</f>
        <v/>
      </c>
      <c r="BC68" s="109" t="str">
        <f>Montagem!BJ192</f>
        <v/>
      </c>
      <c r="BD68" s="110" t="str">
        <f>Montagem!BK192</f>
        <v/>
      </c>
      <c r="BE68" s="110" t="str">
        <f>Montagem!BL192</f>
        <v/>
      </c>
      <c r="BF68" s="110" t="str">
        <f>Montagem!BM192</f>
        <v/>
      </c>
      <c r="BG68" s="110" t="str">
        <f>Montagem!BN192</f>
        <v/>
      </c>
      <c r="BH68" s="110" t="str">
        <f>Montagem!BO192</f>
        <v/>
      </c>
      <c r="BI68" s="114"/>
      <c r="BJ68" s="111">
        <f>Montagem!BD192</f>
        <v>1</v>
      </c>
      <c r="BK68" s="111" t="str">
        <f>Montagem!BP192</f>
        <v/>
      </c>
      <c r="BL68" s="111" t="str">
        <f>Montagem!BE192</f>
        <v/>
      </c>
      <c r="BM68" s="111" t="str">
        <f>Montagem!BQ192</f>
        <v/>
      </c>
      <c r="BN68" s="106" t="str">
        <f>IF(BM68="",BK68,BM68)</f>
        <v/>
      </c>
      <c r="BO68" s="106" t="str">
        <f>IF(BK69="C",'Dados de Base'!$D$5*0.1,IF(BK69="E",5,IF(BI68="",BN68,BI68)))</f>
        <v/>
      </c>
      <c r="BP68" s="108"/>
      <c r="BQ68" s="115" t="str">
        <f>IF(CC68="","",HYPERLINK(OFFSET(Biblioteca!$B$2,MATCH(CC68,Biblioteca!$A$3:$A$200,0),0),CC68))</f>
        <v/>
      </c>
      <c r="BT68" s="109" t="str">
        <f>Montagem!BY192</f>
        <v/>
      </c>
      <c r="BU68" s="110" t="str">
        <f>Montagem!BZ192</f>
        <v/>
      </c>
      <c r="BV68" s="110" t="str">
        <f>Montagem!CA192</f>
        <v/>
      </c>
      <c r="BW68" s="110" t="str">
        <f>Montagem!CB192</f>
        <v/>
      </c>
      <c r="BX68" s="110" t="str">
        <f>Montagem!CC192</f>
        <v/>
      </c>
      <c r="BY68" s="110" t="str">
        <f>Montagem!CD192</f>
        <v/>
      </c>
      <c r="BZ68" s="114"/>
      <c r="CA68" s="111">
        <f>Montagem!BS192</f>
        <v>1</v>
      </c>
      <c r="CB68" s="111" t="str">
        <f>Montagem!CE192</f>
        <v/>
      </c>
      <c r="CC68" s="111" t="str">
        <f>Montagem!BT192</f>
        <v/>
      </c>
      <c r="CD68" s="111" t="str">
        <f>Montagem!CF192</f>
        <v/>
      </c>
      <c r="CE68" s="106" t="str">
        <f>IF(CD68="",CB68,CD68)</f>
        <v/>
      </c>
      <c r="CF68" s="106" t="str">
        <f>IF(CB69="C",'Dados de Base'!$D$5*0.1,IF(CB69="E",5,IF(BZ68="",CE68,BZ68)))</f>
        <v/>
      </c>
      <c r="CG68" s="108"/>
      <c r="CH68" s="115" t="str">
        <f>IF(CT68="","",HYPERLINK(OFFSET(Biblioteca!$B$2,MATCH(CT68,Biblioteca!$A$3:$A$200,0),0),CT68))</f>
        <v/>
      </c>
      <c r="CK68" s="109" t="str">
        <f>Montagem!CN192</f>
        <v/>
      </c>
      <c r="CL68" s="110" t="str">
        <f>Montagem!CO192</f>
        <v/>
      </c>
      <c r="CM68" s="110" t="str">
        <f>Montagem!CP192</f>
        <v/>
      </c>
      <c r="CN68" s="110" t="str">
        <f>Montagem!CQ192</f>
        <v/>
      </c>
      <c r="CO68" s="110" t="str">
        <f>Montagem!CR192</f>
        <v/>
      </c>
      <c r="CP68" s="110" t="str">
        <f>Montagem!CS192</f>
        <v/>
      </c>
      <c r="CQ68" s="114"/>
      <c r="CR68" s="111">
        <f>Montagem!CH192</f>
        <v>1</v>
      </c>
      <c r="CS68" s="111" t="str">
        <f>Montagem!CT192</f>
        <v/>
      </c>
      <c r="CT68" s="111" t="str">
        <f>Montagem!CI192</f>
        <v/>
      </c>
      <c r="CU68" s="145" t="str">
        <f>Montagem!CU192</f>
        <v/>
      </c>
      <c r="CV68" s="106" t="str">
        <f>IF(CU68="",CS68,CU68)</f>
        <v/>
      </c>
      <c r="CW68" s="106" t="str">
        <f>IF(CS69="C",'Dados de Base'!$D$5*0.1,IF(CS69="E",5,IF(CQ68="",CV68,CQ68)))</f>
        <v/>
      </c>
      <c r="CX68" s="108"/>
      <c r="CY68" s="115" t="str">
        <f>IF(DK68="","",HYPERLINK(OFFSET(Biblioteca!$B$2,MATCH(DK68,Biblioteca!$A$3:$A$200,0),0),DK68))</f>
        <v/>
      </c>
      <c r="DB68" s="130" t="str">
        <f>Montagem!DC192</f>
        <v/>
      </c>
      <c r="DC68" s="131" t="str">
        <f>Montagem!DD192</f>
        <v/>
      </c>
      <c r="DD68" s="131" t="str">
        <f>Montagem!DE192</f>
        <v/>
      </c>
      <c r="DE68" s="131" t="str">
        <f>Montagem!DF192</f>
        <v/>
      </c>
      <c r="DF68" s="131" t="str">
        <f>Montagem!DG192</f>
        <v/>
      </c>
      <c r="DG68" s="131" t="str">
        <f>Montagem!DH192</f>
        <v/>
      </c>
      <c r="DH68" s="114"/>
      <c r="DI68" s="111">
        <f>Montagem!CW192</f>
        <v>1</v>
      </c>
      <c r="DJ68" s="111" t="str">
        <f>Montagem!DI192</f>
        <v/>
      </c>
      <c r="DK68" s="111" t="str">
        <f>Montagem!CX192</f>
        <v/>
      </c>
      <c r="DL68" s="145" t="str">
        <f>Montagem!DJ192</f>
        <v/>
      </c>
      <c r="DM68" s="106" t="str">
        <f>IF(DL68="",DJ68,DL68)</f>
        <v/>
      </c>
      <c r="DN68" s="106" t="str">
        <f>IF(DJ69="C",'Dados de Base'!$D$5*0.1,IF(DJ69="E",5,IF(DH68="",DM68,DH68)))</f>
        <v/>
      </c>
      <c r="DO68" s="108"/>
      <c r="DP68" s="106"/>
      <c r="DQ68" s="106"/>
      <c r="DR68" s="106"/>
      <c r="DS68" s="106"/>
      <c r="DT68" s="106"/>
      <c r="DU68" s="106"/>
      <c r="DV68" s="106"/>
      <c r="DW68" s="106"/>
      <c r="DX68" s="106"/>
      <c r="DY68" s="106"/>
    </row>
    <row r="69">
      <c r="A69" s="117" t="str">
        <f>IF(A68="","",IFS(L69="A",Montagem!$C$180,N69="T","Realizar a maior quantidade de repetições por "&amp;F68&amp;" segundos | ",N69="I",IF(M69="U","Manter a posição por "&amp;F68&amp;" segundos de um lado e trocar para o outro na sequência | ","Manter a posição por "&amp;F68&amp;" segundos | "),M69="A","Realizar alternadamente "&amp;F68&amp;" repetições cada lado | ",M69="U","Realizar "&amp;F68&amp;" repetições de um lado e trocar para o outro na sequência | ",L69="P",OFFSET(Biblioteca!$H$2,MATCH(M68,Biblioteca!$A$3:$A$200,0),0),TRUE,""))</f>
        <v/>
      </c>
      <c r="E69" s="118" t="str">
        <f>IF(A68="","",IFS(L69="H","Carga Sugerida: "&amp;ROUNDUP(O68/2,0)&amp;" kg de cada lado (Total: "&amp;ROUNDUP(O68/2,0)*2&amp;" kg)",L69="C","Este exercício usa o Peso Corporal como carga",L69="E","Este exercício usa a resistência da banda elástica como carga",L69="O","Carga Sugerida: "&amp;INT(O68)&amp;" kg",TRUE,""))</f>
        <v/>
      </c>
      <c r="J69" s="66"/>
      <c r="K69" s="106">
        <f>K68</f>
        <v>1</v>
      </c>
      <c r="L69" s="120" t="str">
        <f>LEFT(O69)</f>
        <v/>
      </c>
      <c r="M69" s="121" t="str">
        <f>MID(O69,2,1)</f>
        <v/>
      </c>
      <c r="N69" s="122" t="str">
        <f>RIGHT(O69)</f>
        <v/>
      </c>
      <c r="O69" s="123" t="str">
        <f>IF(M68="","",OFFSET(Biblioteca!$I$2,MATCH(M68,Biblioteca!$A$3:$A$200,0),0))</f>
        <v/>
      </c>
      <c r="P69" s="124"/>
      <c r="Q69" s="125"/>
      <c r="R69" s="117" t="str">
        <f>IF(R68="","",IFS(AC69="A",Montagem!$D$180,AE69="T","Realizar a maior quantidade de repetições por "&amp;W68&amp;" segundos | ",AE69="I",IF(AD69="U","Manter a posição por "&amp;W68&amp;" segundos de um lado e trocar para o outro na sequência | ","Manter a posição por "&amp;W68&amp;" segundos | "),AD69="A","Realizar alternadamente "&amp;W68&amp;" repetições cada lado | ",AD69="U","Realizar "&amp;W68&amp;" repetições de um lado e trocar para o outro na sequência | ",AC69="P",OFFSET(Biblioteca!$H$2,MATCH(AD68,Biblioteca!$A$3:$A$200,0),0),TRUE,""))</f>
        <v/>
      </c>
      <c r="V69" s="118" t="str">
        <f>IF(R68="","",IFS(AC69="H","Carga Sugerida: "&amp;ROUNDUP(AF68/2,0)&amp;" kg de cada lado (Total: "&amp;ROUNDUP(AF68/2,0)*2&amp;" kg)",AC69="C","Este exercício usa o Peso Corporal como carga",AC69="E","Este exercício usa a resistência da banda elástica como carga",AC69="O","Carga Sugerida: "&amp;INT(AF68)&amp;" kg",TRUE,""))</f>
        <v/>
      </c>
      <c r="AA69" s="66"/>
      <c r="AB69" s="111">
        <f>AB68</f>
        <v>1</v>
      </c>
      <c r="AC69" s="120" t="str">
        <f>LEFT(AF69)</f>
        <v/>
      </c>
      <c r="AD69" s="121" t="str">
        <f>MID(AF69,2,1)</f>
        <v/>
      </c>
      <c r="AE69" s="122" t="str">
        <f>RIGHT(AF69)</f>
        <v/>
      </c>
      <c r="AF69" s="123" t="str">
        <f>IF(AD68="","",OFFSET(Biblioteca!$I$2,MATCH(AD68,Biblioteca!$A$3:$A$200,0),0))</f>
        <v/>
      </c>
      <c r="AG69" s="124"/>
      <c r="AH69" s="125"/>
      <c r="AI69" s="117" t="str">
        <f>IF(AI68="","",IFS(AT69="A",Montagem!$E$180,AV69="T","Realizar a maior quantidade de repetições por "&amp;AN68&amp;" segundos | ",AV69="I",IF(AU69="U","Manter a posição por "&amp;AN68&amp;" segundos de um lado e trocar para o outro na sequência | ","Manter a posição por "&amp;AN68&amp;" segundos | "),AU69="A","Realizar alternadamente "&amp;AN68&amp;" repetições cada lado | ",AU69="U","Realizar "&amp;AN68&amp;" repetições de um lado e trocar para o outro na sequência | ",AT69="P",OFFSET(Biblioteca!$H$2,MATCH(AU68,Biblioteca!$A$3:$A$200,0),0),TRUE,""))</f>
        <v/>
      </c>
      <c r="AM69" s="118" t="str">
        <f>IF(AI68="","",IFS(AT69="H","Carga Sugerida: "&amp;ROUNDUP(AW68/2,0)&amp;" kg de cada lado (Total: "&amp;ROUNDUP(AW68/2,0)*2&amp;" kg)",AT69="C","Este exercício usa o Peso Corporal como carga",AT69="E","Este exercício usa a resistência da banda elástica como carga",AT69="O","Carga Sugerida: "&amp;INT(AW68)&amp;" kg",TRUE,""))</f>
        <v/>
      </c>
      <c r="AR69" s="66"/>
      <c r="AS69" s="111">
        <f>AS68</f>
        <v>1</v>
      </c>
      <c r="AT69" s="120" t="str">
        <f>LEFT(AW69)</f>
        <v/>
      </c>
      <c r="AU69" s="121" t="str">
        <f>MID(AW69,2,1)</f>
        <v/>
      </c>
      <c r="AV69" s="122" t="str">
        <f>RIGHT(AW69)</f>
        <v/>
      </c>
      <c r="AW69" s="123" t="str">
        <f>IF(AU68="","",OFFSET(Biblioteca!$I$2,MATCH(AU68,Biblioteca!$A$3:$A$200,0),0))</f>
        <v/>
      </c>
      <c r="AX69" s="124"/>
      <c r="AY69" s="125"/>
      <c r="AZ69" s="117" t="str">
        <f>IF(AZ68="","",IFS(BK69="A",Montagem!$F$180,BM69="T","Realizar a maior quantidade de repetições por "&amp;BE68&amp;" segundos | ",BM69="I",IF(BL69="U","Manter a posição por "&amp;BE68&amp;" segundos de um lado e trocar para o outro na sequência | ","Manter a posição por "&amp;BE68&amp;" segundos | "),BL69="A","Realizar alternadamente "&amp;BE68&amp;" repetições cada lado | ",BL69="U","Realizar "&amp;BE68&amp;" repetições de um lado e trocar para o outro na sequência | ",BK69="P",OFFSET(Biblioteca!$H$2,MATCH(BL68,Biblioteca!$A$3:$A$200,0),0),TRUE,""))</f>
        <v/>
      </c>
      <c r="BD69" s="118" t="str">
        <f>IF(AZ68="","",IFS(BK69="H","Carga Sugerida: "&amp;ROUNDUP(BN68/2,0)&amp;" kg de cada lado (Total: "&amp;ROUNDUP(BN68/2,0)*2&amp;" kg)",BK69="C","Este exercício usa o Peso Corporal como carga",BK69="E","Este exercício usa a resistência da banda elástica como carga",BK69="O","Carga Sugerida: "&amp;INT(BN68)&amp;" kg",TRUE,""))</f>
        <v/>
      </c>
      <c r="BI69" s="66"/>
      <c r="BJ69" s="111">
        <f>BJ68</f>
        <v>1</v>
      </c>
      <c r="BK69" s="120" t="str">
        <f>LEFT(BN69)</f>
        <v/>
      </c>
      <c r="BL69" s="121" t="str">
        <f>MID(BN69,2,1)</f>
        <v/>
      </c>
      <c r="BM69" s="122" t="str">
        <f>RIGHT(BN69)</f>
        <v/>
      </c>
      <c r="BN69" s="123" t="str">
        <f>IF(BL68="","",OFFSET(Biblioteca!$I$2,MATCH(BL68,Biblioteca!$A$3:$A$200,0),0))</f>
        <v/>
      </c>
      <c r="BO69" s="124"/>
      <c r="BP69" s="125"/>
      <c r="BQ69" s="117" t="str">
        <f>IF(BQ68="","",IFS(CB69="A",Montagem!$G$180,CD69="T","Realizar a maior quantidade de repetições por "&amp;BV68&amp;" segundos | ",CD69="I",IF(CC69="U","Manter a posição por "&amp;BV68&amp;" segundos de um lado e trocar para o outro na sequência | ","Manter a posição por "&amp;BV68&amp;" segundos | "),CC69="A","Realizar alternadamente "&amp;BV68&amp;" repetições cada lado | ",CC69="U","Realizar "&amp;BV68&amp;" repetições de um lado e trocar para o outro na sequência | ",CB69="P",OFFSET(Biblioteca!$H$2,MATCH(CC68,Biblioteca!$A$3:$A$200,0),0),TRUE,""))</f>
        <v/>
      </c>
      <c r="BU69" s="118" t="str">
        <f>IF(BQ68="","",IFS(CB69="H","Carga Sugerida: "&amp;ROUNDUP(CE68/2,0)&amp;" kg de cada lado (Total: "&amp;ROUNDUP(CE68/2,0)*2&amp;" kg)",CB69="C","Este exercício usa o Peso Corporal como carga",CB69="E","Este exercício usa a resistência da banda elástica como carga",CB69="O","Carga Sugerida: "&amp;INT(CE68)&amp;" kg",TRUE,""))</f>
        <v/>
      </c>
      <c r="BZ69" s="66"/>
      <c r="CA69" s="111">
        <f>CA68</f>
        <v>1</v>
      </c>
      <c r="CB69" s="120" t="str">
        <f>LEFT(CE69)</f>
        <v/>
      </c>
      <c r="CC69" s="121" t="str">
        <f>MID(CE69,2,1)</f>
        <v/>
      </c>
      <c r="CD69" s="122" t="str">
        <f>RIGHT(CE69)</f>
        <v/>
      </c>
      <c r="CE69" s="123" t="str">
        <f>IF(CC68="","",OFFSET(Biblioteca!$I$2,MATCH(CC68,Biblioteca!$A$3:$A$200,0),0))</f>
        <v/>
      </c>
      <c r="CF69" s="124"/>
      <c r="CG69" s="125"/>
      <c r="CH69" s="117" t="str">
        <f>IF(CH68="","",IFS(CS69="A",Montagem!$H$180,CU69="T","Realizar a maior quantidade de repetições por "&amp;CM68&amp;" segundos | ",CU69="I",IF(CT69="U","Manter a posição por "&amp;CM68&amp;" segundos de um lado e trocar para o outro na sequência | ","Manter a posição por "&amp;CM68&amp;" segundos | "),CT69="A","Realizar alternadamente "&amp;CM68&amp;" repetições cada lado | ",CT69="U","Realizar "&amp;CM68&amp;" repetições de um lado e trocar para o outro na sequência | ",CS69="P",OFFSET(Biblioteca!$H$2,MATCH(CT68,Biblioteca!$A$3:$A$200,0),0),TRUE,""))</f>
        <v/>
      </c>
      <c r="CL69" s="118" t="str">
        <f>IF(CH68="","",IFS(CS69="H","Carga Sugerida: "&amp;ROUNDUP(CV68/2,0)&amp;" kg de cada lado (Total: "&amp;ROUNDUP(CV68/2,0)*2&amp;" kg)",CS69="C","Este exercício usa o Peso Corporal como carga",CS69="E","Este exercício usa a resistência da banda elástica como carga",CS69="O","Carga Sugerida: "&amp;INT(CV68)&amp;" kg",TRUE,""))</f>
        <v/>
      </c>
      <c r="CQ69" s="66"/>
      <c r="CR69" s="111">
        <f>CR68</f>
        <v>1</v>
      </c>
      <c r="CS69" s="120" t="str">
        <f>LEFT(CV69)</f>
        <v/>
      </c>
      <c r="CT69" s="121" t="str">
        <f>MID(CV69,2,1)</f>
        <v/>
      </c>
      <c r="CU69" s="122" t="str">
        <f>RIGHT(CV69)</f>
        <v/>
      </c>
      <c r="CV69" s="123" t="str">
        <f>IF(CT68="","",OFFSET(Biblioteca!$I$2,MATCH(CT68,Biblioteca!$A$3:$A$200,0),0))</f>
        <v/>
      </c>
      <c r="CW69" s="124"/>
      <c r="CX69" s="125"/>
      <c r="CY69" s="117" t="str">
        <f>IF(CY68="","",IFS(DJ69="A",Montagem!$I$180,DL69="T","Realizar a maior quantidade de repetições por "&amp;DD68&amp;" segundos | ",DL69="I",IF(DK69="U","Manter a posição por "&amp;DD68&amp;" segundos de um lado e trocar para o outro na sequência | ","Manter a posição por "&amp;DD68&amp;" segundos | "),DK69="A","Realizar alternadamente "&amp;DD68&amp;" repetições cada lado | ",DK69="U","Realizar "&amp;DD68&amp;" repetições de um lado e trocar para o outro na sequência | ",DJ69="P",OFFSET(Biblioteca!$H$2,MATCH(DK68,Biblioteca!$A$3:$A$200,0),0),TRUE,""))</f>
        <v/>
      </c>
      <c r="DC69" s="118" t="str">
        <f>IF(CY68="","",IFS(DJ69="H","Carga Sugerida: "&amp;ROUNDUP(DM68/2,0)&amp;" kg de cada lado (Total: "&amp;ROUNDUP(DM68/2,0)*2&amp;" kg)",DJ69="C","Este exercício usa o Peso Corporal como carga",DJ69="E","Este exercício usa a resistência da banda elástica como carga",DJ69="O","Carga Sugerida: "&amp;INT(DM68)&amp;" kg",TRUE,""))</f>
        <v/>
      </c>
      <c r="DH69" s="66"/>
      <c r="DI69" s="111">
        <f>DI68</f>
        <v>1</v>
      </c>
      <c r="DJ69" s="120" t="str">
        <f>LEFT(DM69)</f>
        <v/>
      </c>
      <c r="DK69" s="121" t="str">
        <f>MID(DM69,2,1)</f>
        <v/>
      </c>
      <c r="DL69" s="122" t="str">
        <f>RIGHT(DM69)</f>
        <v/>
      </c>
      <c r="DM69" s="123" t="str">
        <f>IF(DK68="","",OFFSET(Biblioteca!$I$2,MATCH(DK68,Biblioteca!$A$3:$A$200,0),0))</f>
        <v/>
      </c>
      <c r="DN69" s="124"/>
      <c r="DO69" s="125"/>
      <c r="DP69" s="57"/>
      <c r="DQ69" s="56"/>
      <c r="DR69" s="56"/>
      <c r="DS69" s="56"/>
      <c r="DT69" s="56"/>
      <c r="DU69" s="56"/>
      <c r="DV69" s="56"/>
      <c r="DW69" s="56"/>
      <c r="DX69" s="56"/>
      <c r="DY69" s="56"/>
    </row>
    <row r="70">
      <c r="A70" s="115" t="str">
        <f>IF(M70="","",HYPERLINK(OFFSET(Biblioteca!$B$2,MATCH(M70,Biblioteca!$A$3:$A$200,0),0),M70))</f>
        <v/>
      </c>
      <c r="D70" s="103" t="str">
        <f>Montagem!Q193</f>
        <v/>
      </c>
      <c r="E70" s="104" t="str">
        <f>Montagem!R193</f>
        <v/>
      </c>
      <c r="F70" s="104" t="str">
        <f>Montagem!S193</f>
        <v/>
      </c>
      <c r="G70" s="104" t="str">
        <f>Montagem!T193</f>
        <v/>
      </c>
      <c r="H70" s="104" t="str">
        <f>Montagem!U193</f>
        <v/>
      </c>
      <c r="I70" s="104" t="str">
        <f>Montagem!V193</f>
        <v/>
      </c>
      <c r="J70" s="144"/>
      <c r="K70" s="106">
        <f>Montagem!K193</f>
        <v>1</v>
      </c>
      <c r="L70" s="111" t="str">
        <f>Montagem!W193</f>
        <v/>
      </c>
      <c r="M70" s="111" t="str">
        <f>Montagem!L193</f>
        <v/>
      </c>
      <c r="N70" s="111" t="str">
        <f>Montagem!X193</f>
        <v/>
      </c>
      <c r="O70" s="106" t="str">
        <f>IF(N70="",L70,N70)</f>
        <v/>
      </c>
      <c r="P70" s="106" t="str">
        <f>IF(L71="C",'Dados de Base'!$D$5*0.1,IF(L71="E",5,IF(J70="",O70,J70)))</f>
        <v/>
      </c>
      <c r="Q70" s="108"/>
      <c r="R70" s="115" t="str">
        <f>IF(AD70="","",HYPERLINK(OFFSET(Biblioteca!$B$2,MATCH(AD70,Biblioteca!$A$3:$A$200,0),0),AD70))</f>
        <v/>
      </c>
      <c r="U70" s="109" t="str">
        <f>Montagem!AF193</f>
        <v/>
      </c>
      <c r="V70" s="110" t="str">
        <f>Montagem!AG193</f>
        <v/>
      </c>
      <c r="W70" s="110" t="str">
        <f>Montagem!AH193</f>
        <v/>
      </c>
      <c r="X70" s="110" t="str">
        <f>Montagem!AI193</f>
        <v/>
      </c>
      <c r="Y70" s="110" t="str">
        <f>Montagem!AJ193</f>
        <v/>
      </c>
      <c r="Z70" s="110" t="str">
        <f>Montagem!AK193</f>
        <v/>
      </c>
      <c r="AA70" s="114"/>
      <c r="AB70" s="111">
        <f>Montagem!Z193</f>
        <v>1</v>
      </c>
      <c r="AC70" s="111" t="str">
        <f>Montagem!AL193</f>
        <v/>
      </c>
      <c r="AD70" s="129" t="str">
        <f>Montagem!AA193</f>
        <v/>
      </c>
      <c r="AE70" s="111" t="str">
        <f>Montagem!AM193</f>
        <v/>
      </c>
      <c r="AF70" s="106" t="str">
        <f>IF(AE70="",AC70,AE70)</f>
        <v/>
      </c>
      <c r="AG70" s="106" t="str">
        <f>IF(AC71="C",'Dados de Base'!$D$5*0.1,IF(AC71="E",5,IF(AA70="",AF70,AA70)))</f>
        <v/>
      </c>
      <c r="AH70" s="108"/>
      <c r="AI70" s="115" t="str">
        <f>IF(AU70="","",HYPERLINK(OFFSET(Biblioteca!$B$2,MATCH(AU70,Biblioteca!$A$3:$A$200,0),0),AU70))</f>
        <v/>
      </c>
      <c r="AL70" s="109" t="str">
        <f>Montagem!AU193</f>
        <v/>
      </c>
      <c r="AM70" s="110" t="str">
        <f>Montagem!AV193</f>
        <v/>
      </c>
      <c r="AN70" s="110" t="str">
        <f>Montagem!AW193</f>
        <v/>
      </c>
      <c r="AO70" s="110" t="str">
        <f>Montagem!AX193</f>
        <v/>
      </c>
      <c r="AP70" s="110" t="str">
        <f>Montagem!AY193</f>
        <v/>
      </c>
      <c r="AQ70" s="110" t="str">
        <f>Montagem!AZ193</f>
        <v/>
      </c>
      <c r="AR70" s="114"/>
      <c r="AS70" s="111">
        <f>Montagem!AO193</f>
        <v>1</v>
      </c>
      <c r="AT70" s="111" t="str">
        <f>Montagem!BA193</f>
        <v/>
      </c>
      <c r="AU70" s="111" t="str">
        <f>Montagem!AP193</f>
        <v/>
      </c>
      <c r="AV70" s="111" t="str">
        <f>Montagem!BB193</f>
        <v/>
      </c>
      <c r="AW70" s="106" t="str">
        <f>IF(AV70="",AT70,AV70)</f>
        <v/>
      </c>
      <c r="AX70" s="106" t="str">
        <f>IF(AT71="C",'Dados de Base'!$D$5*0.1,IF(AT71="E",5,IF(AR70="",AW70,AR70)))</f>
        <v/>
      </c>
      <c r="AY70" s="108"/>
      <c r="AZ70" s="115" t="str">
        <f>IF(BL70="","",HYPERLINK(OFFSET(Biblioteca!$B$2,MATCH(BL70,Biblioteca!$A$3:$A$200,0),0),BL70))</f>
        <v/>
      </c>
      <c r="BC70" s="109" t="str">
        <f>Montagem!BJ193</f>
        <v/>
      </c>
      <c r="BD70" s="110" t="str">
        <f>Montagem!BK193</f>
        <v/>
      </c>
      <c r="BE70" s="110" t="str">
        <f>Montagem!BL193</f>
        <v/>
      </c>
      <c r="BF70" s="110" t="str">
        <f>Montagem!BM193</f>
        <v/>
      </c>
      <c r="BG70" s="110" t="str">
        <f>Montagem!BN193</f>
        <v/>
      </c>
      <c r="BH70" s="110" t="str">
        <f>Montagem!BO193</f>
        <v/>
      </c>
      <c r="BI70" s="114"/>
      <c r="BJ70" s="111">
        <f>Montagem!BD193</f>
        <v>1</v>
      </c>
      <c r="BK70" s="111" t="str">
        <f>Montagem!BP193</f>
        <v/>
      </c>
      <c r="BL70" s="111" t="str">
        <f>Montagem!BE193</f>
        <v/>
      </c>
      <c r="BM70" s="111" t="str">
        <f>Montagem!BQ193</f>
        <v/>
      </c>
      <c r="BN70" s="106" t="str">
        <f>IF(BM70="",BK70,BM70)</f>
        <v/>
      </c>
      <c r="BO70" s="106" t="str">
        <f>IF(BK71="C",'Dados de Base'!$D$5*0.1,IF(BK71="E",5,IF(BI70="",BN70,BI70)))</f>
        <v/>
      </c>
      <c r="BP70" s="108"/>
      <c r="BQ70" s="115" t="str">
        <f>IF(CC70="","",HYPERLINK(OFFSET(Biblioteca!$B$2,MATCH(CC70,Biblioteca!$A$3:$A$200,0),0),CC70))</f>
        <v/>
      </c>
      <c r="BT70" s="109" t="str">
        <f>Montagem!BY193</f>
        <v/>
      </c>
      <c r="BU70" s="110" t="str">
        <f>Montagem!BZ193</f>
        <v/>
      </c>
      <c r="BV70" s="110" t="str">
        <f>Montagem!CA193</f>
        <v/>
      </c>
      <c r="BW70" s="110" t="str">
        <f>Montagem!CB193</f>
        <v/>
      </c>
      <c r="BX70" s="110" t="str">
        <f>Montagem!CC193</f>
        <v/>
      </c>
      <c r="BY70" s="110" t="str">
        <f>Montagem!CD193</f>
        <v/>
      </c>
      <c r="BZ70" s="114"/>
      <c r="CA70" s="111">
        <f>Montagem!BS193</f>
        <v>1</v>
      </c>
      <c r="CB70" s="111" t="str">
        <f>Montagem!CE193</f>
        <v/>
      </c>
      <c r="CC70" s="111" t="str">
        <f>Montagem!BT193</f>
        <v/>
      </c>
      <c r="CD70" s="111" t="str">
        <f>Montagem!CF193</f>
        <v/>
      </c>
      <c r="CE70" s="106" t="str">
        <f>IF(CD70="",CB70,CD70)</f>
        <v/>
      </c>
      <c r="CF70" s="106" t="str">
        <f>IF(CB71="C",'Dados de Base'!$D$5*0.1,IF(CB71="E",5,IF(BZ70="",CE70,BZ70)))</f>
        <v/>
      </c>
      <c r="CG70" s="108"/>
      <c r="CH70" s="115" t="str">
        <f>IF(CT70="","",HYPERLINK(OFFSET(Biblioteca!$B$2,MATCH(CT70,Biblioteca!$A$3:$A$200,0),0),CT70))</f>
        <v/>
      </c>
      <c r="CK70" s="109" t="str">
        <f>Montagem!CN193</f>
        <v/>
      </c>
      <c r="CL70" s="110" t="str">
        <f>Montagem!CO193</f>
        <v/>
      </c>
      <c r="CM70" s="110" t="str">
        <f>Montagem!CP193</f>
        <v/>
      </c>
      <c r="CN70" s="110" t="str">
        <f>Montagem!CQ193</f>
        <v/>
      </c>
      <c r="CO70" s="110" t="str">
        <f>Montagem!CR193</f>
        <v/>
      </c>
      <c r="CP70" s="110" t="str">
        <f>Montagem!CS193</f>
        <v/>
      </c>
      <c r="CQ70" s="114"/>
      <c r="CR70" s="111">
        <f>Montagem!CH193</f>
        <v>1</v>
      </c>
      <c r="CS70" s="111" t="str">
        <f>Montagem!CT193</f>
        <v/>
      </c>
      <c r="CT70" s="111" t="str">
        <f>Montagem!CI193</f>
        <v/>
      </c>
      <c r="CU70" s="145" t="str">
        <f>Montagem!CU193</f>
        <v/>
      </c>
      <c r="CV70" s="106" t="str">
        <f>IF(CU70="",CS70,CU70)</f>
        <v/>
      </c>
      <c r="CW70" s="106" t="str">
        <f>IF(CS71="C",'Dados de Base'!$D$5*0.1,IF(CS71="E",5,IF(CQ70="",CV70,CQ70)))</f>
        <v/>
      </c>
      <c r="CX70" s="108"/>
      <c r="CY70" s="115" t="str">
        <f>IF(DK70="","",HYPERLINK(OFFSET(Biblioteca!$B$2,MATCH(DK70,Biblioteca!$A$3:$A$200,0),0),DK70))</f>
        <v/>
      </c>
      <c r="DB70" s="130" t="str">
        <f>Montagem!DC193</f>
        <v/>
      </c>
      <c r="DC70" s="131" t="str">
        <f>Montagem!DD193</f>
        <v/>
      </c>
      <c r="DD70" s="131" t="str">
        <f>Montagem!DE193</f>
        <v/>
      </c>
      <c r="DE70" s="131" t="str">
        <f>Montagem!DF193</f>
        <v/>
      </c>
      <c r="DF70" s="131" t="str">
        <f>Montagem!DG193</f>
        <v/>
      </c>
      <c r="DG70" s="131" t="str">
        <f>Montagem!DH193</f>
        <v/>
      </c>
      <c r="DH70" s="114"/>
      <c r="DI70" s="111">
        <f>Montagem!CW193</f>
        <v>1</v>
      </c>
      <c r="DJ70" s="111" t="str">
        <f>Montagem!DI193</f>
        <v/>
      </c>
      <c r="DK70" s="111" t="str">
        <f>Montagem!CX193</f>
        <v/>
      </c>
      <c r="DL70" s="145" t="str">
        <f>Montagem!DJ193</f>
        <v/>
      </c>
      <c r="DM70" s="106" t="str">
        <f>IF(DL70="",DJ70,DL70)</f>
        <v/>
      </c>
      <c r="DN70" s="106" t="str">
        <f>IF(DJ71="C",'Dados de Base'!$D$5*0.1,IF(DJ71="E",5,IF(DH70="",DM70,DH70)))</f>
        <v/>
      </c>
      <c r="DO70" s="108"/>
      <c r="DP70" s="106"/>
      <c r="DQ70" s="106"/>
      <c r="DR70" s="106"/>
      <c r="DS70" s="106"/>
      <c r="DT70" s="106"/>
      <c r="DU70" s="106"/>
      <c r="DV70" s="106"/>
      <c r="DW70" s="106"/>
      <c r="DX70" s="106"/>
      <c r="DY70" s="106"/>
    </row>
    <row r="71">
      <c r="A71" s="117" t="str">
        <f>IF(A70="","",IFS(L71="A",Montagem!$C$180,N71="T","Realizar a maior quantidade de repetições por "&amp;F70&amp;" segundos | ",N71="I",IF(M71="U","Manter a posição por "&amp;F70&amp;" segundos de um lado e trocar para o outro na sequência | ","Manter a posição por "&amp;F70&amp;" segundos | "),M71="A","Realizar alternadamente "&amp;F70&amp;" repetições cada lado | ",M71="U","Realizar "&amp;F70&amp;" repetições de um lado e trocar para o outro na sequência | ",L71="P",OFFSET(Biblioteca!$H$2,MATCH(M70,Biblioteca!$A$3:$A$200,0),0),TRUE,""))</f>
        <v/>
      </c>
      <c r="E71" s="118" t="str">
        <f>IF(A70="","",IFS(L71="H","Carga Sugerida: "&amp;ROUNDUP(O70/2,0)&amp;" kg de cada lado (Total: "&amp;ROUNDUP(O70/2,0)*2&amp;" kg)",L71="C","Este exercício usa o Peso Corporal como carga",L71="E","Este exercício usa a resistência da banda elástica como carga",L71="O","Carga Sugerida: "&amp;INT(O70)&amp;" kg",TRUE,""))</f>
        <v/>
      </c>
      <c r="J71" s="66"/>
      <c r="K71" s="106">
        <f>K70</f>
        <v>1</v>
      </c>
      <c r="L71" s="120" t="str">
        <f>LEFT(O71)</f>
        <v/>
      </c>
      <c r="M71" s="121" t="str">
        <f>MID(O71,2,1)</f>
        <v/>
      </c>
      <c r="N71" s="122" t="str">
        <f>RIGHT(O71)</f>
        <v/>
      </c>
      <c r="O71" s="123" t="str">
        <f>IF(M70="","",OFFSET(Biblioteca!$I$2,MATCH(M70,Biblioteca!$A$3:$A$200,0),0))</f>
        <v/>
      </c>
      <c r="P71" s="124"/>
      <c r="Q71" s="125"/>
      <c r="R71" s="117" t="str">
        <f>IF(R70="","",IFS(AC71="A",Montagem!$D$180,AE71="T","Realizar a maior quantidade de repetições por "&amp;W70&amp;" segundos | ",AE71="I",IF(AD71="U","Manter a posição por "&amp;W70&amp;" segundos de um lado e trocar para o outro na sequência | ","Manter a posição por "&amp;W70&amp;" segundos | "),AD71="A","Realizar alternadamente "&amp;W70&amp;" repetições cada lado | ",AD71="U","Realizar "&amp;W70&amp;" repetições de um lado e trocar para o outro na sequência | ",AC71="P",OFFSET(Biblioteca!$H$2,MATCH(AD70,Biblioteca!$A$3:$A$200,0),0),TRUE,""))</f>
        <v/>
      </c>
      <c r="V71" s="118" t="str">
        <f>IF(R70="","",IFS(AC71="H","Carga Sugerida: "&amp;ROUNDUP(AF70/2,0)&amp;" kg de cada lado (Total: "&amp;ROUNDUP(AF70/2,0)*2&amp;" kg)",AC71="C","Este exercício usa o Peso Corporal como carga",AC71="E","Este exercício usa a resistência da banda elástica como carga",AC71="O","Carga Sugerida: "&amp;INT(AF70)&amp;" kg",TRUE,""))</f>
        <v/>
      </c>
      <c r="AA71" s="66"/>
      <c r="AB71" s="111">
        <f>AB70</f>
        <v>1</v>
      </c>
      <c r="AC71" s="120" t="str">
        <f>LEFT(AF71)</f>
        <v/>
      </c>
      <c r="AD71" s="121" t="str">
        <f>MID(AF71,2,1)</f>
        <v/>
      </c>
      <c r="AE71" s="122" t="str">
        <f>RIGHT(AF71)</f>
        <v/>
      </c>
      <c r="AF71" s="123" t="str">
        <f>IF(AD70="","",OFFSET(Biblioteca!$I$2,MATCH(AD70,Biblioteca!$A$3:$A$200,0),0))</f>
        <v/>
      </c>
      <c r="AG71" s="124"/>
      <c r="AH71" s="125"/>
      <c r="AI71" s="117" t="str">
        <f>IF(AI70="","",IFS(AT71="A",Montagem!$E$180,AV71="T","Realizar a maior quantidade de repetições por "&amp;AN70&amp;" segundos | ",AV71="I",IF(AU71="U","Manter a posição por "&amp;AN70&amp;" segundos de um lado e trocar para o outro na sequência | ","Manter a posição por "&amp;AN70&amp;" segundos | "),AU71="A","Realizar alternadamente "&amp;AN70&amp;" repetições cada lado | ",AU71="U","Realizar "&amp;AN70&amp;" repetições de um lado e trocar para o outro na sequência | ",AT71="P",OFFSET(Biblioteca!$H$2,MATCH(AU70,Biblioteca!$A$3:$A$200,0),0),TRUE,""))</f>
        <v/>
      </c>
      <c r="AM71" s="118" t="str">
        <f>IF(AI70="","",IFS(AT71="H","Carga Sugerida: "&amp;ROUNDUP(AW70/2,0)&amp;" kg de cada lado (Total: "&amp;ROUNDUP(AW70/2,0)*2&amp;" kg)",AT71="C","Este exercício usa o Peso Corporal como carga",AT71="E","Este exercício usa a resistência da banda elástica como carga",AT71="O","Carga Sugerida: "&amp;INT(AW70)&amp;" kg",TRUE,""))</f>
        <v/>
      </c>
      <c r="AR71" s="66"/>
      <c r="AS71" s="111">
        <f>AS70</f>
        <v>1</v>
      </c>
      <c r="AT71" s="120" t="str">
        <f>LEFT(AW71)</f>
        <v/>
      </c>
      <c r="AU71" s="121" t="str">
        <f>MID(AW71,2,1)</f>
        <v/>
      </c>
      <c r="AV71" s="122" t="str">
        <f>RIGHT(AW71)</f>
        <v/>
      </c>
      <c r="AW71" s="123" t="str">
        <f>IF(AU70="","",OFFSET(Biblioteca!$I$2,MATCH(AU70,Biblioteca!$A$3:$A$200,0),0))</f>
        <v/>
      </c>
      <c r="AX71" s="124"/>
      <c r="AY71" s="125"/>
      <c r="AZ71" s="117" t="str">
        <f>IF(AZ70="","",IFS(BK71="A",Montagem!$F$180,BM71="T","Realizar a maior quantidade de repetições por "&amp;BE70&amp;" segundos | ",BM71="I",IF(BL71="U","Manter a posição por "&amp;BE70&amp;" segundos de um lado e trocar para o outro na sequência | ","Manter a posição por "&amp;BE70&amp;" segundos | "),BL71="A","Realizar alternadamente "&amp;BE70&amp;" repetições cada lado | ",BL71="U","Realizar "&amp;BE70&amp;" repetições de um lado e trocar para o outro na sequência | ",BK71="P",OFFSET(Biblioteca!$H$2,MATCH(BL70,Biblioteca!$A$3:$A$200,0),0),TRUE,""))</f>
        <v/>
      </c>
      <c r="BD71" s="118" t="str">
        <f>IF(AZ70="","",IFS(BK71="H","Carga Sugerida: "&amp;ROUNDUP(BN70/2,0)&amp;" kg de cada lado (Total: "&amp;ROUNDUP(BN70/2,0)*2&amp;" kg)",BK71="C","Este exercício usa o Peso Corporal como carga",BK71="E","Este exercício usa a resistência da banda elástica como carga",BK71="O","Carga Sugerida: "&amp;INT(BN70)&amp;" kg",TRUE,""))</f>
        <v/>
      </c>
      <c r="BI71" s="66"/>
      <c r="BJ71" s="111">
        <f>BJ70</f>
        <v>1</v>
      </c>
      <c r="BK71" s="120" t="str">
        <f>LEFT(BN71)</f>
        <v/>
      </c>
      <c r="BL71" s="121" t="str">
        <f>MID(BN71,2,1)</f>
        <v/>
      </c>
      <c r="BM71" s="122" t="str">
        <f>RIGHT(BN71)</f>
        <v/>
      </c>
      <c r="BN71" s="123" t="str">
        <f>IF(BL70="","",OFFSET(Biblioteca!$I$2,MATCH(BL70,Biblioteca!$A$3:$A$200,0),0))</f>
        <v/>
      </c>
      <c r="BO71" s="124"/>
      <c r="BP71" s="125"/>
      <c r="BQ71" s="117" t="str">
        <f>IF(BQ70="","",IFS(CB71="A",Montagem!$G$180,CD71="T","Realizar a maior quantidade de repetições por "&amp;BV70&amp;" segundos | ",CD71="I",IF(CC71="U","Manter a posição por "&amp;BV70&amp;" segundos de um lado e trocar para o outro na sequência | ","Manter a posição por "&amp;BV70&amp;" segundos | "),CC71="A","Realizar alternadamente "&amp;BV70&amp;" repetições cada lado | ",CC71="U","Realizar "&amp;BV70&amp;" repetições de um lado e trocar para o outro na sequência | ",CB71="P",OFFSET(Biblioteca!$H$2,MATCH(CC70,Biblioteca!$A$3:$A$200,0),0),TRUE,""))</f>
        <v/>
      </c>
      <c r="BU71" s="118" t="str">
        <f>IF(BQ70="","",IFS(CB71="H","Carga Sugerida: "&amp;ROUNDUP(CE70/2,0)&amp;" kg de cada lado (Total: "&amp;ROUNDUP(CE70/2,0)*2&amp;" kg)",CB71="C","Este exercício usa o Peso Corporal como carga",CB71="E","Este exercício usa a resistência da banda elástica como carga",CB71="O","Carga Sugerida: "&amp;INT(CE70)&amp;" kg",TRUE,""))</f>
        <v/>
      </c>
      <c r="BZ71" s="66"/>
      <c r="CA71" s="111">
        <f>CA70</f>
        <v>1</v>
      </c>
      <c r="CB71" s="120" t="str">
        <f>LEFT(CE71)</f>
        <v/>
      </c>
      <c r="CC71" s="121" t="str">
        <f>MID(CE71,2,1)</f>
        <v/>
      </c>
      <c r="CD71" s="122" t="str">
        <f>RIGHT(CE71)</f>
        <v/>
      </c>
      <c r="CE71" s="123" t="str">
        <f>IF(CC70="","",OFFSET(Biblioteca!$I$2,MATCH(CC70,Biblioteca!$A$3:$A$200,0),0))</f>
        <v/>
      </c>
      <c r="CF71" s="124"/>
      <c r="CG71" s="125"/>
      <c r="CH71" s="117" t="str">
        <f>IF(CH70="","",IFS(CS71="A",Montagem!$H$180,CU71="T","Realizar a maior quantidade de repetições por "&amp;CM70&amp;" segundos | ",CU71="I",IF(CT71="U","Manter a posição por "&amp;CM70&amp;" segundos de um lado e trocar para o outro na sequência | ","Manter a posição por "&amp;CM70&amp;" segundos | "),CT71="A","Realizar alternadamente "&amp;CM70&amp;" repetições cada lado | ",CT71="U","Realizar "&amp;CM70&amp;" repetições de um lado e trocar para o outro na sequência | ",CS71="P",OFFSET(Biblioteca!$H$2,MATCH(CT70,Biblioteca!$A$3:$A$200,0),0),TRUE,""))</f>
        <v/>
      </c>
      <c r="CL71" s="118" t="str">
        <f>IF(CH70="","",IFS(CS71="H","Carga Sugerida: "&amp;ROUNDUP(CV70/2,0)&amp;" kg de cada lado (Total: "&amp;ROUNDUP(CV70/2,0)*2&amp;" kg)",CS71="C","Este exercício usa o Peso Corporal como carga",CS71="E","Este exercício usa a resistência da banda elástica como carga",CS71="O","Carga Sugerida: "&amp;INT(CV70)&amp;" kg",TRUE,""))</f>
        <v/>
      </c>
      <c r="CQ71" s="66"/>
      <c r="CR71" s="111">
        <f>CR70</f>
        <v>1</v>
      </c>
      <c r="CS71" s="120" t="str">
        <f>LEFT(CV71)</f>
        <v/>
      </c>
      <c r="CT71" s="121" t="str">
        <f>MID(CV71,2,1)</f>
        <v/>
      </c>
      <c r="CU71" s="122" t="str">
        <f>RIGHT(CV71)</f>
        <v/>
      </c>
      <c r="CV71" s="123" t="str">
        <f>IF(CT70="","",OFFSET(Biblioteca!$I$2,MATCH(CT70,Biblioteca!$A$3:$A$200,0),0))</f>
        <v/>
      </c>
      <c r="CW71" s="124"/>
      <c r="CX71" s="125"/>
      <c r="CY71" s="117" t="str">
        <f>IF(CY70="","",IFS(DJ71="A",Montagem!$I$180,DL71="T","Realizar a maior quantidade de repetições por "&amp;DD70&amp;" segundos | ",DL71="I",IF(DK71="U","Manter a posição por "&amp;DD70&amp;" segundos de um lado e trocar para o outro na sequência | ","Manter a posição por "&amp;DD70&amp;" segundos | "),DK71="A","Realizar alternadamente "&amp;DD70&amp;" repetições cada lado | ",DK71="U","Realizar "&amp;DD70&amp;" repetições de um lado e trocar para o outro na sequência | ",DJ71="P",OFFSET(Biblioteca!$H$2,MATCH(DK70,Biblioteca!$A$3:$A$200,0),0),TRUE,""))</f>
        <v/>
      </c>
      <c r="DC71" s="118" t="str">
        <f>IF(CY70="","",IFS(DJ71="H","Carga Sugerida: "&amp;ROUNDUP(DM70/2,0)&amp;" kg de cada lado (Total: "&amp;ROUNDUP(DM70/2,0)*2&amp;" kg)",DJ71="C","Este exercício usa o Peso Corporal como carga",DJ71="E","Este exercício usa a resistência da banda elástica como carga",DJ71="O","Carga Sugerida: "&amp;INT(DM70)&amp;" kg",TRUE,""))</f>
        <v/>
      </c>
      <c r="DH71" s="66"/>
      <c r="DI71" s="111">
        <f>DI70</f>
        <v>1</v>
      </c>
      <c r="DJ71" s="120" t="str">
        <f>LEFT(DM71)</f>
        <v/>
      </c>
      <c r="DK71" s="121" t="str">
        <f>MID(DM71,2,1)</f>
        <v/>
      </c>
      <c r="DL71" s="122" t="str">
        <f>RIGHT(DM71)</f>
        <v/>
      </c>
      <c r="DM71" s="123" t="str">
        <f>IF(DK70="","",OFFSET(Biblioteca!$I$2,MATCH(DK70,Biblioteca!$A$3:$A$200,0),0))</f>
        <v/>
      </c>
      <c r="DN71" s="124"/>
      <c r="DO71" s="125"/>
      <c r="DP71" s="57"/>
      <c r="DQ71" s="56"/>
      <c r="DR71" s="56"/>
      <c r="DS71" s="56"/>
      <c r="DT71" s="56"/>
      <c r="DU71" s="56"/>
      <c r="DV71" s="56"/>
      <c r="DW71" s="56"/>
      <c r="DX71" s="56"/>
      <c r="DY71" s="56"/>
    </row>
    <row r="72">
      <c r="A72" s="115" t="str">
        <f>IF(M72="","",HYPERLINK(OFFSET(Biblioteca!$B$2,MATCH(M72,Biblioteca!$A$3:$A$200,0),0),M72))</f>
        <v/>
      </c>
      <c r="D72" s="103" t="str">
        <f>Montagem!Q194</f>
        <v/>
      </c>
      <c r="E72" s="104" t="str">
        <f>Montagem!R194</f>
        <v/>
      </c>
      <c r="F72" s="104" t="str">
        <f>Montagem!S194</f>
        <v/>
      </c>
      <c r="G72" s="104" t="str">
        <f>Montagem!T194</f>
        <v/>
      </c>
      <c r="H72" s="104" t="str">
        <f>Montagem!U194</f>
        <v/>
      </c>
      <c r="I72" s="104" t="str">
        <f>Montagem!V194</f>
        <v/>
      </c>
      <c r="J72" s="144"/>
      <c r="K72" s="106">
        <f>Montagem!K194</f>
        <v>1</v>
      </c>
      <c r="L72" s="111" t="str">
        <f>Montagem!W194</f>
        <v/>
      </c>
      <c r="M72" s="111" t="str">
        <f>Montagem!L194</f>
        <v/>
      </c>
      <c r="N72" s="111" t="str">
        <f>Montagem!X194</f>
        <v/>
      </c>
      <c r="O72" s="106" t="str">
        <f>IF(N72="",L72,N72)</f>
        <v/>
      </c>
      <c r="P72" s="106" t="str">
        <f>IF(L73="C",'Dados de Base'!$D$5*0.1,IF(L73="E",5,IF(J72="",O72,J72)))</f>
        <v/>
      </c>
      <c r="Q72" s="108"/>
      <c r="R72" s="115" t="str">
        <f>IF(AD72="","",HYPERLINK(OFFSET(Biblioteca!$B$2,MATCH(AD72,Biblioteca!$A$3:$A$200,0),0),AD72))</f>
        <v/>
      </c>
      <c r="U72" s="109" t="str">
        <f>Montagem!AF194</f>
        <v/>
      </c>
      <c r="V72" s="110" t="str">
        <f>Montagem!AG194</f>
        <v/>
      </c>
      <c r="W72" s="110" t="str">
        <f>Montagem!AH194</f>
        <v/>
      </c>
      <c r="X72" s="110" t="str">
        <f>Montagem!AI194</f>
        <v/>
      </c>
      <c r="Y72" s="110" t="str">
        <f>Montagem!AJ194</f>
        <v/>
      </c>
      <c r="Z72" s="110" t="str">
        <f>Montagem!AK194</f>
        <v/>
      </c>
      <c r="AA72" s="114"/>
      <c r="AB72" s="111">
        <f>Montagem!Z194</f>
        <v>1</v>
      </c>
      <c r="AC72" s="111" t="str">
        <f>Montagem!AL194</f>
        <v/>
      </c>
      <c r="AD72" s="129" t="str">
        <f>Montagem!AA194</f>
        <v/>
      </c>
      <c r="AE72" s="111" t="str">
        <f>Montagem!AM194</f>
        <v/>
      </c>
      <c r="AF72" s="106" t="str">
        <f>IF(AE72="",AC72,AE72)</f>
        <v/>
      </c>
      <c r="AG72" s="106" t="str">
        <f>IF(AC73="C",'Dados de Base'!$D$5*0.1,IF(AC73="E",5,IF(AA72="",AF72,AA72)))</f>
        <v/>
      </c>
      <c r="AH72" s="108"/>
      <c r="AI72" s="115" t="str">
        <f>IF(AU72="","",HYPERLINK(OFFSET(Biblioteca!$B$2,MATCH(AU72,Biblioteca!$A$3:$A$200,0),0),AU72))</f>
        <v/>
      </c>
      <c r="AL72" s="109" t="str">
        <f>Montagem!AU194</f>
        <v/>
      </c>
      <c r="AM72" s="110" t="str">
        <f>Montagem!AV194</f>
        <v/>
      </c>
      <c r="AN72" s="110" t="str">
        <f>Montagem!AW194</f>
        <v/>
      </c>
      <c r="AO72" s="110" t="str">
        <f>Montagem!AX194</f>
        <v/>
      </c>
      <c r="AP72" s="110" t="str">
        <f>Montagem!AY194</f>
        <v/>
      </c>
      <c r="AQ72" s="110" t="str">
        <f>Montagem!AZ194</f>
        <v/>
      </c>
      <c r="AR72" s="114"/>
      <c r="AS72" s="111">
        <f>Montagem!AO194</f>
        <v>1</v>
      </c>
      <c r="AT72" s="111" t="str">
        <f>Montagem!BA194</f>
        <v/>
      </c>
      <c r="AU72" s="111" t="str">
        <f>Montagem!AP194</f>
        <v/>
      </c>
      <c r="AV72" s="111" t="str">
        <f>Montagem!BB194</f>
        <v/>
      </c>
      <c r="AW72" s="106" t="str">
        <f>IF(AV72="",AT72,AV72)</f>
        <v/>
      </c>
      <c r="AX72" s="106" t="str">
        <f>IF(AT73="C",'Dados de Base'!$D$5*0.1,IF(AT73="E",5,IF(AR72="",AW72,AR72)))</f>
        <v/>
      </c>
      <c r="AY72" s="108"/>
      <c r="AZ72" s="115" t="str">
        <f>IF(BL72="","",HYPERLINK(OFFSET(Biblioteca!$B$2,MATCH(BL72,Biblioteca!$A$3:$A$200,0),0),BL72))</f>
        <v/>
      </c>
      <c r="BC72" s="109" t="str">
        <f>Montagem!BJ194</f>
        <v/>
      </c>
      <c r="BD72" s="110" t="str">
        <f>Montagem!BK194</f>
        <v/>
      </c>
      <c r="BE72" s="110" t="str">
        <f>Montagem!BL194</f>
        <v/>
      </c>
      <c r="BF72" s="110" t="str">
        <f>Montagem!BM194</f>
        <v/>
      </c>
      <c r="BG72" s="110" t="str">
        <f>Montagem!BN194</f>
        <v/>
      </c>
      <c r="BH72" s="110" t="str">
        <f>Montagem!BO194</f>
        <v/>
      </c>
      <c r="BI72" s="114"/>
      <c r="BJ72" s="111">
        <f>Montagem!BD194</f>
        <v>1</v>
      </c>
      <c r="BK72" s="111" t="str">
        <f>Montagem!BP194</f>
        <v/>
      </c>
      <c r="BL72" s="111" t="str">
        <f>Montagem!BE194</f>
        <v/>
      </c>
      <c r="BM72" s="111" t="str">
        <f>Montagem!BQ194</f>
        <v/>
      </c>
      <c r="BN72" s="106" t="str">
        <f>IF(BM72="",BK72,BM72)</f>
        <v/>
      </c>
      <c r="BO72" s="106" t="str">
        <f>IF(BK73="C",'Dados de Base'!$D$5*0.1,IF(BK73="E",5,IF(BI72="",BN72,BI72)))</f>
        <v/>
      </c>
      <c r="BP72" s="108"/>
      <c r="BQ72" s="115" t="str">
        <f>IF(CC72="","",HYPERLINK(OFFSET(Biblioteca!$B$2,MATCH(CC72,Biblioteca!$A$3:$A$200,0),0),CC72))</f>
        <v/>
      </c>
      <c r="BT72" s="109" t="str">
        <f>Montagem!BY194</f>
        <v/>
      </c>
      <c r="BU72" s="110" t="str">
        <f>Montagem!BZ194</f>
        <v/>
      </c>
      <c r="BV72" s="110" t="str">
        <f>Montagem!CA194</f>
        <v/>
      </c>
      <c r="BW72" s="110" t="str">
        <f>Montagem!CB194</f>
        <v/>
      </c>
      <c r="BX72" s="110" t="str">
        <f>Montagem!CC194</f>
        <v/>
      </c>
      <c r="BY72" s="110" t="str">
        <f>Montagem!CD194</f>
        <v/>
      </c>
      <c r="BZ72" s="114"/>
      <c r="CA72" s="111">
        <f>Montagem!BS194</f>
        <v>1</v>
      </c>
      <c r="CB72" s="111" t="str">
        <f>Montagem!CE194</f>
        <v/>
      </c>
      <c r="CC72" s="111" t="str">
        <f>Montagem!BT194</f>
        <v/>
      </c>
      <c r="CD72" s="111" t="str">
        <f>Montagem!CF194</f>
        <v/>
      </c>
      <c r="CE72" s="106" t="str">
        <f>IF(CD72="",CB72,CD72)</f>
        <v/>
      </c>
      <c r="CF72" s="106" t="str">
        <f>IF(CB73="C",'Dados de Base'!$D$5*0.1,IF(CB73="E",5,IF(BZ72="",CE72,BZ72)))</f>
        <v/>
      </c>
      <c r="CG72" s="108"/>
      <c r="CH72" s="115" t="str">
        <f>IF(CT72="","",HYPERLINK(OFFSET(Biblioteca!$B$2,MATCH(CT72,Biblioteca!$A$3:$A$200,0),0),CT72))</f>
        <v/>
      </c>
      <c r="CK72" s="109" t="str">
        <f>Montagem!CN194</f>
        <v/>
      </c>
      <c r="CL72" s="110" t="str">
        <f>Montagem!CO194</f>
        <v/>
      </c>
      <c r="CM72" s="110" t="str">
        <f>Montagem!CP194</f>
        <v/>
      </c>
      <c r="CN72" s="110" t="str">
        <f>Montagem!CQ194</f>
        <v/>
      </c>
      <c r="CO72" s="110" t="str">
        <f>Montagem!CR194</f>
        <v/>
      </c>
      <c r="CP72" s="110" t="str">
        <f>Montagem!CS194</f>
        <v/>
      </c>
      <c r="CQ72" s="114"/>
      <c r="CR72" s="111">
        <f>Montagem!CH194</f>
        <v>1</v>
      </c>
      <c r="CS72" s="111" t="str">
        <f>Montagem!CT194</f>
        <v/>
      </c>
      <c r="CT72" s="111" t="str">
        <f>Montagem!CI194</f>
        <v/>
      </c>
      <c r="CU72" s="145" t="str">
        <f>Montagem!CU194</f>
        <v/>
      </c>
      <c r="CV72" s="106" t="str">
        <f>IF(CU72="",CS72,CU72)</f>
        <v/>
      </c>
      <c r="CW72" s="106" t="str">
        <f>IF(CS73="C",'Dados de Base'!$D$5*0.1,IF(CS73="E",5,IF(CQ72="",CV72,CQ72)))</f>
        <v/>
      </c>
      <c r="CX72" s="108"/>
      <c r="CY72" s="115" t="str">
        <f>IF(DK72="","",HYPERLINK(OFFSET(Biblioteca!$B$2,MATCH(DK72,Biblioteca!$A$3:$A$200,0),0),DK72))</f>
        <v/>
      </c>
      <c r="DB72" s="130" t="str">
        <f>Montagem!DC194</f>
        <v/>
      </c>
      <c r="DC72" s="131" t="str">
        <f>Montagem!DD194</f>
        <v/>
      </c>
      <c r="DD72" s="131" t="str">
        <f>Montagem!DE194</f>
        <v/>
      </c>
      <c r="DE72" s="131" t="str">
        <f>Montagem!DF194</f>
        <v/>
      </c>
      <c r="DF72" s="131" t="str">
        <f>Montagem!DG194</f>
        <v/>
      </c>
      <c r="DG72" s="131" t="str">
        <f>Montagem!DH194</f>
        <v/>
      </c>
      <c r="DH72" s="114"/>
      <c r="DI72" s="111">
        <f>Montagem!CW194</f>
        <v>1</v>
      </c>
      <c r="DJ72" s="111" t="str">
        <f>Montagem!DI194</f>
        <v/>
      </c>
      <c r="DK72" s="111" t="str">
        <f>Montagem!CX194</f>
        <v/>
      </c>
      <c r="DL72" s="145" t="str">
        <f>Montagem!DJ194</f>
        <v/>
      </c>
      <c r="DM72" s="106" t="str">
        <f>IF(DL72="",DJ72,DL72)</f>
        <v/>
      </c>
      <c r="DN72" s="106" t="str">
        <f>IF(DJ73="C",'Dados de Base'!$D$5*0.1,IF(DJ73="E",5,IF(DH72="",DM72,DH72)))</f>
        <v/>
      </c>
      <c r="DO72" s="108"/>
      <c r="DP72" s="106"/>
      <c r="DQ72" s="106"/>
      <c r="DR72" s="106"/>
      <c r="DS72" s="106"/>
      <c r="DT72" s="106"/>
      <c r="DU72" s="106"/>
      <c r="DV72" s="106"/>
      <c r="DW72" s="106"/>
      <c r="DX72" s="106"/>
      <c r="DY72" s="106"/>
    </row>
    <row r="73">
      <c r="A73" s="117" t="str">
        <f>IF(A72="","",IFS(L73="A",Montagem!$C$180,N73="T","Realizar a maior quantidade de repetições por "&amp;F72&amp;" segundos | ",N73="I",IF(M73="U","Manter a posição por "&amp;F72&amp;" segundos de um lado e trocar para o outro na sequência | ","Manter a posição por "&amp;F72&amp;" segundos | "),M73="A","Realizar alternadamente "&amp;F72&amp;" repetições cada lado | ",M73="U","Realizar "&amp;F72&amp;" repetições de um lado e trocar para o outro na sequência | ",L73="P",OFFSET(Biblioteca!$H$2,MATCH(M72,Biblioteca!$A$3:$A$200,0),0),TRUE,""))</f>
        <v/>
      </c>
      <c r="E73" s="118" t="str">
        <f>IF(A72="","",IFS(L73="H","Carga Sugerida: "&amp;ROUNDUP(O72/2,0)&amp;" kg de cada lado (Total: "&amp;ROUNDUP(O72/2,0)*2&amp;" kg)",L73="C","Este exercício usa o Peso Corporal como carga",L73="E","Este exercício usa a resistência da banda elástica como carga",L73="O","Carga Sugerida: "&amp;INT(O72)&amp;" kg",TRUE,""))</f>
        <v/>
      </c>
      <c r="J73" s="66"/>
      <c r="K73" s="106">
        <f>K72</f>
        <v>1</v>
      </c>
      <c r="L73" s="120" t="str">
        <f>LEFT(O73)</f>
        <v/>
      </c>
      <c r="M73" s="121" t="str">
        <f>MID(O73,2,1)</f>
        <v/>
      </c>
      <c r="N73" s="122" t="str">
        <f>RIGHT(O73)</f>
        <v/>
      </c>
      <c r="O73" s="123" t="str">
        <f>IF(M72="","",OFFSET(Biblioteca!$I$2,MATCH(M72,Biblioteca!$A$3:$A$200,0),0))</f>
        <v/>
      </c>
      <c r="P73" s="124"/>
      <c r="Q73" s="125"/>
      <c r="R73" s="117" t="str">
        <f>IF(R72="","",IFS(AC73="A",Montagem!$D$180,AE73="T","Realizar a maior quantidade de repetições por "&amp;W72&amp;" segundos | ",AE73="I",IF(AD73="U","Manter a posição por "&amp;W72&amp;" segundos de um lado e trocar para o outro na sequência | ","Manter a posição por "&amp;W72&amp;" segundos | "),AD73="A","Realizar alternadamente "&amp;W72&amp;" repetições cada lado | ",AD73="U","Realizar "&amp;W72&amp;" repetições de um lado e trocar para o outro na sequência | ",AC73="P",OFFSET(Biblioteca!$H$2,MATCH(AD72,Biblioteca!$A$3:$A$200,0),0),TRUE,""))</f>
        <v/>
      </c>
      <c r="V73" s="118" t="str">
        <f>IF(R72="","",IFS(AC73="H","Carga Sugerida: "&amp;ROUNDUP(AF72/2,0)&amp;" kg de cada lado (Total: "&amp;ROUNDUP(AF72/2,0)*2&amp;" kg)",AC73="C","Este exercício usa o Peso Corporal como carga",AC73="E","Este exercício usa a resistência da banda elástica como carga",AC73="O","Carga Sugerida: "&amp;INT(AF72)&amp;" kg",TRUE,""))</f>
        <v/>
      </c>
      <c r="AA73" s="66"/>
      <c r="AB73" s="111">
        <f>AB72</f>
        <v>1</v>
      </c>
      <c r="AC73" s="120" t="str">
        <f>LEFT(AF73)</f>
        <v/>
      </c>
      <c r="AD73" s="121" t="str">
        <f>MID(AF73,2,1)</f>
        <v/>
      </c>
      <c r="AE73" s="122" t="str">
        <f>RIGHT(AF73)</f>
        <v/>
      </c>
      <c r="AF73" s="123" t="str">
        <f>IF(AD72="","",OFFSET(Biblioteca!$I$2,MATCH(AD72,Biblioteca!$A$3:$A$200,0),0))</f>
        <v/>
      </c>
      <c r="AG73" s="124"/>
      <c r="AH73" s="125"/>
      <c r="AI73" s="117" t="str">
        <f>IF(AI72="","",IFS(AT73="A",Montagem!$E$180,AV73="T","Realizar a maior quantidade de repetições por "&amp;AN72&amp;" segundos | ",AV73="I",IF(AU73="U","Manter a posição por "&amp;AN72&amp;" segundos de um lado e trocar para o outro na sequência | ","Manter a posição por "&amp;AN72&amp;" segundos | "),AU73="A","Realizar alternadamente "&amp;AN72&amp;" repetições cada lado | ",AU73="U","Realizar "&amp;AN72&amp;" repetições de um lado e trocar para o outro na sequência | ",AT73="P",OFFSET(Biblioteca!$H$2,MATCH(AU72,Biblioteca!$A$3:$A$200,0),0),TRUE,""))</f>
        <v/>
      </c>
      <c r="AM73" s="118" t="str">
        <f>IF(AI72="","",IFS(AT73="H","Carga Sugerida: "&amp;ROUNDUP(AW72/2,0)&amp;" kg de cada lado (Total: "&amp;ROUNDUP(AW72/2,0)*2&amp;" kg)",AT73="C","Este exercício usa o Peso Corporal como carga",AT73="E","Este exercício usa a resistência da banda elástica como carga",AT73="O","Carga Sugerida: "&amp;INT(AW72)&amp;" kg",TRUE,""))</f>
        <v/>
      </c>
      <c r="AR73" s="66"/>
      <c r="AS73" s="111">
        <f>AS72</f>
        <v>1</v>
      </c>
      <c r="AT73" s="120" t="str">
        <f>LEFT(AW73)</f>
        <v/>
      </c>
      <c r="AU73" s="121" t="str">
        <f>MID(AW73,2,1)</f>
        <v/>
      </c>
      <c r="AV73" s="122" t="str">
        <f>RIGHT(AW73)</f>
        <v/>
      </c>
      <c r="AW73" s="123" t="str">
        <f>IF(AU72="","",OFFSET(Biblioteca!$I$2,MATCH(AU72,Biblioteca!$A$3:$A$200,0),0))</f>
        <v/>
      </c>
      <c r="AX73" s="124"/>
      <c r="AY73" s="125"/>
      <c r="AZ73" s="117" t="str">
        <f>IF(AZ72="","",IFS(BK73="A",Montagem!$F$180,BM73="T","Realizar a maior quantidade de repetições por "&amp;BE72&amp;" segundos | ",BM73="I",IF(BL73="U","Manter a posição por "&amp;BE72&amp;" segundos de um lado e trocar para o outro na sequência | ","Manter a posição por "&amp;BE72&amp;" segundos | "),BL73="A","Realizar alternadamente "&amp;BE72&amp;" repetições cada lado | ",BL73="U","Realizar "&amp;BE72&amp;" repetições de um lado e trocar para o outro na sequência | ",BK73="P",OFFSET(Biblioteca!$H$2,MATCH(BL72,Biblioteca!$A$3:$A$200,0),0),TRUE,""))</f>
        <v/>
      </c>
      <c r="BD73" s="118" t="str">
        <f>IF(AZ72="","",IFS(BK73="H","Carga Sugerida: "&amp;ROUNDUP(BN72/2,0)&amp;" kg de cada lado (Total: "&amp;ROUNDUP(BN72/2,0)*2&amp;" kg)",BK73="C","Este exercício usa o Peso Corporal como carga",BK73="E","Este exercício usa a resistência da banda elástica como carga",BK73="O","Carga Sugerida: "&amp;INT(BN72)&amp;" kg",TRUE,""))</f>
        <v/>
      </c>
      <c r="BI73" s="66"/>
      <c r="BJ73" s="111">
        <f>BJ72</f>
        <v>1</v>
      </c>
      <c r="BK73" s="120" t="str">
        <f>LEFT(BN73)</f>
        <v/>
      </c>
      <c r="BL73" s="121" t="str">
        <f>MID(BN73,2,1)</f>
        <v/>
      </c>
      <c r="BM73" s="122" t="str">
        <f>RIGHT(BN73)</f>
        <v/>
      </c>
      <c r="BN73" s="123" t="str">
        <f>IF(BL72="","",OFFSET(Biblioteca!$I$2,MATCH(BL72,Biblioteca!$A$3:$A$200,0),0))</f>
        <v/>
      </c>
      <c r="BO73" s="124"/>
      <c r="BP73" s="125"/>
      <c r="BQ73" s="117" t="str">
        <f>IF(BQ72="","",IFS(CB73="A",Montagem!$G$180,CD73="T","Realizar a maior quantidade de repetições por "&amp;BV72&amp;" segundos | ",CD73="I",IF(CC73="U","Manter a posição por "&amp;BV72&amp;" segundos de um lado e trocar para o outro na sequência | ","Manter a posição por "&amp;BV72&amp;" segundos | "),CC73="A","Realizar alternadamente "&amp;BV72&amp;" repetições cada lado | ",CC73="U","Realizar "&amp;BV72&amp;" repetições de um lado e trocar para o outro na sequência | ",CB73="P",OFFSET(Biblioteca!$H$2,MATCH(CC72,Biblioteca!$A$3:$A$200,0),0),TRUE,""))</f>
        <v/>
      </c>
      <c r="BU73" s="118" t="str">
        <f>IF(BQ72="","",IFS(CB73="H","Carga Sugerida: "&amp;ROUNDUP(CE72/2,0)&amp;" kg de cada lado (Total: "&amp;ROUNDUP(CE72/2,0)*2&amp;" kg)",CB73="C","Este exercício usa o Peso Corporal como carga",CB73="E","Este exercício usa a resistência da banda elástica como carga",CB73="O","Carga Sugerida: "&amp;INT(CE72)&amp;" kg",TRUE,""))</f>
        <v/>
      </c>
      <c r="BZ73" s="66"/>
      <c r="CA73" s="111">
        <f>CA72</f>
        <v>1</v>
      </c>
      <c r="CB73" s="120" t="str">
        <f>LEFT(CE73)</f>
        <v/>
      </c>
      <c r="CC73" s="121" t="str">
        <f>MID(CE73,2,1)</f>
        <v/>
      </c>
      <c r="CD73" s="122" t="str">
        <f>RIGHT(CE73)</f>
        <v/>
      </c>
      <c r="CE73" s="123" t="str">
        <f>IF(CC72="","",OFFSET(Biblioteca!$I$2,MATCH(CC72,Biblioteca!$A$3:$A$200,0),0))</f>
        <v/>
      </c>
      <c r="CF73" s="124"/>
      <c r="CG73" s="125"/>
      <c r="CH73" s="117" t="str">
        <f>IF(CH72="","",IFS(CS73="A",Montagem!$H$180,CU73="T","Realizar a maior quantidade de repetições por "&amp;CM72&amp;" segundos | ",CU73="I",IF(CT73="U","Manter a posição por "&amp;CM72&amp;" segundos de um lado e trocar para o outro na sequência | ","Manter a posição por "&amp;CM72&amp;" segundos | "),CT73="A","Realizar alternadamente "&amp;CM72&amp;" repetições cada lado | ",CT73="U","Realizar "&amp;CM72&amp;" repetições de um lado e trocar para o outro na sequência | ",CS73="P",OFFSET(Biblioteca!$H$2,MATCH(CT72,Biblioteca!$A$3:$A$200,0),0),TRUE,""))</f>
        <v/>
      </c>
      <c r="CL73" s="118" t="str">
        <f>IF(CH72="","",IFS(CS73="H","Carga Sugerida: "&amp;ROUNDUP(CV72/2,0)&amp;" kg de cada lado (Total: "&amp;ROUNDUP(CV72/2,0)*2&amp;" kg)",CS73="C","Este exercício usa o Peso Corporal como carga",CS73="E","Este exercício usa a resistência da banda elástica como carga",CS73="O","Carga Sugerida: "&amp;INT(CV72)&amp;" kg",TRUE,""))</f>
        <v/>
      </c>
      <c r="CQ73" s="66"/>
      <c r="CR73" s="111">
        <f>CR72</f>
        <v>1</v>
      </c>
      <c r="CS73" s="120" t="str">
        <f>LEFT(CV73)</f>
        <v/>
      </c>
      <c r="CT73" s="121" t="str">
        <f>MID(CV73,2,1)</f>
        <v/>
      </c>
      <c r="CU73" s="122" t="str">
        <f>RIGHT(CV73)</f>
        <v/>
      </c>
      <c r="CV73" s="123" t="str">
        <f>IF(CT72="","",OFFSET(Biblioteca!$I$2,MATCH(CT72,Biblioteca!$A$3:$A$200,0),0))</f>
        <v/>
      </c>
      <c r="CW73" s="124"/>
      <c r="CX73" s="125"/>
      <c r="CY73" s="117" t="str">
        <f>IF(CY72="","",IFS(DJ73="A",Montagem!$I$180,DL73="T","Realizar a maior quantidade de repetições por "&amp;DD72&amp;" segundos | ",DL73="I",IF(DK73="U","Manter a posição por "&amp;DD72&amp;" segundos de um lado e trocar para o outro na sequência | ","Manter a posição por "&amp;DD72&amp;" segundos | "),DK73="A","Realizar alternadamente "&amp;DD72&amp;" repetições cada lado | ",DK73="U","Realizar "&amp;DD72&amp;" repetições de um lado e trocar para o outro na sequência | ",DJ73="P",OFFSET(Biblioteca!$H$2,MATCH(DK72,Biblioteca!$A$3:$A$200,0),0),TRUE,""))</f>
        <v/>
      </c>
      <c r="DC73" s="118" t="str">
        <f>IF(CY72="","",IFS(DJ73="H","Carga Sugerida: "&amp;ROUNDUP(DM72/2,0)&amp;" kg de cada lado (Total: "&amp;ROUNDUP(DM72/2,0)*2&amp;" kg)",DJ73="C","Este exercício usa o Peso Corporal como carga",DJ73="E","Este exercício usa a resistência da banda elástica como carga",DJ73="O","Carga Sugerida: "&amp;INT(DM72)&amp;" kg",TRUE,""))</f>
        <v/>
      </c>
      <c r="DH73" s="66"/>
      <c r="DI73" s="111">
        <f>DI72</f>
        <v>1</v>
      </c>
      <c r="DJ73" s="120" t="str">
        <f>LEFT(DM73)</f>
        <v/>
      </c>
      <c r="DK73" s="121" t="str">
        <f>MID(DM73,2,1)</f>
        <v/>
      </c>
      <c r="DL73" s="122" t="str">
        <f>RIGHT(DM73)</f>
        <v/>
      </c>
      <c r="DM73" s="123" t="str">
        <f>IF(DK72="","",OFFSET(Biblioteca!$I$2,MATCH(DK72,Biblioteca!$A$3:$A$200,0),0))</f>
        <v/>
      </c>
      <c r="DN73" s="124"/>
      <c r="DO73" s="125"/>
      <c r="DP73" s="57"/>
      <c r="DQ73" s="56"/>
      <c r="DR73" s="56"/>
      <c r="DS73" s="56"/>
      <c r="DT73" s="56"/>
      <c r="DU73" s="56"/>
      <c r="DV73" s="56"/>
      <c r="DW73" s="56"/>
      <c r="DX73" s="56"/>
      <c r="DY73" s="56"/>
    </row>
    <row r="74">
      <c r="A74" s="154" t="s">
        <v>49</v>
      </c>
      <c r="B74" s="155"/>
      <c r="C74" s="155"/>
      <c r="D74" s="155"/>
      <c r="E74" s="155"/>
      <c r="F74" s="155"/>
      <c r="G74" s="155"/>
      <c r="H74" s="155"/>
      <c r="I74" s="155"/>
      <c r="J74" s="156"/>
      <c r="K74" s="57"/>
      <c r="L74" s="57"/>
      <c r="M74" s="57"/>
      <c r="N74" s="57"/>
      <c r="O74" s="57"/>
      <c r="P74" s="57"/>
      <c r="Q74" s="58"/>
      <c r="R74" s="154" t="s">
        <v>49</v>
      </c>
      <c r="S74" s="155"/>
      <c r="T74" s="155"/>
      <c r="U74" s="155"/>
      <c r="V74" s="155"/>
      <c r="W74" s="155"/>
      <c r="X74" s="155"/>
      <c r="Y74" s="155"/>
      <c r="Z74" s="155"/>
      <c r="AA74" s="156"/>
      <c r="AB74" s="57"/>
      <c r="AC74" s="57"/>
      <c r="AD74" s="57"/>
      <c r="AE74" s="57"/>
      <c r="AF74" s="57"/>
      <c r="AG74" s="57"/>
      <c r="AH74" s="58"/>
      <c r="AI74" s="154" t="s">
        <v>49</v>
      </c>
      <c r="AJ74" s="155"/>
      <c r="AK74" s="155"/>
      <c r="AL74" s="155"/>
      <c r="AM74" s="155"/>
      <c r="AN74" s="155"/>
      <c r="AO74" s="155"/>
      <c r="AP74" s="155"/>
      <c r="AQ74" s="155"/>
      <c r="AR74" s="156"/>
      <c r="AS74" s="57"/>
      <c r="AT74" s="57"/>
      <c r="AU74" s="57"/>
      <c r="AV74" s="57"/>
      <c r="AW74" s="57"/>
      <c r="AX74" s="57"/>
      <c r="AY74" s="58"/>
      <c r="AZ74" s="154" t="s">
        <v>49</v>
      </c>
      <c r="BA74" s="155"/>
      <c r="BB74" s="155"/>
      <c r="BC74" s="155"/>
      <c r="BD74" s="155"/>
      <c r="BE74" s="155"/>
      <c r="BF74" s="155"/>
      <c r="BG74" s="155"/>
      <c r="BH74" s="155"/>
      <c r="BI74" s="156"/>
      <c r="BJ74" s="57"/>
      <c r="BK74" s="57"/>
      <c r="BL74" s="57"/>
      <c r="BM74" s="57"/>
      <c r="BN74" s="57"/>
      <c r="BO74" s="57"/>
      <c r="BP74" s="58"/>
      <c r="BQ74" s="154" t="s">
        <v>49</v>
      </c>
      <c r="BR74" s="155"/>
      <c r="BS74" s="155"/>
      <c r="BT74" s="155"/>
      <c r="BU74" s="155"/>
      <c r="BV74" s="155"/>
      <c r="BW74" s="155"/>
      <c r="BX74" s="155"/>
      <c r="BY74" s="155"/>
      <c r="BZ74" s="156"/>
      <c r="CA74" s="57"/>
      <c r="CB74" s="57"/>
      <c r="CC74" s="57"/>
      <c r="CD74" s="57"/>
      <c r="CE74" s="57"/>
      <c r="CF74" s="57"/>
      <c r="CG74" s="58"/>
      <c r="CH74" s="154" t="s">
        <v>49</v>
      </c>
      <c r="CI74" s="155"/>
      <c r="CJ74" s="155"/>
      <c r="CK74" s="155"/>
      <c r="CL74" s="155"/>
      <c r="CM74" s="155"/>
      <c r="CN74" s="155"/>
      <c r="CO74" s="155"/>
      <c r="CP74" s="155"/>
      <c r="CQ74" s="156"/>
      <c r="CR74" s="57"/>
      <c r="CS74" s="57"/>
      <c r="CT74" s="57"/>
      <c r="CU74" s="57"/>
      <c r="CV74" s="57"/>
      <c r="CW74" s="57"/>
      <c r="CX74" s="58"/>
      <c r="CY74" s="154" t="s">
        <v>49</v>
      </c>
      <c r="CZ74" s="155"/>
      <c r="DA74" s="155"/>
      <c r="DB74" s="155"/>
      <c r="DC74" s="155"/>
      <c r="DD74" s="155"/>
      <c r="DE74" s="155"/>
      <c r="DF74" s="155"/>
      <c r="DG74" s="155"/>
      <c r="DH74" s="156"/>
      <c r="DI74" s="57"/>
      <c r="DJ74" s="57"/>
      <c r="DK74" s="57"/>
      <c r="DL74" s="57"/>
      <c r="DM74" s="57"/>
      <c r="DN74" s="57"/>
      <c r="DO74" s="58"/>
      <c r="DP74" s="57"/>
      <c r="DQ74" s="56"/>
      <c r="DR74" s="56"/>
      <c r="DS74" s="56"/>
      <c r="DT74" s="56"/>
      <c r="DU74" s="56"/>
      <c r="DV74" s="56"/>
      <c r="DW74" s="56"/>
      <c r="DX74" s="56"/>
      <c r="DY74" s="56"/>
    </row>
    <row r="75">
      <c r="A75" s="159"/>
      <c r="J75" s="66"/>
      <c r="K75" s="158"/>
      <c r="L75" s="158"/>
      <c r="M75" s="158"/>
      <c r="N75" s="158"/>
      <c r="O75" s="158"/>
      <c r="P75" s="158"/>
      <c r="Q75" s="158"/>
      <c r="R75" s="159"/>
      <c r="AA75" s="66"/>
      <c r="AB75" s="158"/>
      <c r="AC75" s="158"/>
      <c r="AD75" s="158"/>
      <c r="AE75" s="158"/>
      <c r="AF75" s="158"/>
      <c r="AG75" s="158"/>
      <c r="AH75" s="158"/>
      <c r="AI75" s="159"/>
      <c r="AR75" s="66"/>
      <c r="AS75" s="158"/>
      <c r="AT75" s="158"/>
      <c r="AU75" s="158"/>
      <c r="AV75" s="158"/>
      <c r="AW75" s="158"/>
      <c r="AX75" s="158"/>
      <c r="AY75" s="158"/>
      <c r="AZ75" s="160"/>
      <c r="BI75" s="66"/>
      <c r="BJ75" s="158"/>
      <c r="BK75" s="158"/>
      <c r="BL75" s="158"/>
      <c r="BM75" s="158"/>
      <c r="BN75" s="158"/>
      <c r="BO75" s="158"/>
      <c r="BP75" s="158"/>
      <c r="BQ75" s="160"/>
      <c r="BZ75" s="66"/>
      <c r="CA75" s="158"/>
      <c r="CB75" s="158"/>
      <c r="CC75" s="158"/>
      <c r="CD75" s="158"/>
      <c r="CE75" s="158"/>
      <c r="CF75" s="158"/>
      <c r="CG75" s="158"/>
      <c r="CH75" s="159"/>
      <c r="CQ75" s="66"/>
      <c r="CR75" s="158"/>
      <c r="CS75" s="158"/>
      <c r="CT75" s="158"/>
      <c r="CU75" s="158"/>
      <c r="CV75" s="158"/>
      <c r="CW75" s="158"/>
      <c r="CX75" s="158"/>
      <c r="CY75" s="159"/>
      <c r="DH75" s="66"/>
      <c r="DI75" s="57"/>
      <c r="DJ75" s="57"/>
      <c r="DK75" s="57"/>
      <c r="DL75" s="57"/>
      <c r="DM75" s="57"/>
      <c r="DN75" s="57"/>
      <c r="DO75" s="58"/>
      <c r="DP75" s="57"/>
      <c r="DQ75" s="56"/>
      <c r="DR75" s="56"/>
      <c r="DS75" s="56"/>
      <c r="DT75" s="56"/>
      <c r="DU75" s="56"/>
      <c r="DV75" s="56"/>
      <c r="DW75" s="56"/>
      <c r="DX75" s="56"/>
      <c r="DY75" s="56"/>
    </row>
    <row r="76">
      <c r="A76" s="159"/>
      <c r="J76" s="66"/>
      <c r="K76" s="158"/>
      <c r="L76" s="158"/>
      <c r="M76" s="158"/>
      <c r="N76" s="158"/>
      <c r="O76" s="158"/>
      <c r="P76" s="158"/>
      <c r="Q76" s="158"/>
      <c r="R76" s="159"/>
      <c r="AA76" s="66"/>
      <c r="AB76" s="158"/>
      <c r="AC76" s="158"/>
      <c r="AD76" s="158"/>
      <c r="AE76" s="158"/>
      <c r="AF76" s="158"/>
      <c r="AG76" s="158"/>
      <c r="AH76" s="158"/>
      <c r="AI76" s="159"/>
      <c r="AR76" s="66"/>
      <c r="AS76" s="158"/>
      <c r="AT76" s="158"/>
      <c r="AU76" s="158"/>
      <c r="AV76" s="158"/>
      <c r="AW76" s="158"/>
      <c r="AX76" s="158"/>
      <c r="AY76" s="158"/>
      <c r="AZ76" s="160"/>
      <c r="BI76" s="66"/>
      <c r="BJ76" s="158"/>
      <c r="BK76" s="158"/>
      <c r="BL76" s="158"/>
      <c r="BM76" s="158"/>
      <c r="BN76" s="158"/>
      <c r="BO76" s="158"/>
      <c r="BP76" s="158"/>
      <c r="BQ76" s="160"/>
      <c r="BZ76" s="66"/>
      <c r="CA76" s="158"/>
      <c r="CB76" s="158"/>
      <c r="CC76" s="158"/>
      <c r="CD76" s="158"/>
      <c r="CE76" s="158"/>
      <c r="CF76" s="158"/>
      <c r="CG76" s="158"/>
      <c r="CH76" s="159"/>
      <c r="CQ76" s="66"/>
      <c r="CR76" s="158"/>
      <c r="CS76" s="158"/>
      <c r="CT76" s="158"/>
      <c r="CU76" s="158"/>
      <c r="CV76" s="158"/>
      <c r="CW76" s="158"/>
      <c r="CX76" s="158"/>
      <c r="CY76" s="159"/>
      <c r="DH76" s="66"/>
      <c r="DI76" s="57"/>
      <c r="DJ76" s="57"/>
      <c r="DK76" s="57"/>
      <c r="DL76" s="57"/>
      <c r="DM76" s="57"/>
      <c r="DN76" s="57"/>
      <c r="DO76" s="58"/>
      <c r="DP76" s="57"/>
      <c r="DQ76" s="56"/>
      <c r="DR76" s="56"/>
      <c r="DS76" s="56"/>
      <c r="DT76" s="56"/>
      <c r="DU76" s="56"/>
      <c r="DV76" s="56"/>
      <c r="DW76" s="56"/>
      <c r="DX76" s="56"/>
      <c r="DY76" s="56"/>
    </row>
    <row r="77">
      <c r="A77" s="159"/>
      <c r="J77" s="66"/>
      <c r="K77" s="158"/>
      <c r="L77" s="158"/>
      <c r="M77" s="158"/>
      <c r="N77" s="158"/>
      <c r="O77" s="158"/>
      <c r="P77" s="158"/>
      <c r="Q77" s="158"/>
      <c r="R77" s="159"/>
      <c r="AA77" s="66"/>
      <c r="AB77" s="158"/>
      <c r="AC77" s="158"/>
      <c r="AD77" s="158"/>
      <c r="AE77" s="158"/>
      <c r="AF77" s="158"/>
      <c r="AG77" s="158"/>
      <c r="AH77" s="158"/>
      <c r="AI77" s="159"/>
      <c r="AR77" s="66"/>
      <c r="AS77" s="158"/>
      <c r="AT77" s="158"/>
      <c r="AU77" s="158"/>
      <c r="AV77" s="158"/>
      <c r="AW77" s="158"/>
      <c r="AX77" s="158"/>
      <c r="AY77" s="158"/>
      <c r="AZ77" s="160"/>
      <c r="BI77" s="66"/>
      <c r="BJ77" s="158"/>
      <c r="BK77" s="158"/>
      <c r="BL77" s="158"/>
      <c r="BM77" s="158"/>
      <c r="BN77" s="158"/>
      <c r="BO77" s="158"/>
      <c r="BP77" s="158"/>
      <c r="BQ77" s="160"/>
      <c r="BZ77" s="66"/>
      <c r="CA77" s="158"/>
      <c r="CB77" s="158"/>
      <c r="CC77" s="158"/>
      <c r="CD77" s="158"/>
      <c r="CE77" s="158"/>
      <c r="CF77" s="158"/>
      <c r="CG77" s="158"/>
      <c r="CH77" s="159"/>
      <c r="CQ77" s="66"/>
      <c r="CR77" s="158"/>
      <c r="CS77" s="158"/>
      <c r="CT77" s="158"/>
      <c r="CU77" s="158"/>
      <c r="CV77" s="158"/>
      <c r="CW77" s="158"/>
      <c r="CX77" s="158"/>
      <c r="CY77" s="159"/>
      <c r="DH77" s="66"/>
      <c r="DI77" s="57"/>
      <c r="DJ77" s="57"/>
      <c r="DK77" s="57"/>
      <c r="DL77" s="57"/>
      <c r="DM77" s="57"/>
      <c r="DN77" s="57"/>
      <c r="DO77" s="58"/>
      <c r="DP77" s="57"/>
      <c r="DQ77" s="56"/>
      <c r="DR77" s="56"/>
      <c r="DS77" s="56"/>
      <c r="DT77" s="56"/>
      <c r="DU77" s="56"/>
      <c r="DV77" s="56"/>
      <c r="DW77" s="56"/>
      <c r="DX77" s="56"/>
      <c r="DY77" s="56"/>
    </row>
    <row r="78">
      <c r="A78" s="159"/>
      <c r="J78" s="66"/>
      <c r="K78" s="158"/>
      <c r="L78" s="158"/>
      <c r="M78" s="158"/>
      <c r="N78" s="158"/>
      <c r="O78" s="158"/>
      <c r="P78" s="158"/>
      <c r="Q78" s="158"/>
      <c r="R78" s="159"/>
      <c r="AA78" s="66"/>
      <c r="AB78" s="158"/>
      <c r="AC78" s="158"/>
      <c r="AD78" s="158"/>
      <c r="AE78" s="158"/>
      <c r="AF78" s="158"/>
      <c r="AG78" s="158"/>
      <c r="AH78" s="158"/>
      <c r="AI78" s="159"/>
      <c r="AR78" s="66"/>
      <c r="AS78" s="158"/>
      <c r="AT78" s="158"/>
      <c r="AU78" s="158"/>
      <c r="AV78" s="158"/>
      <c r="AW78" s="158"/>
      <c r="AX78" s="158"/>
      <c r="AY78" s="158"/>
      <c r="AZ78" s="160"/>
      <c r="BI78" s="66"/>
      <c r="BJ78" s="158"/>
      <c r="BK78" s="158"/>
      <c r="BL78" s="158"/>
      <c r="BM78" s="158"/>
      <c r="BN78" s="158"/>
      <c r="BO78" s="158"/>
      <c r="BP78" s="158"/>
      <c r="BQ78" s="160"/>
      <c r="BZ78" s="66"/>
      <c r="CA78" s="158"/>
      <c r="CB78" s="158"/>
      <c r="CC78" s="158"/>
      <c r="CD78" s="158"/>
      <c r="CE78" s="158"/>
      <c r="CF78" s="158"/>
      <c r="CG78" s="158"/>
      <c r="CH78" s="159"/>
      <c r="CQ78" s="66"/>
      <c r="CR78" s="158"/>
      <c r="CS78" s="158"/>
      <c r="CT78" s="158"/>
      <c r="CU78" s="158"/>
      <c r="CV78" s="158"/>
      <c r="CW78" s="158"/>
      <c r="CX78" s="158"/>
      <c r="CY78" s="159"/>
      <c r="DH78" s="66"/>
      <c r="DI78" s="57"/>
      <c r="DJ78" s="57"/>
      <c r="DK78" s="57"/>
      <c r="DL78" s="57"/>
      <c r="DM78" s="57"/>
      <c r="DN78" s="57"/>
      <c r="DO78" s="58"/>
      <c r="DP78" s="57"/>
      <c r="DQ78" s="56"/>
      <c r="DR78" s="56"/>
      <c r="DS78" s="56"/>
      <c r="DT78" s="56"/>
      <c r="DU78" s="56"/>
      <c r="DV78" s="56"/>
      <c r="DW78" s="56"/>
      <c r="DX78" s="56"/>
      <c r="DY78" s="56"/>
    </row>
    <row r="79">
      <c r="A79" s="165"/>
      <c r="B79" s="163"/>
      <c r="C79" s="163"/>
      <c r="D79" s="163"/>
      <c r="E79" s="163"/>
      <c r="F79" s="163"/>
      <c r="G79" s="163"/>
      <c r="H79" s="163"/>
      <c r="I79" s="163"/>
      <c r="J79" s="164"/>
      <c r="K79" s="158"/>
      <c r="L79" s="158"/>
      <c r="M79" s="158"/>
      <c r="N79" s="158"/>
      <c r="O79" s="158"/>
      <c r="P79" s="158"/>
      <c r="Q79" s="158"/>
      <c r="R79" s="165"/>
      <c r="S79" s="163"/>
      <c r="T79" s="163"/>
      <c r="U79" s="163"/>
      <c r="V79" s="163"/>
      <c r="W79" s="163"/>
      <c r="X79" s="163"/>
      <c r="Y79" s="163"/>
      <c r="Z79" s="163"/>
      <c r="AA79" s="164"/>
      <c r="AB79" s="158"/>
      <c r="AC79" s="158"/>
      <c r="AD79" s="158"/>
      <c r="AE79" s="158"/>
      <c r="AF79" s="158"/>
      <c r="AG79" s="158"/>
      <c r="AH79" s="158"/>
      <c r="AI79" s="165"/>
      <c r="AJ79" s="163"/>
      <c r="AK79" s="163"/>
      <c r="AL79" s="163"/>
      <c r="AM79" s="163"/>
      <c r="AN79" s="163"/>
      <c r="AO79" s="163"/>
      <c r="AP79" s="163"/>
      <c r="AQ79" s="163"/>
      <c r="AR79" s="164"/>
      <c r="AS79" s="158"/>
      <c r="AT79" s="158"/>
      <c r="AU79" s="158"/>
      <c r="AV79" s="158"/>
      <c r="AW79" s="158"/>
      <c r="AX79" s="158"/>
      <c r="AY79" s="158"/>
      <c r="AZ79" s="166"/>
      <c r="BA79" s="163"/>
      <c r="BB79" s="163"/>
      <c r="BC79" s="163"/>
      <c r="BD79" s="163"/>
      <c r="BE79" s="163"/>
      <c r="BF79" s="163"/>
      <c r="BG79" s="163"/>
      <c r="BH79" s="163"/>
      <c r="BI79" s="164"/>
      <c r="BJ79" s="158"/>
      <c r="BK79" s="158"/>
      <c r="BL79" s="158"/>
      <c r="BM79" s="158"/>
      <c r="BN79" s="158"/>
      <c r="BO79" s="158"/>
      <c r="BP79" s="158"/>
      <c r="BQ79" s="165"/>
      <c r="BR79" s="163"/>
      <c r="BS79" s="163"/>
      <c r="BT79" s="163"/>
      <c r="BU79" s="163"/>
      <c r="BV79" s="163"/>
      <c r="BW79" s="163"/>
      <c r="BX79" s="163"/>
      <c r="BY79" s="163"/>
      <c r="BZ79" s="164"/>
      <c r="CA79" s="158"/>
      <c r="CB79" s="158"/>
      <c r="CC79" s="158"/>
      <c r="CD79" s="158"/>
      <c r="CE79" s="158"/>
      <c r="CF79" s="158"/>
      <c r="CG79" s="158"/>
      <c r="CH79" s="165"/>
      <c r="CI79" s="163"/>
      <c r="CJ79" s="163"/>
      <c r="CK79" s="163"/>
      <c r="CL79" s="163"/>
      <c r="CM79" s="163"/>
      <c r="CN79" s="163"/>
      <c r="CO79" s="163"/>
      <c r="CP79" s="163"/>
      <c r="CQ79" s="164"/>
      <c r="CR79" s="158"/>
      <c r="CS79" s="158"/>
      <c r="CT79" s="158"/>
      <c r="CU79" s="158"/>
      <c r="CV79" s="158"/>
      <c r="CW79" s="158"/>
      <c r="CX79" s="158"/>
      <c r="CY79" s="165"/>
      <c r="CZ79" s="163"/>
      <c r="DA79" s="163"/>
      <c r="DB79" s="163"/>
      <c r="DC79" s="163"/>
      <c r="DD79" s="163"/>
      <c r="DE79" s="163"/>
      <c r="DF79" s="163"/>
      <c r="DG79" s="163"/>
      <c r="DH79" s="164"/>
      <c r="DI79" s="57"/>
      <c r="DJ79" s="57"/>
      <c r="DK79" s="57"/>
      <c r="DL79" s="57"/>
      <c r="DM79" s="57"/>
      <c r="DN79" s="57"/>
      <c r="DO79" s="58"/>
      <c r="DP79" s="57"/>
      <c r="DQ79" s="56"/>
      <c r="DR79" s="56"/>
      <c r="DS79" s="56"/>
      <c r="DT79" s="56"/>
      <c r="DU79" s="56"/>
      <c r="DV79" s="56"/>
      <c r="DW79" s="56"/>
      <c r="DX79" s="56"/>
      <c r="DY79" s="56"/>
    </row>
    <row r="80">
      <c r="A80" s="167" t="s">
        <v>50</v>
      </c>
      <c r="B80" s="168"/>
      <c r="C80" s="168"/>
      <c r="D80" s="169"/>
      <c r="E80" s="168"/>
      <c r="F80" s="168"/>
      <c r="G80" s="168"/>
      <c r="H80" s="168"/>
      <c r="I80" s="168"/>
      <c r="J80" s="170"/>
      <c r="K80" s="106" t="str">
        <f>Montagem!X196</f>
        <v/>
      </c>
      <c r="L80" s="57">
        <f>MAX(M80,K80)</f>
        <v>0</v>
      </c>
      <c r="M80" s="57">
        <f>LEFT(D80,2)+0</f>
        <v>0</v>
      </c>
      <c r="N80" s="57"/>
      <c r="O80" s="57"/>
      <c r="P80" s="57"/>
      <c r="Q80" s="58"/>
      <c r="R80" s="167" t="s">
        <v>50</v>
      </c>
      <c r="S80" s="168"/>
      <c r="T80" s="168"/>
      <c r="U80" s="169"/>
      <c r="V80" s="168"/>
      <c r="W80" s="168"/>
      <c r="X80" s="168"/>
      <c r="Y80" s="168"/>
      <c r="Z80" s="168"/>
      <c r="AA80" s="170"/>
      <c r="AB80" s="106" t="str">
        <f>Montagem!AM196</f>
        <v/>
      </c>
      <c r="AC80" s="57">
        <f>MAX(AD80,AB80)</f>
        <v>0</v>
      </c>
      <c r="AD80" s="57">
        <f>LEFT(U80,2)+0</f>
        <v>0</v>
      </c>
      <c r="AE80" s="57"/>
      <c r="AF80" s="57"/>
      <c r="AG80" s="57"/>
      <c r="AH80" s="58"/>
      <c r="AI80" s="167" t="s">
        <v>50</v>
      </c>
      <c r="AJ80" s="168"/>
      <c r="AK80" s="168"/>
      <c r="AL80" s="169"/>
      <c r="AM80" s="168"/>
      <c r="AN80" s="168"/>
      <c r="AO80" s="168"/>
      <c r="AP80" s="168"/>
      <c r="AQ80" s="168"/>
      <c r="AR80" s="170"/>
      <c r="AS80" s="106" t="str">
        <f>Montagem!BB196</f>
        <v/>
      </c>
      <c r="AT80" s="57">
        <f>MAX(AU80,AS80)</f>
        <v>0</v>
      </c>
      <c r="AU80" s="57">
        <f>LEFT(AL80,2)+0</f>
        <v>0</v>
      </c>
      <c r="AV80" s="57"/>
      <c r="AW80" s="57"/>
      <c r="AX80" s="57"/>
      <c r="AY80" s="58"/>
      <c r="AZ80" s="167" t="s">
        <v>50</v>
      </c>
      <c r="BA80" s="168"/>
      <c r="BB80" s="168"/>
      <c r="BC80" s="169"/>
      <c r="BD80" s="168"/>
      <c r="BE80" s="168"/>
      <c r="BF80" s="168"/>
      <c r="BG80" s="168"/>
      <c r="BH80" s="168"/>
      <c r="BI80" s="170"/>
      <c r="BJ80" s="106" t="str">
        <f>Montagem!BQ196</f>
        <v/>
      </c>
      <c r="BK80" s="57">
        <f>MAX(BL80,BJ80)</f>
        <v>0</v>
      </c>
      <c r="BL80" s="57">
        <f>LEFT(BC80,2)+0</f>
        <v>0</v>
      </c>
      <c r="BM80" s="57"/>
      <c r="BN80" s="57"/>
      <c r="BO80" s="57"/>
      <c r="BP80" s="58"/>
      <c r="BQ80" s="167" t="s">
        <v>50</v>
      </c>
      <c r="BR80" s="168"/>
      <c r="BS80" s="168"/>
      <c r="BT80" s="169"/>
      <c r="BU80" s="168"/>
      <c r="BV80" s="168"/>
      <c r="BW80" s="168"/>
      <c r="BX80" s="168"/>
      <c r="BY80" s="168"/>
      <c r="BZ80" s="170"/>
      <c r="CA80" s="106" t="str">
        <f>Montagem!CF196</f>
        <v/>
      </c>
      <c r="CB80" s="57">
        <f>MAX(CC80,CA80)</f>
        <v>0</v>
      </c>
      <c r="CC80" s="57">
        <f>LEFT(BT80,2)+0</f>
        <v>0</v>
      </c>
      <c r="CD80" s="57"/>
      <c r="CE80" s="57"/>
      <c r="CF80" s="57"/>
      <c r="CG80" s="58"/>
      <c r="CH80" s="167" t="s">
        <v>50</v>
      </c>
      <c r="CI80" s="168"/>
      <c r="CJ80" s="168"/>
      <c r="CK80" s="169"/>
      <c r="CL80" s="168"/>
      <c r="CM80" s="168"/>
      <c r="CN80" s="168"/>
      <c r="CO80" s="168"/>
      <c r="CP80" s="168"/>
      <c r="CQ80" s="170"/>
      <c r="CR80" s="106" t="str">
        <f>Montagem!CU196</f>
        <v/>
      </c>
      <c r="CS80" s="57">
        <f>MAX(CT80,CR80)</f>
        <v>0</v>
      </c>
      <c r="CT80" s="57">
        <f>LEFT(CK80,2)+0</f>
        <v>0</v>
      </c>
      <c r="CU80" s="57"/>
      <c r="CV80" s="57"/>
      <c r="CW80" s="57"/>
      <c r="CX80" s="58"/>
      <c r="CY80" s="167" t="s">
        <v>50</v>
      </c>
      <c r="CZ80" s="168"/>
      <c r="DA80" s="168"/>
      <c r="DB80" s="169"/>
      <c r="DC80" s="168"/>
      <c r="DD80" s="168"/>
      <c r="DE80" s="168"/>
      <c r="DF80" s="168"/>
      <c r="DG80" s="168"/>
      <c r="DH80" s="170"/>
      <c r="DI80" s="106" t="str">
        <f>Montagem!DJ196</f>
        <v/>
      </c>
      <c r="DJ80" s="57">
        <f>MAX(DK80,DI80)</f>
        <v>0</v>
      </c>
      <c r="DK80" s="57">
        <f>LEFT(DB80,2)+0</f>
        <v>0</v>
      </c>
      <c r="DL80" s="57"/>
      <c r="DM80" s="57"/>
      <c r="DN80" s="57"/>
      <c r="DO80" s="58"/>
      <c r="DP80" s="57"/>
      <c r="DQ80" s="56"/>
      <c r="DR80" s="56"/>
      <c r="DS80" s="56"/>
      <c r="DT80" s="56"/>
      <c r="DU80" s="56"/>
      <c r="DV80" s="56"/>
      <c r="DW80" s="56"/>
      <c r="DX80" s="56"/>
      <c r="DY80" s="56"/>
    </row>
    <row r="81">
      <c r="A81" s="171" t="s">
        <v>51</v>
      </c>
      <c r="J81" s="66"/>
      <c r="K81" s="57"/>
      <c r="L81" s="57"/>
      <c r="M81" s="57"/>
      <c r="N81" s="57"/>
      <c r="O81" s="57"/>
      <c r="P81" s="57"/>
      <c r="Q81" s="58"/>
      <c r="R81" s="171" t="s">
        <v>51</v>
      </c>
      <c r="AA81" s="66"/>
      <c r="AB81" s="57"/>
      <c r="AC81" s="57"/>
      <c r="AD81" s="57"/>
      <c r="AE81" s="57"/>
      <c r="AF81" s="57"/>
      <c r="AG81" s="57"/>
      <c r="AH81" s="58"/>
      <c r="AI81" s="171" t="s">
        <v>51</v>
      </c>
      <c r="AR81" s="66"/>
      <c r="AS81" s="57"/>
      <c r="AT81" s="57"/>
      <c r="AU81" s="57"/>
      <c r="AV81" s="57"/>
      <c r="AW81" s="57"/>
      <c r="AX81" s="57"/>
      <c r="AY81" s="58"/>
      <c r="AZ81" s="171" t="s">
        <v>51</v>
      </c>
      <c r="BI81" s="66"/>
      <c r="BJ81" s="57"/>
      <c r="BK81" s="57"/>
      <c r="BL81" s="57"/>
      <c r="BM81" s="57"/>
      <c r="BN81" s="57"/>
      <c r="BO81" s="57"/>
      <c r="BP81" s="58"/>
      <c r="BQ81" s="171" t="s">
        <v>51</v>
      </c>
      <c r="BZ81" s="66"/>
      <c r="CA81" s="57"/>
      <c r="CB81" s="57"/>
      <c r="CC81" s="57"/>
      <c r="CD81" s="57"/>
      <c r="CE81" s="57"/>
      <c r="CF81" s="57"/>
      <c r="CG81" s="58"/>
      <c r="CH81" s="171" t="s">
        <v>51</v>
      </c>
      <c r="CQ81" s="66"/>
      <c r="CR81" s="57"/>
      <c r="CS81" s="57"/>
      <c r="CT81" s="57"/>
      <c r="CU81" s="57"/>
      <c r="CV81" s="57"/>
      <c r="CW81" s="57"/>
      <c r="CX81" s="58"/>
      <c r="CY81" s="171" t="s">
        <v>51</v>
      </c>
      <c r="DH81" s="66"/>
      <c r="DI81" s="57"/>
      <c r="DJ81" s="57"/>
      <c r="DK81" s="57"/>
      <c r="DL81" s="57"/>
      <c r="DM81" s="57"/>
      <c r="DN81" s="57"/>
      <c r="DO81" s="58"/>
      <c r="DP81" s="57"/>
      <c r="DQ81" s="56"/>
      <c r="DR81" s="56"/>
      <c r="DS81" s="56"/>
      <c r="DT81" s="56"/>
      <c r="DU81" s="56"/>
      <c r="DV81" s="56"/>
      <c r="DW81" s="56"/>
      <c r="DX81" s="56"/>
      <c r="DY81" s="56"/>
    </row>
    <row r="82">
      <c r="A82" s="172" t="s">
        <v>52</v>
      </c>
      <c r="B82" s="215"/>
      <c r="C82" s="174" t="s">
        <v>53</v>
      </c>
      <c r="D82" s="216"/>
      <c r="E82" s="174" t="s">
        <v>54</v>
      </c>
      <c r="F82" s="175"/>
      <c r="G82" s="217"/>
      <c r="H82" s="175"/>
      <c r="I82" s="175"/>
      <c r="J82" s="177"/>
      <c r="K82" s="57"/>
      <c r="L82" s="57"/>
      <c r="M82" s="57"/>
      <c r="N82" s="57"/>
      <c r="O82" s="57"/>
      <c r="P82" s="57"/>
      <c r="Q82" s="58"/>
      <c r="R82" s="172" t="s">
        <v>52</v>
      </c>
      <c r="S82" s="181"/>
      <c r="T82" s="174" t="s">
        <v>53</v>
      </c>
      <c r="U82" s="181"/>
      <c r="V82" s="174" t="s">
        <v>54</v>
      </c>
      <c r="W82" s="175"/>
      <c r="X82" s="182"/>
      <c r="Y82" s="175"/>
      <c r="Z82" s="175"/>
      <c r="AA82" s="177"/>
      <c r="AB82" s="57"/>
      <c r="AC82" s="57"/>
      <c r="AD82" s="57"/>
      <c r="AE82" s="57"/>
      <c r="AF82" s="57"/>
      <c r="AG82" s="57"/>
      <c r="AH82" s="58"/>
      <c r="AI82" s="172" t="s">
        <v>52</v>
      </c>
      <c r="AJ82" s="178"/>
      <c r="AK82" s="174" t="s">
        <v>53</v>
      </c>
      <c r="AL82" s="179"/>
      <c r="AM82" s="174" t="s">
        <v>54</v>
      </c>
      <c r="AN82" s="175"/>
      <c r="AO82" s="180"/>
      <c r="AP82" s="175"/>
      <c r="AQ82" s="175"/>
      <c r="AR82" s="177"/>
      <c r="AS82" s="57"/>
      <c r="AT82" s="57"/>
      <c r="AU82" s="57"/>
      <c r="AV82" s="57"/>
      <c r="AW82" s="57"/>
      <c r="AX82" s="57"/>
      <c r="AY82" s="58"/>
      <c r="AZ82" s="172" t="s">
        <v>52</v>
      </c>
      <c r="BA82" s="181"/>
      <c r="BB82" s="174" t="s">
        <v>53</v>
      </c>
      <c r="BC82" s="181"/>
      <c r="BD82" s="174" t="s">
        <v>54</v>
      </c>
      <c r="BE82" s="175"/>
      <c r="BF82" s="182"/>
      <c r="BG82" s="175"/>
      <c r="BH82" s="175"/>
      <c r="BI82" s="177"/>
      <c r="BJ82" s="57"/>
      <c r="BK82" s="57"/>
      <c r="BL82" s="57"/>
      <c r="BM82" s="57"/>
      <c r="BN82" s="57"/>
      <c r="BO82" s="57"/>
      <c r="BP82" s="58"/>
      <c r="BQ82" s="172" t="s">
        <v>52</v>
      </c>
      <c r="BR82" s="181"/>
      <c r="BS82" s="174" t="s">
        <v>53</v>
      </c>
      <c r="BT82" s="181"/>
      <c r="BU82" s="174" t="s">
        <v>54</v>
      </c>
      <c r="BV82" s="175"/>
      <c r="BW82" s="182"/>
      <c r="BX82" s="175"/>
      <c r="BY82" s="175"/>
      <c r="BZ82" s="177"/>
      <c r="CA82" s="57"/>
      <c r="CB82" s="57"/>
      <c r="CC82" s="57"/>
      <c r="CD82" s="57"/>
      <c r="CE82" s="57"/>
      <c r="CF82" s="57"/>
      <c r="CG82" s="58"/>
      <c r="CH82" s="172" t="s">
        <v>52</v>
      </c>
      <c r="CI82" s="178"/>
      <c r="CJ82" s="174" t="s">
        <v>53</v>
      </c>
      <c r="CK82" s="179"/>
      <c r="CL82" s="174" t="s">
        <v>54</v>
      </c>
      <c r="CM82" s="175"/>
      <c r="CN82" s="180"/>
      <c r="CO82" s="175"/>
      <c r="CP82" s="175"/>
      <c r="CQ82" s="177"/>
      <c r="CR82" s="57"/>
      <c r="CS82" s="57"/>
      <c r="CT82" s="57"/>
      <c r="CU82" s="57"/>
      <c r="CV82" s="57"/>
      <c r="CW82" s="57"/>
      <c r="CX82" s="58"/>
      <c r="CY82" s="172" t="s">
        <v>52</v>
      </c>
      <c r="CZ82" s="181"/>
      <c r="DA82" s="174" t="s">
        <v>53</v>
      </c>
      <c r="DB82" s="181"/>
      <c r="DC82" s="174" t="s">
        <v>54</v>
      </c>
      <c r="DD82" s="175"/>
      <c r="DE82" s="182"/>
      <c r="DF82" s="175"/>
      <c r="DG82" s="175"/>
      <c r="DH82" s="177"/>
      <c r="DI82" s="57"/>
      <c r="DJ82" s="57"/>
      <c r="DK82" s="57"/>
      <c r="DL82" s="57"/>
      <c r="DM82" s="57"/>
      <c r="DN82" s="57"/>
      <c r="DO82" s="58"/>
      <c r="DP82" s="57"/>
      <c r="DQ82" s="56"/>
      <c r="DR82" s="56"/>
      <c r="DS82" s="56"/>
      <c r="DT82" s="56"/>
      <c r="DU82" s="56"/>
      <c r="DV82" s="56"/>
      <c r="DW82" s="56"/>
      <c r="DX82" s="56"/>
      <c r="DY82" s="56"/>
    </row>
    <row r="83">
      <c r="A83" s="183" t="str">
        <f>IF(L80=0,"","Você conseguiu! Foram levantadas ")</f>
        <v/>
      </c>
      <c r="E83" s="184" t="str">
        <f>IF(L80=0,"",SUM(E16*F16*P16,E18*F18*P18,E20*F20*P20,E22*F22*P22,E26*F26*P26,E28*F28*P28,E30*F30*P30,E32*F32*P32,E34*F34*P34,E36*F36*P36,E38*F38*P38,E40*F40*P40,E42*F42*P42,E44*F44*P44,E46*F46*P46,E48*F48*P48,E50*F50*P50,E52*F52*P52,E54*F54*P54,E56*F56*P56,E58*F58*P58,E60*F60*P60,E62*F62*P62,E64*F64*P64,E68*F68*P68,E70*F70*P70,E72*F72*P72)/1000)</f>
        <v/>
      </c>
      <c r="G83" s="185" t="str">
        <f>IF(L80=0,"","toneladas")</f>
        <v/>
      </c>
      <c r="J83" s="66"/>
      <c r="K83" s="186"/>
      <c r="L83" s="187"/>
      <c r="M83" s="187"/>
      <c r="N83" s="187"/>
      <c r="O83" s="187"/>
      <c r="P83" s="187"/>
      <c r="Q83" s="188"/>
      <c r="R83" s="183" t="str">
        <f>IF(AC80=0,"","Você conseguiu! Foram levantadas ")</f>
        <v/>
      </c>
      <c r="V83" s="184" t="str">
        <f>IF(AC80=0,"",SUM(V16*W16*AG16,V18*W18*AG18,V20*W20*AG20,V22*W22*AG22,V26*W26*AG26,V28*W28*AG28,V30*W30*AG30,V32*W32*AG32,V34*W34*AG34,V36*W36*AG36,V38*W38*AG38,V40*W40*AG40,V42*W42*AG42,V44*W44*AG44,V46*W46*AG46,V48*W48*AG48,V50*W50*AG50,V52*W52*AG52,V54*W54*AG54,V56*W56*AG56,V58*W58*AG58,V60*W60*AG60,V62*W62*AG62,V64*W64*AG64,V68*W68*AG68,V70*W70*AG70,V72*W72*AG72)/1000)</f>
        <v/>
      </c>
      <c r="X83" s="185" t="str">
        <f>IF(AC80=0,"","toneladas")</f>
        <v/>
      </c>
      <c r="AA83" s="66"/>
      <c r="AB83" s="186"/>
      <c r="AC83" s="187"/>
      <c r="AD83" s="187"/>
      <c r="AE83" s="187"/>
      <c r="AF83" s="187"/>
      <c r="AG83" s="187"/>
      <c r="AH83" s="188"/>
      <c r="AI83" s="183" t="str">
        <f>IF(AT80=0,"","Você conseguiu! Foram levantadas ")</f>
        <v/>
      </c>
      <c r="AM83" s="184" t="str">
        <f>IF(AT80=0,"",SUM(AM16*AN16*AX16,AM18*AN18*AX18,AM20*AN20*AX20,AM22*AN22*AX22,AM26*AN26*AX26,AM28*AN28*AX28,AM30*AN30*AX30,AM32*AN32*AX32,AM34*AN34*AX34,AM36*AN36*AX36,AM38*AN38*AX38,AM40*AN40*AX40,AM42*AN42*AX42,AM44*AN44*AX44,AM46*AN46*AX46,AM48*AN48*AX48,AM50*AN50*AX50,AM52*AN52*AX52,AM54*AN54*AX54,AM56*AN56*AX56,AM58*AN58*AX58,AM60*AN60*AX60,AM62*AN62*AX62,AM64*AN64*AX64,AM68*AN68*AX68,AM70*AN70*AX70,AM72*AN72*AX72)/1000)</f>
        <v/>
      </c>
      <c r="AO83" s="185" t="str">
        <f>IF(AT80=0,"","toneladas")</f>
        <v/>
      </c>
      <c r="AR83" s="66"/>
      <c r="AS83" s="186"/>
      <c r="AT83" s="187"/>
      <c r="AU83" s="187"/>
      <c r="AV83" s="187"/>
      <c r="AW83" s="187"/>
      <c r="AX83" s="187"/>
      <c r="AY83" s="188"/>
      <c r="AZ83" s="183" t="str">
        <f>IF(BK80=0,"","Você conseguiu! Foram levantadas ")</f>
        <v/>
      </c>
      <c r="BD83" s="184" t="str">
        <f>IF(BK80=0,"",SUM(BD16*BE16*BO16,BD18*BE18*BO18,BD20*BE20*BO20,BD22*BE22*BO22,BD26*BE26*BO26,BD28*BE28*BO28,BD30*BE30*BO30,BD32*BE32*BO32,BD34*BE34*BO34,BD36*BE36*BO36,BD38*BE38*BO38,BD40*BE40*BO40,BD42*BE42*BO42,BD44*BE44*BO44,BD46*BE46*BO46,BD48*BE48*BO48,BD50*BE50*BO50,BD52*BE52*BO52,BD54*BE54*BO54,BD56*BE56*BO56,BD58*BE58*BO58,BD60*BE60*BO60,BD62*BE62*BO62,BD64*BE64*BO64,BD68*BE68*BO68,BD70*BE70*BO70,BD72*BE72*BO72)/1000)</f>
        <v/>
      </c>
      <c r="BF83" s="185" t="str">
        <f>IF(BK80=0,"","toneladas")</f>
        <v/>
      </c>
      <c r="BI83" s="66"/>
      <c r="BJ83" s="186"/>
      <c r="BK83" s="187"/>
      <c r="BL83" s="187"/>
      <c r="BM83" s="187"/>
      <c r="BN83" s="187"/>
      <c r="BO83" s="187"/>
      <c r="BP83" s="188"/>
      <c r="BQ83" s="183" t="str">
        <f>IF(CB80=0,"","Você conseguiu! Foram levantadas ")</f>
        <v/>
      </c>
      <c r="BU83" s="184" t="str">
        <f>IF(CB80=0,"",SUM(BU16*BV16*CF16,BU18*BV18*CF18,BU20*BV20*CF20,BU22*BV22*CF22,BU26*BV26*CF26,BU28*BV28*CF28,BU30*BV30*CF30,BU32*BV32*CF32,BU34*BV34*CF34,BU36*BV36*CF36,BU38*BV38*CF38,BU40*BV40*CF40,BU42*BV42*CF42,BU44*BV44*CF44,BU46*BV46*CF46,BU48*BV48*CF48,BU50*BV50*CF50,BU52*BV52*CF52,BU54*BV54*CF54,BU56*BV56*CF56,BU58*BV58*CF58,BU60*BV60*CF60,BU62*BV62*CF62,BU64*BV64*CF64,BU68*BV68*CF68,BU70*BV70*CF70,BU72*BV72*CF72)/1000)</f>
        <v/>
      </c>
      <c r="BW83" s="185" t="str">
        <f>IF(CB80=0,"","toneladas")</f>
        <v/>
      </c>
      <c r="BZ83" s="66"/>
      <c r="CA83" s="186"/>
      <c r="CB83" s="187"/>
      <c r="CC83" s="187"/>
      <c r="CD83" s="187"/>
      <c r="CE83" s="187"/>
      <c r="CF83" s="187"/>
      <c r="CG83" s="188"/>
      <c r="CH83" s="183" t="str">
        <f>IF(CS80=0,"","Você conseguiu! Foram levantadas ")</f>
        <v/>
      </c>
      <c r="CL83" s="184" t="str">
        <f>IF(CS80=0,"",SUM(CL16*CM16*CW16,CL18*CM18*CW18,CL20*CM20*CW20,CL22*CM22*CW22,CL26*CM26*CW26,CL28*CM28*CW28,CL30*CM30*CW30,CL32*CM32*CW32,CL34*CM34*CW34,CL36*CM36*CW36,CL38*CM38*CW38,CL40*CM40*CW40,CL42*CM42*CW42,CL44*CM44*CW44,CL46*CM46*CW46,CL48*CM48*CW48,CL50*CM50*CW50,CL52*CM52*CW52,CL54*CM54*CW54,CL56*CM56*CW56,CL58*CM58*CW58,CL60*CM60*CW60,CL62*CM62*CW62,CL64*CM64*CW64,CL68*CM68*CW68,CL70*CM70*CW70,CL72*CM72*CW72)/1000)</f>
        <v/>
      </c>
      <c r="CN83" s="185" t="str">
        <f>IF(CS80=0,"","toneladas")</f>
        <v/>
      </c>
      <c r="CQ83" s="66"/>
      <c r="CR83" s="186"/>
      <c r="CS83" s="187"/>
      <c r="CT83" s="187"/>
      <c r="CU83" s="187"/>
      <c r="CV83" s="187"/>
      <c r="CW83" s="187"/>
      <c r="CX83" s="188"/>
      <c r="CY83" s="183" t="str">
        <f>IF(DJ80=0,"","Você conseguiu! Foram levantadas ")</f>
        <v/>
      </c>
      <c r="DC83" s="184" t="str">
        <f>IF(DJ80=0,"",SUM(DC16*DD16*DN16,DC18*DD18*DN18,DC20*DD20*DN20,DC22*DD22*DN22,DC26*DD26*DN26,DC28*DD28*DN28,DC30*DD30*DN30,DC32*DD32*DN32,DC34*DD34*DN34,DC36*DD36*DN36,DC38*DD38*DN38,DC40*DD40*DN40,DC42*DD42*DN42,DC44*DD44*DN44,DC46*DD46*DN46,DC48*DD48*DN48,DC50*DD50*DN50,DC52*DD52*DN52,DC54*DD54*DN54,DC56*DD56*DN56,DC58*DD58*DN58,DC60*DD60*DN60,DC62*DD62*DN62,DC64*DD64*DN64,DC68*DD68*DN68,DC70*DD70*DN70,DC72*DD72*DN72)/1000)</f>
        <v/>
      </c>
      <c r="DE83" s="185" t="str">
        <f>IF(DJ80=0,"","toneladas")</f>
        <v/>
      </c>
      <c r="DH83" s="66"/>
      <c r="DI83" s="186"/>
      <c r="DJ83" s="187"/>
      <c r="DK83" s="187"/>
      <c r="DL83" s="187"/>
      <c r="DM83" s="187"/>
      <c r="DN83" s="187"/>
      <c r="DO83" s="188"/>
      <c r="DP83" s="186"/>
      <c r="DQ83" s="186"/>
      <c r="DR83" s="186"/>
      <c r="DS83" s="186"/>
      <c r="DT83" s="186"/>
      <c r="DU83" s="186"/>
      <c r="DV83" s="186"/>
      <c r="DW83" s="186"/>
      <c r="DX83" s="186"/>
      <c r="DY83" s="186"/>
    </row>
    <row r="84">
      <c r="A84" s="190" t="str">
        <f>IF(L80=0,"","nesta sessão!")</f>
        <v/>
      </c>
      <c r="C84" s="57"/>
      <c r="D84" s="57"/>
      <c r="E84" s="137"/>
      <c r="F84" s="137"/>
      <c r="G84" s="137"/>
      <c r="H84" s="57"/>
      <c r="I84" s="57"/>
      <c r="J84" s="191"/>
      <c r="K84" s="57"/>
      <c r="L84" s="192"/>
      <c r="M84" s="192"/>
      <c r="N84" s="192"/>
      <c r="O84" s="192"/>
      <c r="P84" s="192"/>
      <c r="Q84" s="58"/>
      <c r="R84" s="190" t="str">
        <f>IF(AC80=0,"","nesta sessão!")</f>
        <v/>
      </c>
      <c r="T84" s="57"/>
      <c r="U84" s="57"/>
      <c r="V84" s="137"/>
      <c r="W84" s="137"/>
      <c r="X84" s="137"/>
      <c r="Y84" s="57"/>
      <c r="Z84" s="57"/>
      <c r="AA84" s="191"/>
      <c r="AB84" s="57"/>
      <c r="AC84" s="192"/>
      <c r="AD84" s="192"/>
      <c r="AE84" s="192"/>
      <c r="AF84" s="192"/>
      <c r="AG84" s="192"/>
      <c r="AH84" s="58"/>
      <c r="AI84" s="190" t="str">
        <f>IF(AT80=0,"","nesta sessão!")</f>
        <v/>
      </c>
      <c r="AK84" s="57"/>
      <c r="AL84" s="57"/>
      <c r="AM84" s="137"/>
      <c r="AN84" s="137"/>
      <c r="AO84" s="137"/>
      <c r="AP84" s="57"/>
      <c r="AQ84" s="57"/>
      <c r="AR84" s="191"/>
      <c r="AS84" s="57"/>
      <c r="AT84" s="192"/>
      <c r="AU84" s="192"/>
      <c r="AV84" s="192"/>
      <c r="AW84" s="192"/>
      <c r="AX84" s="192"/>
      <c r="AY84" s="58"/>
      <c r="AZ84" s="190" t="str">
        <f>IF(BK80=0,"","nesta sessão!")</f>
        <v/>
      </c>
      <c r="BB84" s="57"/>
      <c r="BC84" s="57"/>
      <c r="BD84" s="137"/>
      <c r="BE84" s="137"/>
      <c r="BF84" s="137"/>
      <c r="BG84" s="57"/>
      <c r="BH84" s="57"/>
      <c r="BI84" s="191"/>
      <c r="BJ84" s="57"/>
      <c r="BK84" s="192"/>
      <c r="BL84" s="192"/>
      <c r="BM84" s="192"/>
      <c r="BN84" s="192"/>
      <c r="BO84" s="192"/>
      <c r="BP84" s="58"/>
      <c r="BQ84" s="190" t="str">
        <f>IF(CB80=0,"","nesta sessão!")</f>
        <v/>
      </c>
      <c r="BS84" s="57"/>
      <c r="BT84" s="57"/>
      <c r="BU84" s="137"/>
      <c r="BV84" s="137"/>
      <c r="BW84" s="137"/>
      <c r="BX84" s="57"/>
      <c r="BY84" s="57"/>
      <c r="BZ84" s="191"/>
      <c r="CA84" s="57"/>
      <c r="CB84" s="192"/>
      <c r="CC84" s="192"/>
      <c r="CD84" s="192"/>
      <c r="CE84" s="192"/>
      <c r="CF84" s="192"/>
      <c r="CG84" s="58"/>
      <c r="CH84" s="190" t="str">
        <f>IF(CS80=0,"","nesta sessão!")</f>
        <v/>
      </c>
      <c r="CJ84" s="57"/>
      <c r="CK84" s="57"/>
      <c r="CL84" s="137"/>
      <c r="CM84" s="137"/>
      <c r="CN84" s="137"/>
      <c r="CO84" s="57"/>
      <c r="CP84" s="57"/>
      <c r="CQ84" s="191"/>
      <c r="CR84" s="57"/>
      <c r="CS84" s="192"/>
      <c r="CT84" s="192"/>
      <c r="CU84" s="192"/>
      <c r="CV84" s="192"/>
      <c r="CW84" s="192"/>
      <c r="CX84" s="58"/>
      <c r="CY84" s="190" t="str">
        <f>IF(DJ80=0,"","nesta sessão!")</f>
        <v/>
      </c>
      <c r="DA84" s="57"/>
      <c r="DB84" s="57"/>
      <c r="DC84" s="137"/>
      <c r="DD84" s="137"/>
      <c r="DE84" s="137"/>
      <c r="DF84" s="57"/>
      <c r="DG84" s="57"/>
      <c r="DH84" s="191"/>
      <c r="DI84" s="57"/>
      <c r="DJ84" s="192"/>
      <c r="DK84" s="192"/>
      <c r="DL84" s="192"/>
      <c r="DM84" s="192"/>
      <c r="DN84" s="192"/>
      <c r="DO84" s="58"/>
      <c r="DP84" s="57"/>
      <c r="DQ84" s="56"/>
      <c r="DR84" s="56"/>
      <c r="DS84" s="56"/>
      <c r="DT84" s="56"/>
      <c r="DU84" s="56"/>
      <c r="DV84" s="56"/>
      <c r="DW84" s="56"/>
      <c r="DX84" s="56"/>
      <c r="DY84" s="56"/>
    </row>
    <row r="85">
      <c r="A85" s="194" t="str">
        <f>IF(L80=0,"","Seu progresso semanal:")</f>
        <v/>
      </c>
      <c r="D85" s="195" t="str">
        <f>IFS(K3=0,"Missão cumprida! Parabéns!!!",K3=1,"Falta pouco, Você consegue!",TRUE,"Muito bem! Continue assim!")</f>
        <v>Muito bem! Continue assim!</v>
      </c>
      <c r="J85" s="66"/>
      <c r="K85" s="57"/>
      <c r="L85" s="192"/>
      <c r="M85" s="192"/>
      <c r="N85" s="196"/>
      <c r="O85" s="196"/>
      <c r="P85" s="196"/>
      <c r="Q85" s="58"/>
      <c r="R85" s="194" t="str">
        <f>IF(AC80=0,"","Seu progresso semanal:")</f>
        <v/>
      </c>
      <c r="U85" s="195" t="str">
        <f>IFS(AB3=0,"Missão cumprida! Parabéns!!!",AB3=1,"Falta pouco, Você consegue!",TRUE,"Muito bem! Continue assim!")</f>
        <v>Missão cumprida! Parabéns!!!</v>
      </c>
      <c r="AA85" s="66"/>
      <c r="AB85" s="57"/>
      <c r="AC85" s="192"/>
      <c r="AD85" s="192"/>
      <c r="AE85" s="196"/>
      <c r="AF85" s="196"/>
      <c r="AG85" s="196"/>
      <c r="AH85" s="58"/>
      <c r="AI85" s="194" t="str">
        <f>IF(AT80=0,"","Seu progresso semanal:")</f>
        <v/>
      </c>
      <c r="AL85" s="195" t="str">
        <f>IFS(AS3=0,"Missão cumprida! Parabéns!!!",AS3=1,"Falta pouco, Você consegue!",TRUE,"Muito bem! Continue assim!")</f>
        <v>Missão cumprida! Parabéns!!!</v>
      </c>
      <c r="AR85" s="66"/>
      <c r="AS85" s="57"/>
      <c r="AT85" s="192"/>
      <c r="AU85" s="192"/>
      <c r="AV85" s="196"/>
      <c r="AW85" s="196"/>
      <c r="AX85" s="196"/>
      <c r="AY85" s="58"/>
      <c r="AZ85" s="194" t="str">
        <f>IF(BK80=0,"","Seu progresso semanal:")</f>
        <v/>
      </c>
      <c r="BC85" s="195" t="str">
        <f>IFS(BJ3=0,"Missão cumprida! Parabéns!!!",BJ3=1,"Falta pouco, Você consegue!",TRUE,"Muito bem! Continue assim!")</f>
        <v>Missão cumprida! Parabéns!!!</v>
      </c>
      <c r="BI85" s="66"/>
      <c r="BJ85" s="57"/>
      <c r="BK85" s="192"/>
      <c r="BL85" s="192"/>
      <c r="BM85" s="196"/>
      <c r="BN85" s="196"/>
      <c r="BO85" s="196"/>
      <c r="BP85" s="58"/>
      <c r="BQ85" s="194" t="str">
        <f>IF(CB80=0,"","Seu progresso semanal:")</f>
        <v/>
      </c>
      <c r="BT85" s="195" t="str">
        <f>IFS(CA3=0,"Missão cumprida! Parabéns!!!",CA3=1,"Falta pouco, Você consegue!",TRUE,"Muito bem! Continue assim!")</f>
        <v>Missão cumprida! Parabéns!!!</v>
      </c>
      <c r="BZ85" s="66"/>
      <c r="CA85" s="57"/>
      <c r="CB85" s="192"/>
      <c r="CC85" s="192"/>
      <c r="CD85" s="196"/>
      <c r="CE85" s="196"/>
      <c r="CF85" s="196"/>
      <c r="CG85" s="58"/>
      <c r="CH85" s="194" t="str">
        <f>IF(CS80=0,"","Seu progresso semanal:")</f>
        <v/>
      </c>
      <c r="CK85" s="195" t="str">
        <f>IFS(CR3=0,"Missão cumprida! Parabéns!!!",CR3=1,"Falta pouco, Você consegue!",TRUE,"Muito bem! Continue assim!")</f>
        <v>Missão cumprida! Parabéns!!!</v>
      </c>
      <c r="CQ85" s="66"/>
      <c r="CR85" s="57"/>
      <c r="CS85" s="192"/>
      <c r="CT85" s="192"/>
      <c r="CU85" s="196"/>
      <c r="CV85" s="196"/>
      <c r="CW85" s="196"/>
      <c r="CX85" s="58"/>
      <c r="CY85" s="194" t="str">
        <f>IF(DJ80=0,"","Seu progresso semanal:")</f>
        <v/>
      </c>
      <c r="DB85" s="195" t="str">
        <f>IFS(DI3=0,"Missão cumprida! Parabéns!!!",DI3=1,"Falta pouco, Você consegue!",TRUE,"Muito bem! Continue assim!")</f>
        <v>Missão cumprida! Parabéns!!!</v>
      </c>
      <c r="DH85" s="66"/>
      <c r="DI85" s="57"/>
      <c r="DJ85" s="192"/>
      <c r="DK85" s="192"/>
      <c r="DL85" s="196"/>
      <c r="DM85" s="196"/>
      <c r="DN85" s="196"/>
      <c r="DO85" s="58"/>
      <c r="DP85" s="57"/>
      <c r="DQ85" s="56"/>
      <c r="DR85" s="56"/>
      <c r="DS85" s="56"/>
      <c r="DT85" s="56"/>
      <c r="DU85" s="56"/>
      <c r="DV85" s="56"/>
      <c r="DW85" s="56"/>
      <c r="DX85" s="56"/>
      <c r="DY85" s="56"/>
    </row>
    <row r="86">
      <c r="A86" s="198"/>
      <c r="B86" s="149"/>
      <c r="C86" s="149"/>
      <c r="D86" s="57"/>
      <c r="E86" s="137"/>
      <c r="G86" s="137"/>
      <c r="J86" s="191"/>
      <c r="K86" s="57"/>
      <c r="L86" s="196"/>
      <c r="M86" s="196"/>
      <c r="N86" s="196"/>
      <c r="O86" s="196"/>
      <c r="P86" s="196"/>
      <c r="Q86" s="58"/>
      <c r="R86" s="198"/>
      <c r="S86" s="149"/>
      <c r="T86" s="149"/>
      <c r="U86" s="57"/>
      <c r="V86" s="137"/>
      <c r="X86" s="137"/>
      <c r="AA86" s="191"/>
      <c r="AB86" s="57"/>
      <c r="AC86" s="196"/>
      <c r="AD86" s="196"/>
      <c r="AE86" s="196"/>
      <c r="AF86" s="196"/>
      <c r="AG86" s="196"/>
      <c r="AH86" s="58"/>
      <c r="AI86" s="198"/>
      <c r="AJ86" s="149"/>
      <c r="AK86" s="149"/>
      <c r="AL86" s="57"/>
      <c r="AM86" s="137"/>
      <c r="AO86" s="137"/>
      <c r="AR86" s="191"/>
      <c r="AS86" s="57"/>
      <c r="AT86" s="196"/>
      <c r="AU86" s="196"/>
      <c r="AV86" s="196"/>
      <c r="AW86" s="196"/>
      <c r="AX86" s="196"/>
      <c r="AY86" s="58"/>
      <c r="AZ86" s="198"/>
      <c r="BA86" s="149"/>
      <c r="BB86" s="149"/>
      <c r="BC86" s="57"/>
      <c r="BD86" s="137"/>
      <c r="BF86" s="137"/>
      <c r="BI86" s="191"/>
      <c r="BJ86" s="57"/>
      <c r="BK86" s="196"/>
      <c r="BL86" s="196"/>
      <c r="BM86" s="196"/>
      <c r="BN86" s="196"/>
      <c r="BO86" s="196"/>
      <c r="BP86" s="58"/>
      <c r="BQ86" s="198"/>
      <c r="BR86" s="149"/>
      <c r="BS86" s="149"/>
      <c r="BT86" s="57"/>
      <c r="BU86" s="137"/>
      <c r="BW86" s="137"/>
      <c r="BZ86" s="191"/>
      <c r="CA86" s="57"/>
      <c r="CB86" s="196"/>
      <c r="CC86" s="196"/>
      <c r="CD86" s="196"/>
      <c r="CE86" s="196"/>
      <c r="CF86" s="196"/>
      <c r="CG86" s="58"/>
      <c r="CH86" s="198"/>
      <c r="CI86" s="149"/>
      <c r="CJ86" s="149"/>
      <c r="CK86" s="57"/>
      <c r="CL86" s="137"/>
      <c r="CN86" s="137"/>
      <c r="CQ86" s="191"/>
      <c r="CR86" s="57"/>
      <c r="CS86" s="196"/>
      <c r="CT86" s="196"/>
      <c r="CU86" s="196"/>
      <c r="CV86" s="196"/>
      <c r="CW86" s="196"/>
      <c r="CX86" s="58"/>
      <c r="CY86" s="198"/>
      <c r="CZ86" s="149"/>
      <c r="DA86" s="149"/>
      <c r="DB86" s="57"/>
      <c r="DC86" s="137"/>
      <c r="DE86" s="137"/>
      <c r="DH86" s="191"/>
      <c r="DI86" s="57"/>
      <c r="DJ86" s="196"/>
      <c r="DK86" s="196"/>
      <c r="DL86" s="196"/>
      <c r="DM86" s="196"/>
      <c r="DN86" s="196"/>
      <c r="DO86" s="58"/>
      <c r="DP86" s="57"/>
      <c r="DQ86" s="56"/>
      <c r="DR86" s="56"/>
      <c r="DS86" s="56"/>
      <c r="DT86" s="56"/>
      <c r="DU86" s="56"/>
      <c r="DV86" s="56"/>
      <c r="DW86" s="56"/>
      <c r="DX86" s="56"/>
      <c r="DY86" s="56"/>
    </row>
    <row r="87">
      <c r="A87" s="199" t="str">
        <f>IF(L80=0,"",$DQ$18&amp;" de "&amp;J2)</f>
        <v/>
      </c>
      <c r="B87" s="200" t="str">
        <f>IF($J$2=2,$DQ$18/$J$2,"")</f>
        <v/>
      </c>
      <c r="C87" s="200" t="str">
        <f>IF($J$2=3,$DQ$18/$J$2,"")</f>
        <v/>
      </c>
      <c r="D87" s="200" t="str">
        <f>IF($J$2=4,$DQ$18/$J$2,"")</f>
        <v/>
      </c>
      <c r="E87" s="200" t="str">
        <f>IF($J$2=5,$DQ$18/$J$2,"")</f>
        <v/>
      </c>
      <c r="G87" s="200">
        <f>IF($J$2=6,$DQ$18/$J$2,"")</f>
        <v>0</v>
      </c>
      <c r="J87" s="202" t="str">
        <f>IF($J$2=7,$DQ$18/$J$2,"")</f>
        <v/>
      </c>
      <c r="K87" s="57"/>
      <c r="L87" s="196"/>
      <c r="M87" s="196"/>
      <c r="N87" s="196"/>
      <c r="O87" s="196"/>
      <c r="P87" s="196"/>
      <c r="Q87" s="58"/>
      <c r="R87" s="199" t="str">
        <f>IF(AC80=0,"",$DQ$18&amp;" de "&amp;AA2)</f>
        <v/>
      </c>
      <c r="S87" s="200" t="str">
        <f>IF($J$2=2,$DQ$18/$J$2,"")</f>
        <v/>
      </c>
      <c r="T87" s="200" t="str">
        <f>IF($J$2=3,$DQ$18/$J$2,"")</f>
        <v/>
      </c>
      <c r="U87" s="200" t="str">
        <f>IF($J$2=4,$DQ$18/$J$2,"")</f>
        <v/>
      </c>
      <c r="V87" s="200" t="str">
        <f>IF($J$2=5,$DQ$18/$J$2,"")</f>
        <v/>
      </c>
      <c r="X87" s="200">
        <f>IF($J$2=6,$DQ$18/$J$2,"")</f>
        <v>0</v>
      </c>
      <c r="AA87" s="202" t="str">
        <f>IF($J$2=7,$DQ$18/$J$2,"")</f>
        <v/>
      </c>
      <c r="AB87" s="57"/>
      <c r="AC87" s="196"/>
      <c r="AD87" s="196"/>
      <c r="AE87" s="196"/>
      <c r="AF87" s="196"/>
      <c r="AG87" s="196"/>
      <c r="AH87" s="58"/>
      <c r="AI87" s="199" t="str">
        <f>IF(AT80=0,"",$DQ$18&amp;" de "&amp;AR2)</f>
        <v/>
      </c>
      <c r="AJ87" s="200" t="str">
        <f>IF($J$2=2,$DQ$18/$J$2,"")</f>
        <v/>
      </c>
      <c r="AK87" s="200" t="str">
        <f>IF($J$2=3,$DQ$18/$J$2,"")</f>
        <v/>
      </c>
      <c r="AL87" s="200" t="str">
        <f>IF($J$2=4,$DQ$18/$J$2,"")</f>
        <v/>
      </c>
      <c r="AM87" s="200" t="str">
        <f>IF($J$2=5,$DQ$18/$J$2,"")</f>
        <v/>
      </c>
      <c r="AO87" s="200">
        <f>IF($J$2=6,$DQ$18/$J$2,"")</f>
        <v>0</v>
      </c>
      <c r="AR87" s="202" t="str">
        <f>IF($J$2=7,$DQ$18/$J$2,"")</f>
        <v/>
      </c>
      <c r="AS87" s="57"/>
      <c r="AT87" s="196"/>
      <c r="AU87" s="196"/>
      <c r="AV87" s="196"/>
      <c r="AW87" s="196"/>
      <c r="AX87" s="196"/>
      <c r="AY87" s="58"/>
      <c r="AZ87" s="199" t="str">
        <f>IF(BK80=0,"",$DQ$18&amp;" de "&amp;BI2)</f>
        <v/>
      </c>
      <c r="BA87" s="200" t="str">
        <f>IF($J$2=2,$DQ$18/$J$2,"")</f>
        <v/>
      </c>
      <c r="BB87" s="200" t="str">
        <f>IF($J$2=3,$DQ$18/$J$2,"")</f>
        <v/>
      </c>
      <c r="BC87" s="200" t="str">
        <f>IF($J$2=4,$DQ$18/$J$2,"")</f>
        <v/>
      </c>
      <c r="BD87" s="200" t="str">
        <f>IF($J$2=5,$DQ$18/$J$2,"")</f>
        <v/>
      </c>
      <c r="BF87" s="200">
        <f>IF($J$2=6,$DQ$18/$J$2,"")</f>
        <v>0</v>
      </c>
      <c r="BI87" s="202" t="str">
        <f>IF($J$2=7,$DQ$18/$J$2,"")</f>
        <v/>
      </c>
      <c r="BJ87" s="57"/>
      <c r="BK87" s="196"/>
      <c r="BL87" s="196"/>
      <c r="BM87" s="196"/>
      <c r="BN87" s="196"/>
      <c r="BO87" s="196"/>
      <c r="BP87" s="58"/>
      <c r="BQ87" s="199" t="str">
        <f>IF(CB80=0,"",$DQ$18&amp;" de "&amp;BZ2)</f>
        <v/>
      </c>
      <c r="BR87" s="200" t="str">
        <f>IF($J$2=2,$DQ$18/$J$2,"")</f>
        <v/>
      </c>
      <c r="BS87" s="200" t="str">
        <f>IF($J$2=3,$DQ$18/$J$2,"")</f>
        <v/>
      </c>
      <c r="BT87" s="200" t="str">
        <f>IF($J$2=4,$DQ$18/$J$2,"")</f>
        <v/>
      </c>
      <c r="BU87" s="200" t="str">
        <f>IF($J$2=5,$DQ$18/$J$2,"")</f>
        <v/>
      </c>
      <c r="BW87" s="200">
        <f>IF($J$2=6,$DQ$18/$J$2,"")</f>
        <v>0</v>
      </c>
      <c r="BZ87" s="202" t="str">
        <f>IF($J$2=7,$DQ$18/$J$2,"")</f>
        <v/>
      </c>
      <c r="CA87" s="57"/>
      <c r="CB87" s="196"/>
      <c r="CC87" s="196"/>
      <c r="CD87" s="196"/>
      <c r="CE87" s="196"/>
      <c r="CF87" s="196"/>
      <c r="CG87" s="58"/>
      <c r="CH87" s="199" t="str">
        <f>IF(CS80=0,"",$DQ$18&amp;" de "&amp;CQ2)</f>
        <v/>
      </c>
      <c r="CI87" s="200" t="str">
        <f>IF($J$2=2,$DQ$18/$J$2,"")</f>
        <v/>
      </c>
      <c r="CJ87" s="200" t="str">
        <f>IF($J$2=3,$DQ$18/$J$2,"")</f>
        <v/>
      </c>
      <c r="CK87" s="200" t="str">
        <f>IF($J$2=4,$DQ$18/$J$2,"")</f>
        <v/>
      </c>
      <c r="CL87" s="200" t="str">
        <f>IF($J$2=5,$DQ$18/$J$2,"")</f>
        <v/>
      </c>
      <c r="CN87" s="200">
        <f>IF($J$2=6,$DQ$18/$J$2,"")</f>
        <v>0</v>
      </c>
      <c r="CQ87" s="202" t="str">
        <f>IF($J$2=7,$DQ$18/$J$2,"")</f>
        <v/>
      </c>
      <c r="CR87" s="57"/>
      <c r="CS87" s="196"/>
      <c r="CT87" s="196"/>
      <c r="CU87" s="196"/>
      <c r="CV87" s="196"/>
      <c r="CW87" s="196"/>
      <c r="CX87" s="58"/>
      <c r="CY87" s="199" t="str">
        <f>IF(DJ80=0,"",$DQ$18&amp;" de "&amp;DH2)</f>
        <v/>
      </c>
      <c r="CZ87" s="200" t="str">
        <f>IF($J$2=2,$DQ$18/$J$2,"")</f>
        <v/>
      </c>
      <c r="DA87" s="200" t="str">
        <f>IF($J$2=3,$DQ$18/$J$2,"")</f>
        <v/>
      </c>
      <c r="DB87" s="200" t="str">
        <f>IF($J$2=4,$DQ$18/$J$2,"")</f>
        <v/>
      </c>
      <c r="DC87" s="200" t="str">
        <f>IF($J$2=5,$DQ$18/$J$2,"")</f>
        <v/>
      </c>
      <c r="DE87" s="200">
        <f>IF($J$2=6,$DQ$18/$J$2,"")</f>
        <v>0</v>
      </c>
      <c r="DH87" s="202" t="str">
        <f>IF($J$2=7,$DQ$18/$J$2,"")</f>
        <v/>
      </c>
      <c r="DI87" s="57"/>
      <c r="DJ87" s="196"/>
      <c r="DK87" s="196"/>
      <c r="DL87" s="196"/>
      <c r="DM87" s="196"/>
      <c r="DN87" s="196"/>
      <c r="DO87" s="58"/>
      <c r="DP87" s="57"/>
      <c r="DQ87" s="56"/>
      <c r="DR87" s="56"/>
      <c r="DS87" s="56"/>
      <c r="DT87" s="56"/>
      <c r="DU87" s="56"/>
      <c r="DV87" s="56"/>
      <c r="DW87" s="56"/>
      <c r="DX87" s="56"/>
      <c r="DY87" s="56"/>
    </row>
    <row r="88">
      <c r="A88" s="194" t="str">
        <f>IF(L80=0,"","Outras informações :")</f>
        <v/>
      </c>
      <c r="C88" s="57"/>
      <c r="D88" s="57"/>
      <c r="E88" s="57"/>
      <c r="F88" s="57"/>
      <c r="G88" s="57"/>
      <c r="H88" s="57"/>
      <c r="I88" s="57"/>
      <c r="J88" s="191"/>
      <c r="K88" s="57"/>
      <c r="L88" s="196"/>
      <c r="M88" s="196"/>
      <c r="N88" s="196"/>
      <c r="O88" s="196"/>
      <c r="P88" s="196"/>
      <c r="Q88" s="58"/>
      <c r="R88" s="194" t="str">
        <f>IF(AC80=0,"","Outras informações :")</f>
        <v/>
      </c>
      <c r="T88" s="57"/>
      <c r="U88" s="57"/>
      <c r="V88" s="57"/>
      <c r="W88" s="57"/>
      <c r="X88" s="57"/>
      <c r="Y88" s="57"/>
      <c r="Z88" s="57"/>
      <c r="AA88" s="191"/>
      <c r="AB88" s="57"/>
      <c r="AC88" s="196"/>
      <c r="AD88" s="196"/>
      <c r="AE88" s="196"/>
      <c r="AF88" s="196"/>
      <c r="AG88" s="196"/>
      <c r="AH88" s="58"/>
      <c r="AI88" s="194" t="str">
        <f>IF(AT80=0,"","Outras informações :")</f>
        <v/>
      </c>
      <c r="AK88" s="57"/>
      <c r="AL88" s="57"/>
      <c r="AM88" s="57"/>
      <c r="AN88" s="57"/>
      <c r="AO88" s="57"/>
      <c r="AP88" s="57"/>
      <c r="AQ88" s="57"/>
      <c r="AR88" s="191"/>
      <c r="AS88" s="57"/>
      <c r="AT88" s="196"/>
      <c r="AU88" s="196"/>
      <c r="AV88" s="196"/>
      <c r="AW88" s="196"/>
      <c r="AX88" s="196"/>
      <c r="AY88" s="58"/>
      <c r="AZ88" s="194" t="str">
        <f>IF(BK80=0,"","Outras informações :")</f>
        <v/>
      </c>
      <c r="BB88" s="57"/>
      <c r="BC88" s="57"/>
      <c r="BD88" s="57"/>
      <c r="BE88" s="57"/>
      <c r="BF88" s="57"/>
      <c r="BG88" s="57"/>
      <c r="BH88" s="57"/>
      <c r="BI88" s="191"/>
      <c r="BJ88" s="57"/>
      <c r="BK88" s="196"/>
      <c r="BL88" s="196"/>
      <c r="BM88" s="196"/>
      <c r="BN88" s="196"/>
      <c r="BO88" s="196"/>
      <c r="BP88" s="58"/>
      <c r="BQ88" s="194" t="str">
        <f>IF(CB80=0,"","Outras informações :")</f>
        <v/>
      </c>
      <c r="BS88" s="57"/>
      <c r="BT88" s="57"/>
      <c r="BU88" s="57"/>
      <c r="BV88" s="57"/>
      <c r="BW88" s="57"/>
      <c r="BX88" s="57"/>
      <c r="BY88" s="57"/>
      <c r="BZ88" s="191"/>
      <c r="CA88" s="57"/>
      <c r="CB88" s="196"/>
      <c r="CC88" s="196"/>
      <c r="CD88" s="196"/>
      <c r="CE88" s="196"/>
      <c r="CF88" s="196"/>
      <c r="CG88" s="58"/>
      <c r="CH88" s="194" t="str">
        <f>IF(CS80=0,"","Outras informações :")</f>
        <v/>
      </c>
      <c r="CJ88" s="57"/>
      <c r="CK88" s="57"/>
      <c r="CL88" s="57"/>
      <c r="CM88" s="57"/>
      <c r="CN88" s="57"/>
      <c r="CO88" s="57"/>
      <c r="CP88" s="57"/>
      <c r="CQ88" s="191"/>
      <c r="CR88" s="57"/>
      <c r="CS88" s="196"/>
      <c r="CT88" s="196"/>
      <c r="CU88" s="196"/>
      <c r="CV88" s="196"/>
      <c r="CW88" s="196"/>
      <c r="CX88" s="58"/>
      <c r="CY88" s="194" t="str">
        <f>IF(DJ80=0,"","Outras informações :")</f>
        <v/>
      </c>
      <c r="DA88" s="57"/>
      <c r="DB88" s="57"/>
      <c r="DC88" s="57"/>
      <c r="DD88" s="57"/>
      <c r="DE88" s="57"/>
      <c r="DF88" s="57"/>
      <c r="DG88" s="57"/>
      <c r="DH88" s="191"/>
      <c r="DI88" s="57"/>
      <c r="DJ88" s="196"/>
      <c r="DK88" s="196"/>
      <c r="DL88" s="196"/>
      <c r="DM88" s="196"/>
      <c r="DN88" s="196"/>
      <c r="DO88" s="58"/>
      <c r="DP88" s="57"/>
      <c r="DQ88" s="56"/>
      <c r="DR88" s="56"/>
      <c r="DS88" s="56"/>
      <c r="DT88" s="56"/>
      <c r="DU88" s="56"/>
      <c r="DV88" s="56"/>
      <c r="DW88" s="56"/>
      <c r="DX88" s="56"/>
      <c r="DY88" s="56"/>
    </row>
    <row r="89">
      <c r="A89" s="194" t="str">
        <f>IF(L80=0,"","Tempo sobre tensão")</f>
        <v/>
      </c>
      <c r="D89" s="56">
        <f>SUM(E16*F16*(H16+I16),E18*F18*(H18+I18),E20*F20*(H20+I20),E22*F22*(H22+I22),E26*F26*(H26+I26),E28*F28*(H28+I28),E30*F30*(H30+I30),E32*F32*(H32+I32),E34*F34*(H34+I34),E36*F36*(H36+I36),E38*F38*(H38+I38),E40*F40*(H40+I40),E42*F42*(H42+I42),E44*F44*(H44+I44),E46*F46*(H46+I46),E48*F48*(H48+I48),E50*F50*(H50+I50),E52*F52*(H52+I52),E54*F54*(H54+I54),E56*F56*(H56+I56),E58*F58*(H58+I58),E60*F60*(H60+I60),E62*F62*(H62+I62),E64*F64*(H64+I64),E68*F68*(H68+I68),E70*F70*(H70+I70),E72*F72*(H72+I72))/60</f>
        <v>16.1</v>
      </c>
      <c r="E89" s="57" t="str">
        <f>IF(L80=0,"","Densidade")</f>
        <v/>
      </c>
      <c r="H89" s="186" t="str">
        <f>IF(L80=0,"",D89/(K89+0.0000001))</f>
        <v/>
      </c>
      <c r="J89" s="66"/>
      <c r="K89" s="57">
        <f>SUM(IF(E16=0,1,E16)*G16,IF(E18=0,1,E18)*G18,IF(E20=0,1,E20)*G20,IF(E22=0,1,E22)*G22,IF(E26=0,1,E26)*G26,IF(E28=0,1,E28)*G28,IF(E30=0,1,E30)*G30,IF(E32=0,1,E32)*G32,IF(E34=0,1,E34)*G34,IF(E36=0,1,E36)*G36,IF(E38=0,1,E38)*G38,IF(E40=0,1,E40)*G40,IF(E42=0,1,E42)*G42,IF(E44=0,1,E44)*G44,IF(E46=0,1,E46)*G46,IF(E48=0,1,E48)*G48,IF(E50=0,1,E50)*G50,IF(E52=0,1,E52)*G52,IF(E54=0,1,E54)*G54,IF(E56=0,1,E56)*G56,IF(E58=0,1,E58)*G58,IF(E60=0,1,E60)*G60,IF(E62=0,1,E62)*G62,IF(E64=0,1,E64)*G64,IF(E68=0,1,E68)*G68,IF(E70=0,1,E70)*G70,IF(E72=0,1,E72)*G72)/60</f>
        <v>21</v>
      </c>
      <c r="L89" s="196"/>
      <c r="M89" s="196"/>
      <c r="N89" s="196"/>
      <c r="O89" s="196"/>
      <c r="P89" s="196"/>
      <c r="Q89" s="58"/>
      <c r="R89" s="194" t="str">
        <f>IF(AC80=0,"","Tempo sobre tensão")</f>
        <v/>
      </c>
      <c r="U89" s="56">
        <f>SUM(V16*W16*(Y16+Z16),V18*W18*(Y18+Z18),V20*W20*(Y20+Z20),V22*W22*(Y22+Z22),V26*W26*(Y26+Z26),V28*W28*(Y28+Z28),V30*W30*(Y30+Z30),V32*W32*(Y32+Z32),V34*W34*(Y34+Z34),V36*W36*(Y36+Z36),V38*W38*(Y38+Z38),V40*W40*(Y40+Z40),V42*W42*(Y42+Z42),V44*W44*(Y44+Z44),V46*W46*(Y46+Z46),V48*W48*(Y48+Z48),V50*W50*(Y50+Z50),V52*W52*(Y52+Z52),V54*W54*(Y54+Z54),V56*W56*(Y56+Z56),V58*W58*(Y58+Z58),V60*W60*(Y60+Z60),V62*W62*(Y62+Z62),V64*W64*(Y64+Z64),V68*W68*(Y68+Z68),V70*W70*(Y70+Z70),V72*W72*(Y72+Z72))/60</f>
        <v>15.35</v>
      </c>
      <c r="V89" s="57" t="str">
        <f>IF(AC80=0,"","Densidade")</f>
        <v/>
      </c>
      <c r="Y89" s="186" t="str">
        <f>IF(AC80=0,"",U89/(AB89+0.0000001))</f>
        <v/>
      </c>
      <c r="AA89" s="66"/>
      <c r="AB89" s="57">
        <f>SUM(IF(V16=0,1,V16)*X16,IF(V18=0,1,V18)*X18,IF(V20=0,1,V20)*X20,IF(V22=0,1,V22)*X22,IF(V26=0,1,V26)*X26,IF(V28=0,1,V28)*X28,IF(V30=0,1,V30)*X30,IF(V32=0,1,V32)*X32,IF(V34=0,1,V34)*X34,IF(V36=0,1,V36)*X36,IF(V38=0,1,V38)*X38,IF(V40=0,1,V40)*X40,IF(V42=0,1,V42)*X42,IF(V44=0,1,V44)*X44,IF(V46=0,1,V46)*X46,IF(V48=0,1,V48)*X48,IF(V50=0,1,V50)*X50,IF(V52=0,1,V52)*X52,IF(V54=0,1,V54)*X54,IF(V56=0,1,V56)*X56,IF(V58=0,1,V58)*X58,IF(V60=0,1,V60)*X60,IF(V62=0,1,V62)*X62,IF(V64=0,1,V64)*X64,IF(V68=0,1,V68)*X68,IF(V70=0,1,V70)*X70,IF(V72=0,1,V72)*X72)/60</f>
        <v>21</v>
      </c>
      <c r="AC89" s="196"/>
      <c r="AD89" s="196"/>
      <c r="AE89" s="196"/>
      <c r="AF89" s="196"/>
      <c r="AG89" s="196"/>
      <c r="AH89" s="58"/>
      <c r="AI89" s="194" t="str">
        <f>IF(AT80=0,"","Tempo sobre tensão")</f>
        <v/>
      </c>
      <c r="AL89" s="56">
        <f>SUM(AM16*AN16*(AP16+AQ16),AM18*AN18*(AP18+AQ18),AM20*AN20*(AP20+AQ20),AM22*AN22*(AP22+AQ22),AM26*AN26*(AP26+AQ26),AM28*AN28*(AP28+AQ28),AM30*AN30*(AP30+AQ30),AM32*AN32*(AP32+AQ32),AM34*AN34*(AP34+AQ34),AM36*AN36*(AP36+AQ36),AM38*AN38*(AP38+AQ38),AM40*AN40*(AP40+AQ40),AM42*AN42*(AP42+AQ42),AM44*AN44*(AP44+AQ44),AM46*AN46*(AP46+AQ46),AM48*AN48*(AP48+AQ48),AM50*AN50*(AP50+AQ50),AM52*AN52*(AP52+AQ52),AM54*AN54*(AP54+AQ54),AM56*AN56*(AP56+AQ56),AM58*AN58*(AP58+AQ58),AM60*AN60*(AP60+AQ60),AM62*AN62*(AP62+AQ62),AM64*AN64*(AP64+AQ64),AM68*AN68*(AP68+AQ68),AM70*AN70*(AP70+AQ70),AM72*AN72*(AP72+AQ72))/60</f>
        <v>2.166666667</v>
      </c>
      <c r="AM89" s="57" t="str">
        <f>IF(AT80=0,"","Densidade")</f>
        <v/>
      </c>
      <c r="AP89" s="203" t="str">
        <f>IF(AT80=0,"",AL89/(AS89+0.0000001))</f>
        <v/>
      </c>
      <c r="AR89" s="66"/>
      <c r="AS89" s="57">
        <f>SUM(IF(AM16=0,1,AM16)*AO16,IF(AM18=0,1,AM18)*AO18,IF(AM20=0,1,AM20)*AO20,IF(AM22=0,1,AM22)*AO22,IF(AM26=0,1,AM26)*AO26,IF(AM28=0,1,AM28)*AO28,IF(AM30=0,1,AM30)*AO30,IF(AM32=0,1,AM32)*AO32,IF(AM34=0,1,AM34)*AO34,IF(AM36=0,1,AM36)*AO36,IF(AM38=0,1,AM38)*AO38,IF(AM40=0,1,AM40)*AO40,IF(AM42=0,1,AM42)*AO42,IF(AM44=0,1,AM44)*AO44,IF(AM46=0,1,AM46)*AO46,IF(AM48=0,1,AM48)*AO48,IF(AM50=0,1,AM50)*AO50,IF(AM52=0,1,AM52)*AO52,IF(AM54=0,1,AM54)*AO54,IF(AM56=0,1,AM56)*AO56,IF(AM58=0,1,AM58)*AO58,IF(AM60=0,1,AM60)*AO60,IF(AM62=0,1,AM62)*AO62,IF(AM64=0,1,AM64)*AO64,IF(AM68=0,1,AM68)*AO68,IF(AM70=0,1,AM70)*AO70,IF(AM72=0,1,AM72)*AO72)/60</f>
        <v>1.666666667</v>
      </c>
      <c r="AT89" s="196"/>
      <c r="AU89" s="196"/>
      <c r="AV89" s="196"/>
      <c r="AW89" s="196"/>
      <c r="AX89" s="196"/>
      <c r="AY89" s="58"/>
      <c r="AZ89" s="194" t="str">
        <f>IF(BK80=0,"","Tempo sobre tensão")</f>
        <v/>
      </c>
      <c r="BC89" s="56">
        <f>SUM(BD16*BE16*(BG16+BH16),BD18*BE18*(BG18+BH18),BD20*BE20*(BG20+BH20),BD22*BE22*(BG22+BH22),BD26*BE26*(BG26+BH26),BD28*BE28*(BG28+BH28),BD30*BE30*(BG30+BH30),BD32*BE32*(BG32+BH32),BD34*BE34*(BG34+BH34),BD36*BE36*(BG36+BH36),BD38*BE38*(BG38+BH38),BD40*BE40*(BG40+BH40),BD42*BE42*(BG42+BH42),BD44*BE44*(BG44+BH44),BD46*BE46*(BG46+BH46),BD48*BE48*(BG48+BH48),BD50*BE50*(BG50+BH50),BD52*BE52*(BG52+BH52),BD54*BE54*(BG54+BH54),BD56*BE56*(BG56+BH56),BD58*BE58*(BG58+BH58),BD60*BE60*(BG60+BH60),BD62*BE62*(BG62+BH62),BD64*BE64*(BG64+BH64),BD68*BE68*(BG68+BH68),BD70*BE70*(BG70+BH70),BD72*BE72*(BG72+BH72))/60</f>
        <v>16.9</v>
      </c>
      <c r="BD89" s="57" t="str">
        <f>IF(BK80=0,"","Densidade")</f>
        <v/>
      </c>
      <c r="BG89" s="186" t="str">
        <f>IF(BK80=0,"",BC89/(BJ89+0.0000001))</f>
        <v/>
      </c>
      <c r="BI89" s="66"/>
      <c r="BJ89" s="57">
        <f>SUM(IF(BD16=0,1,BD16)*BF16,IF(BD18=0,1,BD18)*BF18,IF(BD20=0,1,BD20)*BF20,IF(BD22=0,1,BD22)*BF22,IF(BD26=0,1,BD26)*BF26,IF(BD28=0,1,BD28)*BF28,IF(BD30=0,1,BD30)*BF30,IF(BD32=0,1,BD32)*BF32,IF(BD34=0,1,BD34)*BF34,IF(BD36=0,1,BD36)*BF36,IF(BD38=0,1,BD38)*BF38,IF(BD40=0,1,BD40)*BF40,IF(BD42=0,1,BD42)*BF42,IF(BD44=0,1,BD44)*BF44,IF(BD46=0,1,BD46)*BF46,IF(BD48=0,1,BD48)*BF48,IF(BD50=0,1,BD50)*BF50,IF(BD52=0,1,BD52)*BF52,IF(BD54=0,1,BD54)*BF54,IF(BD56=0,1,BD56)*BF56,IF(BD58=0,1,BD58)*BF58,IF(BD60=0,1,BD60)*BF60,IF(BD62=0,1,BD62)*BF62,IF(BD64=0,1,BD64)*BF64,IF(BD68=0,1,BD68)*BF68,IF(BD70=0,1,BD70)*BF70,IF(BD72=0,1,BD72)*BF72)/60</f>
        <v>16.66666667</v>
      </c>
      <c r="BK89" s="196"/>
      <c r="BL89" s="196"/>
      <c r="BM89" s="196"/>
      <c r="BN89" s="196"/>
      <c r="BO89" s="196"/>
      <c r="BP89" s="58"/>
      <c r="BQ89" s="194" t="str">
        <f>IF(CB80=0,"","Tempo sobre tensão")</f>
        <v/>
      </c>
      <c r="BT89" s="56">
        <f>SUM(BU16*BV16*(BX16+BY16),BU18*BV18*(BX18+BY18),BU20*BV20*(BX20+BY20),BU22*BV22*(BX22+BY22),BU26*BV26*(BX26+BY26),BU28*BV28*(BX28+BY28),BU30*BV30*(BX30+BY30),BU32*BV32*(BX32+BY32),BU34*BV34*(BX34+BY34),BU36*BV36*(BX36+BY36),BU38*BV38*(BX38+BY38),BU40*BV40*(BX40+BY40),BU42*BV42*(BX42+BY42),BU44*BV44*(BX44+BY44),BU46*BV46*(BX46+BY46),BU48*BV48*(BX48+BY48),BU50*BV50*(BX50+BY50),BU52*BV52*(BX52+BY52),BU54*BV54*(BX54+BY54),BU56*BV56*(BX56+BY56),BU58*BV58*(BX58+BY58),BU60*BV60*(BX60+BY60),BU62*BV62*(BX62+BY62),BU64*BV64*(BX64+BY64),BU68*BV68*(BX68+BY68),BU70*BV70*(BX70+BY70),BU72*BV72*(BX72+BY72))/60</f>
        <v>15.2</v>
      </c>
      <c r="BU89" s="57" t="str">
        <f>IF(CB80=0,"","Densidade")</f>
        <v/>
      </c>
      <c r="BX89" s="203" t="str">
        <f>IF(CB80=0,"",BT89/(CA89+0.0000001))</f>
        <v/>
      </c>
      <c r="BZ89" s="66"/>
      <c r="CA89" s="57">
        <f>SUM(IF(BU16=0,1,BU16)*BW16,IF(BU18=0,1,BU18)*BW18,IF(BU20=0,1,BU20)*BW20,IF(BU22=0,1,BU22)*BW22,IF(BU26=0,1,BU26)*BW26,IF(BU28=0,1,BU28)*BW28,IF(BU30=0,1,BU30)*BW30,IF(BU32=0,1,BU32)*BW32,IF(BU34=0,1,BU34)*BW34,IF(BU36=0,1,BU36)*BW36,IF(BU38=0,1,BU38)*BW38,IF(BU40=0,1,BU40)*BW40,IF(BU42=0,1,BU42)*BW42,IF(BU44=0,1,BU44)*BW44,IF(BU46=0,1,BU46)*BW46,IF(BU48=0,1,BU48)*BW48,IF(BU50=0,1,BU50)*BW50,IF(BU52=0,1,BU52)*BW52,IF(BU54=0,1,BU54)*BW54,IF(BU56=0,1,BU56)*BW56,IF(BU58=0,1,BU58)*BW58,IF(BU60=0,1,BU60)*BW60,IF(BU62=0,1,BU62)*BW62,IF(BU64=0,1,BU64)*BW64,IF(BU68=0,1,BU68)*BW68,IF(BU70=0,1,BU70)*BW70,IF(BU72=0,1,BU72)*BW72)/60</f>
        <v>16.91666667</v>
      </c>
      <c r="CB89" s="196"/>
      <c r="CC89" s="196"/>
      <c r="CD89" s="196"/>
      <c r="CE89" s="196"/>
      <c r="CF89" s="196"/>
      <c r="CG89" s="58"/>
      <c r="CH89" s="194" t="str">
        <f>IF(CS80=0,"","Tempo sobre tensão")</f>
        <v/>
      </c>
      <c r="CK89" s="56">
        <f>SUM(CL16*CM16*(CO16+CP16),CL18*CM18*(CO18+CP18),CL20*CM20*(CO20+CP20),CL22*CM22*(CO22+CP22),CL26*CM26*(CO26+CP26),CL28*CM28*(CO28+CP28),CL30*CM30*(CO30+CP30),CL32*CM32*(CO32+CP32),CL34*CM34*(CO34+CP34),CL36*CM36*(CO36+CP36),CL38*CM38*(CO38+CP38),CL40*CM40*(CO40+CP40),CL42*CM42*(CO42+CP42),CL44*CM44*(CO44+CP44),CL46*CM46*(CO46+CP46),CL48*CM48*(CO48+CP48),CL50*CM50*(CO50+CP50),CL52*CM52*(CO52+CP52),CL54*CM54*(CO54+CP54),CL56*CM56*(CO56+CP56),CL58*CM58*(CO58+CP58),CL60*CM60*(CO60+CP60),CL62*CM62*(CO62+CP62),CL64*CM64*(CO64+CP64),CL68*CM68*(CO68+CP68),CL70*CM70*(CO70+CP70),CL72*CM72*(CO72+CP72))/60</f>
        <v>2.166666667</v>
      </c>
      <c r="CL89" s="57" t="str">
        <f>IF(CS80=0,"","Densidade")</f>
        <v/>
      </c>
      <c r="CO89" s="203" t="str">
        <f>IF(CS80=0,"",CK89/(CR89+0.0000001))</f>
        <v/>
      </c>
      <c r="CQ89" s="66"/>
      <c r="CR89" s="57">
        <f>SUM(IF(CL16=0,1,CL16)*CN16,IF(CL18=0,1,CL18)*CN18,IF(CL20=0,1,CL20)*CN20,IF(CL22=0,1,CL22)*CN22,IF(CL26=0,1,CL26)*CN26,IF(CL28=0,1,CL28)*CN28,IF(CL30=0,1,CL30)*CN30,IF(CL32=0,1,CL32)*CN32,IF(CL34=0,1,CL34)*CN34,IF(CL36=0,1,CL36)*CN36,IF(CL38=0,1,CL38)*CN38,IF(CL40=0,1,CL40)*CN40,IF(CL42=0,1,CL42)*CN42,IF(CL44=0,1,CL44)*CN44,IF(CL46=0,1,CL46)*CN46,IF(CL48=0,1,CL48)*CN48,IF(CL50=0,1,CL50)*CN50,IF(CL52=0,1,CL52)*CN52,IF(CL54=0,1,CL54)*CN54,IF(CL56=0,1,CL56)*CN56,IF(CL58=0,1,CL58)*CN58,IF(CL60=0,1,CL60)*CN60,IF(CL62=0,1,CL62)*CN62,IF(CL64=0,1,CL64)*CN64,IF(CL68=0,1,CL68)*CN68,IF(CL70=0,1,CL70)*CN70,IF(CL72=0,1,CL72)*CN72)/60</f>
        <v>1.666666667</v>
      </c>
      <c r="CS89" s="196"/>
      <c r="CT89" s="196"/>
      <c r="CU89" s="196"/>
      <c r="CV89" s="196"/>
      <c r="CW89" s="196"/>
      <c r="CX89" s="58"/>
      <c r="CY89" s="194" t="str">
        <f>IF(DJ80=0,"","Tempo sobre tensão")</f>
        <v/>
      </c>
      <c r="DB89" s="56">
        <f>SUM(DC16*DD16*(DF16+DG16),DC18*DD18*(DF18+DG18),DC20*DD20*(DF20+DG20),DC22*DD22*(DF22+DG22),DC26*DD26*(DF26+DG26),DC28*DD28*(DF28+DG28),DC30*DD30*(DF30+DG30),DC32*DD32*(DF32+DG32),DC34*DD34*(DF34+DG34),DC36*DD36*(DF36+DG36),DC38*DD38*(DF38+DG38),DC40*DD40*(DF40+DG40),DC42*DD42*(DF42+DG42),DC44*DD44*(DF44+DG44),DC46*DD46*(DF46+DG46),DC48*DD48*(DF48+DG48),DC50*DD50*(DF50+DG50),DC52*DD52*(DF52+DG52),DC54*DD54*(DF54+DG54),DC56*DD56*(DF56+DG56),DC58*DD58*(DF58+DG58),DC60*DD60*(DF60+DG60),DC62*DD62*(DF62+DG62),DC64*DD64*(DF64+DG64),DC68*DD68*(DF68+DG68),DC70*DD70*(DF70+DG70),DC72*DD72*(DF72+DG72))/60</f>
        <v>0</v>
      </c>
      <c r="DC89" s="57" t="str">
        <f>IF(DJ80=0,"","Densidade")</f>
        <v/>
      </c>
      <c r="DF89" s="203" t="str">
        <f>IF(DJ80=0,"",DB89/(DI89+0.0000001))</f>
        <v/>
      </c>
      <c r="DH89" s="66"/>
      <c r="DI89" s="57">
        <f>SUM(IF(DC16=0,1,DC16)*DE16,IF(DC18=0,1,DC18)*DE18,IF(DC20=0,1,DC20)*DE20,IF(DC22=0,1,DC22)*DE22,IF(DC26=0,1,DC26)*DE26,IF(DC28=0,1,DC28)*DE28,IF(DC30=0,1,DC30)*DE30,IF(DC32=0,1,DC32)*DE32,IF(DC34=0,1,DC34)*DE34,IF(DC36=0,1,DC36)*DE36,IF(DC38=0,1,DC38)*DE38,IF(DC40=0,1,DC40)*DE40,IF(DC42=0,1,DC42)*DE42,IF(DC44=0,1,DC44)*DE44,IF(DC46=0,1,DC46)*DE46,IF(DC48=0,1,DC48)*DE48,IF(DC50=0,1,DC50)*DE50,IF(DC52=0,1,DC52)*DE52,IF(DC54=0,1,DC54)*DE54,IF(DC56=0,1,DC56)*DE56,IF(DC58=0,1,DC58)*DE58,IF(DC60=0,1,DC60)*DE60,IF(DC62=0,1,DC62)*DE62,IF(DC64=0,1,DC64)*DE64,IF(DC68=0,1,DC68)*DE68,IF(DC70=0,1,DC70)*DE70,IF(DC72=0,1,DC72)*DE72)/60</f>
        <v>0</v>
      </c>
      <c r="DJ89" s="196"/>
      <c r="DK89" s="196"/>
      <c r="DL89" s="196"/>
      <c r="DM89" s="196"/>
      <c r="DN89" s="196"/>
      <c r="DO89" s="58"/>
      <c r="DP89" s="57"/>
      <c r="DQ89" s="56"/>
      <c r="DR89" s="56"/>
      <c r="DS89" s="56"/>
      <c r="DT89" s="56"/>
      <c r="DU89" s="56"/>
      <c r="DV89" s="56"/>
      <c r="DW89" s="56"/>
      <c r="DX89" s="56"/>
      <c r="DY89" s="56"/>
    </row>
    <row r="90">
      <c r="A90" s="194" t="str">
        <f>IF(L80=0,"","Carga Interna de treino")</f>
        <v/>
      </c>
      <c r="D90" s="56" t="str">
        <f>IF(L80=0,"",(L80*D89)+(L80*IF(ISNUMBER(B82),B82,B6)))</f>
        <v/>
      </c>
      <c r="E90" s="57" t="str">
        <f>IF(L80=0,"","Razão Ag/Cr")</f>
        <v/>
      </c>
      <c r="H90" s="186" t="str">
        <f>IF(L80=0,"",D90/'Dados de Base'!$J$7)</f>
        <v/>
      </c>
      <c r="J90" s="66"/>
      <c r="K90" s="57"/>
      <c r="L90" s="196"/>
      <c r="M90" s="196"/>
      <c r="N90" s="196"/>
      <c r="O90" s="196"/>
      <c r="P90" s="196"/>
      <c r="Q90" s="58"/>
      <c r="R90" s="194" t="str">
        <f>IF(AC80=0,"","Carga Interna de treino")</f>
        <v/>
      </c>
      <c r="U90" s="56" t="str">
        <f>IF(AC80=0,"",(AC80*U89)+(AC80*IF(ISNUMBER(S82),S82,S6)))</f>
        <v/>
      </c>
      <c r="V90" s="57" t="str">
        <f>IF(AC80=0,"","Razão Ag/Cr")</f>
        <v/>
      </c>
      <c r="Y90" s="186" t="str">
        <f>IF(AC80=0,"",U90/'Dados de Base'!$J$7)</f>
        <v/>
      </c>
      <c r="AA90" s="66"/>
      <c r="AB90" s="57"/>
      <c r="AC90" s="196"/>
      <c r="AD90" s="196"/>
      <c r="AE90" s="196"/>
      <c r="AF90" s="196"/>
      <c r="AG90" s="196"/>
      <c r="AH90" s="58"/>
      <c r="AI90" s="194" t="str">
        <f>IF(AT80=0,"","Carga Interna de treino")</f>
        <v/>
      </c>
      <c r="AL90" s="56" t="str">
        <f>IF(AT80=0,"",(AT80*AL89)+(AT80*IF(ISNUMBER(AJ82),AJ82,AJ6)))</f>
        <v/>
      </c>
      <c r="AM90" s="57" t="str">
        <f>IF(AT80=0,"","Razão Ag/Cr")</f>
        <v/>
      </c>
      <c r="AP90" s="186" t="str">
        <f>IF(AT80=0,"",AL90/'Dados de Base'!$J$7)</f>
        <v/>
      </c>
      <c r="AR90" s="66"/>
      <c r="AS90" s="57"/>
      <c r="AT90" s="196"/>
      <c r="AU90" s="196"/>
      <c r="AV90" s="196"/>
      <c r="AW90" s="196"/>
      <c r="AX90" s="196"/>
      <c r="AY90" s="58"/>
      <c r="AZ90" s="194" t="str">
        <f>IF(BK80=0,"","Carga Interna de treino")</f>
        <v/>
      </c>
      <c r="BC90" s="57" t="str">
        <f>IF(BK80=0,"",(BK80*BC89)+(BK80*IF(ISNUMBER(BA82),BA82,BA6)))</f>
        <v/>
      </c>
      <c r="BD90" s="57" t="str">
        <f>IF(BK80=0,"","Razão Ag/Cr")</f>
        <v/>
      </c>
      <c r="BG90" s="186" t="str">
        <f>IF(BK80=0,"",BC90/'Dados de Base'!$J$7)</f>
        <v/>
      </c>
      <c r="BI90" s="66"/>
      <c r="BJ90" s="57"/>
      <c r="BK90" s="196"/>
      <c r="BL90" s="196"/>
      <c r="BM90" s="196"/>
      <c r="BN90" s="196"/>
      <c r="BO90" s="196"/>
      <c r="BP90" s="58"/>
      <c r="BQ90" s="194" t="str">
        <f>IF(CB80=0,"","Carga Interna de treino")</f>
        <v/>
      </c>
      <c r="BT90" s="56" t="str">
        <f>IF(CB80=0,"",(CB80*BT89)+(CB80*IF(ISNUMBER(BR82),BR82,BR6)))</f>
        <v/>
      </c>
      <c r="BU90" s="57" t="str">
        <f>IF(CB80=0,"","Razão Ag/Cr")</f>
        <v/>
      </c>
      <c r="BX90" s="186" t="str">
        <f>IF(CB80=0,"",BT90/'Dados de Base'!$J$7)</f>
        <v/>
      </c>
      <c r="BZ90" s="66"/>
      <c r="CA90" s="57"/>
      <c r="CB90" s="196"/>
      <c r="CC90" s="196"/>
      <c r="CD90" s="196"/>
      <c r="CE90" s="196"/>
      <c r="CF90" s="196"/>
      <c r="CG90" s="58"/>
      <c r="CH90" s="194" t="str">
        <f>IF(CS80=0,"","Carga Interna de treino")</f>
        <v/>
      </c>
      <c r="CK90" s="57" t="str">
        <f>IF(CS80=0,"",(CS80*CK89)+(CS80*IF(ISNUMBER(CI82),CI82,CI6)))</f>
        <v/>
      </c>
      <c r="CL90" s="57" t="str">
        <f>IF(CS80=0,"","Razão Ag/Cr")</f>
        <v/>
      </c>
      <c r="CO90" s="186" t="str">
        <f>IF(CS80=0,"",CK90/'Dados de Base'!$J$7)</f>
        <v/>
      </c>
      <c r="CQ90" s="66"/>
      <c r="CR90" s="57"/>
      <c r="CS90" s="196"/>
      <c r="CT90" s="196"/>
      <c r="CU90" s="196"/>
      <c r="CV90" s="196"/>
      <c r="CW90" s="196"/>
      <c r="CX90" s="58"/>
      <c r="CY90" s="194" t="str">
        <f>IF(DJ80=0,"","Carga Interna de treino")</f>
        <v/>
      </c>
      <c r="DB90" s="56" t="str">
        <f>IF(DJ80=0,"",(DJ80*DB89)+(DJ80*IF(ISNUMBER(CZ82),CZ82,CZ6)))</f>
        <v/>
      </c>
      <c r="DC90" s="57" t="str">
        <f>IF(DJ80=0,"","Razão Ag/Cr")</f>
        <v/>
      </c>
      <c r="DF90" s="186" t="str">
        <f>IF(DJ80=0,"",DB90/'Dados de Base'!$J$7)</f>
        <v/>
      </c>
      <c r="DH90" s="66"/>
      <c r="DI90" s="57"/>
      <c r="DJ90" s="196"/>
      <c r="DK90" s="196"/>
      <c r="DL90" s="196"/>
      <c r="DM90" s="196"/>
      <c r="DN90" s="196"/>
      <c r="DO90" s="58"/>
      <c r="DP90" s="57"/>
      <c r="DQ90" s="56"/>
      <c r="DR90" s="56"/>
      <c r="DS90" s="56"/>
      <c r="DT90" s="56"/>
      <c r="DU90" s="56"/>
      <c r="DV90" s="56"/>
      <c r="DW90" s="56"/>
      <c r="DX90" s="56"/>
      <c r="DY90" s="56"/>
    </row>
    <row r="91">
      <c r="A91" s="204" t="s">
        <v>55</v>
      </c>
      <c r="B91" s="205"/>
      <c r="C91" s="205"/>
      <c r="D91" s="205"/>
      <c r="E91" s="205"/>
      <c r="F91" s="205"/>
      <c r="G91" s="205"/>
      <c r="H91" s="205"/>
      <c r="I91" s="205"/>
      <c r="J91" s="206"/>
      <c r="K91" s="57"/>
      <c r="L91" s="57"/>
      <c r="M91" s="57"/>
      <c r="N91" s="57"/>
      <c r="O91" s="57"/>
      <c r="P91" s="57"/>
      <c r="Q91" s="58"/>
      <c r="R91" s="207" t="s">
        <v>55</v>
      </c>
      <c r="S91" s="205"/>
      <c r="T91" s="205"/>
      <c r="U91" s="205"/>
      <c r="V91" s="205"/>
      <c r="W91" s="205"/>
      <c r="X91" s="205"/>
      <c r="Y91" s="205"/>
      <c r="Z91" s="205"/>
      <c r="AA91" s="206"/>
      <c r="AB91" s="57"/>
      <c r="AC91" s="57"/>
      <c r="AD91" s="57"/>
      <c r="AE91" s="57"/>
      <c r="AF91" s="57"/>
      <c r="AG91" s="57"/>
      <c r="AH91" s="58"/>
      <c r="AI91" s="204" t="s">
        <v>55</v>
      </c>
      <c r="AJ91" s="205"/>
      <c r="AK91" s="205"/>
      <c r="AL91" s="205"/>
      <c r="AM91" s="205"/>
      <c r="AN91" s="205"/>
      <c r="AO91" s="205"/>
      <c r="AP91" s="205"/>
      <c r="AQ91" s="205"/>
      <c r="AR91" s="206"/>
      <c r="AS91" s="57"/>
      <c r="AT91" s="57"/>
      <c r="AU91" s="57"/>
      <c r="AV91" s="57"/>
      <c r="AW91" s="57"/>
      <c r="AX91" s="57"/>
      <c r="AY91" s="58"/>
      <c r="AZ91" s="204" t="s">
        <v>55</v>
      </c>
      <c r="BA91" s="205"/>
      <c r="BB91" s="205"/>
      <c r="BC91" s="205"/>
      <c r="BD91" s="205"/>
      <c r="BE91" s="205"/>
      <c r="BF91" s="205"/>
      <c r="BG91" s="205"/>
      <c r="BH91" s="205"/>
      <c r="BI91" s="206"/>
      <c r="BJ91" s="57"/>
      <c r="BK91" s="57"/>
      <c r="BL91" s="57"/>
      <c r="BM91" s="57"/>
      <c r="BN91" s="57"/>
      <c r="BO91" s="57"/>
      <c r="BP91" s="58"/>
      <c r="BQ91" s="204" t="s">
        <v>55</v>
      </c>
      <c r="BR91" s="205"/>
      <c r="BS91" s="205"/>
      <c r="BT91" s="205"/>
      <c r="BU91" s="205"/>
      <c r="BV91" s="205"/>
      <c r="BW91" s="205"/>
      <c r="BX91" s="205"/>
      <c r="BY91" s="205"/>
      <c r="BZ91" s="206"/>
      <c r="CA91" s="57"/>
      <c r="CB91" s="57"/>
      <c r="CC91" s="57"/>
      <c r="CD91" s="57"/>
      <c r="CE91" s="57"/>
      <c r="CF91" s="57"/>
      <c r="CG91" s="58"/>
      <c r="CH91" s="204" t="s">
        <v>55</v>
      </c>
      <c r="CI91" s="205"/>
      <c r="CJ91" s="205"/>
      <c r="CK91" s="205"/>
      <c r="CL91" s="205"/>
      <c r="CM91" s="205"/>
      <c r="CN91" s="205"/>
      <c r="CO91" s="205"/>
      <c r="CP91" s="205"/>
      <c r="CQ91" s="206"/>
      <c r="CR91" s="57"/>
      <c r="CS91" s="57"/>
      <c r="CT91" s="57"/>
      <c r="CU91" s="57"/>
      <c r="CV91" s="57"/>
      <c r="CW91" s="57"/>
      <c r="CX91" s="58"/>
      <c r="CY91" s="204" t="s">
        <v>55</v>
      </c>
      <c r="CZ91" s="205"/>
      <c r="DA91" s="205"/>
      <c r="DB91" s="205"/>
      <c r="DC91" s="205"/>
      <c r="DD91" s="205"/>
      <c r="DE91" s="205"/>
      <c r="DF91" s="205"/>
      <c r="DG91" s="205"/>
      <c r="DH91" s="206"/>
      <c r="DI91" s="57"/>
      <c r="DJ91" s="57"/>
      <c r="DK91" s="57"/>
      <c r="DL91" s="57"/>
      <c r="DM91" s="57"/>
      <c r="DN91" s="57"/>
      <c r="DO91" s="58"/>
      <c r="DP91" s="57"/>
      <c r="DQ91" s="56"/>
      <c r="DR91" s="56"/>
      <c r="DS91" s="56"/>
      <c r="DT91" s="56"/>
      <c r="DU91" s="56"/>
      <c r="DV91" s="56"/>
      <c r="DW91" s="56"/>
      <c r="DX91" s="56"/>
      <c r="DY91" s="56"/>
    </row>
  </sheetData>
  <mergeCells count="946">
    <mergeCell ref="AZ66:BI66"/>
    <mergeCell ref="AZ67:BB67"/>
    <mergeCell ref="BQ67:BS67"/>
    <mergeCell ref="CH67:CJ67"/>
    <mergeCell ref="CY67:DA67"/>
    <mergeCell ref="AI65:AL65"/>
    <mergeCell ref="AM65:AR65"/>
    <mergeCell ref="BD65:BI65"/>
    <mergeCell ref="BU65:BZ65"/>
    <mergeCell ref="AI66:AR66"/>
    <mergeCell ref="BQ66:BZ66"/>
    <mergeCell ref="AI67:AK67"/>
    <mergeCell ref="BQ69:BT69"/>
    <mergeCell ref="BU69:BZ69"/>
    <mergeCell ref="BQ70:BS70"/>
    <mergeCell ref="BQ71:BT71"/>
    <mergeCell ref="BU71:BZ71"/>
    <mergeCell ref="CH69:CK69"/>
    <mergeCell ref="CL69:CQ69"/>
    <mergeCell ref="CH70:CJ70"/>
    <mergeCell ref="CH71:CK71"/>
    <mergeCell ref="CL71:CQ71"/>
    <mergeCell ref="CY69:DB69"/>
    <mergeCell ref="DC69:DH69"/>
    <mergeCell ref="CY70:DA70"/>
    <mergeCell ref="CY71:DB71"/>
    <mergeCell ref="DC71:DH71"/>
    <mergeCell ref="AI68:AK68"/>
    <mergeCell ref="AZ68:BB68"/>
    <mergeCell ref="BQ68:BS68"/>
    <mergeCell ref="CH68:CJ68"/>
    <mergeCell ref="CY68:DA68"/>
    <mergeCell ref="AI69:AL69"/>
    <mergeCell ref="AM69:AR69"/>
    <mergeCell ref="AZ72:BB72"/>
    <mergeCell ref="BQ72:BS72"/>
    <mergeCell ref="CH72:CJ72"/>
    <mergeCell ref="CY72:DA72"/>
    <mergeCell ref="AZ69:BC69"/>
    <mergeCell ref="BD69:BI69"/>
    <mergeCell ref="AI70:AK70"/>
    <mergeCell ref="AZ70:BB70"/>
    <mergeCell ref="AM71:AR71"/>
    <mergeCell ref="AZ71:BC71"/>
    <mergeCell ref="BD71:BI71"/>
    <mergeCell ref="CY74:DH74"/>
    <mergeCell ref="CY75:DH75"/>
    <mergeCell ref="CY76:DH76"/>
    <mergeCell ref="CY77:DH77"/>
    <mergeCell ref="CY78:DH78"/>
    <mergeCell ref="CY79:DH79"/>
    <mergeCell ref="CY81:DH81"/>
    <mergeCell ref="BU73:BZ73"/>
    <mergeCell ref="CH73:CK73"/>
    <mergeCell ref="CL73:CQ73"/>
    <mergeCell ref="CY73:DB73"/>
    <mergeCell ref="DC73:DH73"/>
    <mergeCell ref="CH74:CQ74"/>
    <mergeCell ref="CH75:CQ75"/>
    <mergeCell ref="AI71:AL71"/>
    <mergeCell ref="AI72:AK72"/>
    <mergeCell ref="AI73:AL73"/>
    <mergeCell ref="AM73:AR73"/>
    <mergeCell ref="AZ73:BC73"/>
    <mergeCell ref="BQ73:BT73"/>
    <mergeCell ref="BQ74:BZ74"/>
    <mergeCell ref="BT80:BZ80"/>
    <mergeCell ref="BQ81:BZ81"/>
    <mergeCell ref="CH81:CQ81"/>
    <mergeCell ref="AZ80:BB80"/>
    <mergeCell ref="BC80:BI80"/>
    <mergeCell ref="BQ80:BS80"/>
    <mergeCell ref="CH80:CJ80"/>
    <mergeCell ref="CK80:CQ80"/>
    <mergeCell ref="CY80:DA80"/>
    <mergeCell ref="DB80:DH80"/>
    <mergeCell ref="AI52:AK52"/>
    <mergeCell ref="AI53:AL53"/>
    <mergeCell ref="AM53:AR53"/>
    <mergeCell ref="BD53:BI53"/>
    <mergeCell ref="BU53:BZ53"/>
    <mergeCell ref="AI54:AK54"/>
    <mergeCell ref="AZ54:BB54"/>
    <mergeCell ref="AI55:AL55"/>
    <mergeCell ref="AM55:AR55"/>
    <mergeCell ref="BD55:BI55"/>
    <mergeCell ref="BU55:BZ55"/>
    <mergeCell ref="AI56:AK56"/>
    <mergeCell ref="AZ56:BB56"/>
    <mergeCell ref="BQ56:BS56"/>
    <mergeCell ref="DS57:DT57"/>
    <mergeCell ref="DU57:DW57"/>
    <mergeCell ref="CH58:CJ58"/>
    <mergeCell ref="CY58:DA58"/>
    <mergeCell ref="CL59:CQ59"/>
    <mergeCell ref="CY59:DB59"/>
    <mergeCell ref="DC59:DH59"/>
    <mergeCell ref="CY61:DB61"/>
    <mergeCell ref="CY62:DA62"/>
    <mergeCell ref="CY63:DB63"/>
    <mergeCell ref="CH59:CK59"/>
    <mergeCell ref="CH60:CJ60"/>
    <mergeCell ref="CY60:DA60"/>
    <mergeCell ref="CH61:CK61"/>
    <mergeCell ref="CL61:CQ61"/>
    <mergeCell ref="DC61:DH61"/>
    <mergeCell ref="CH62:CJ62"/>
    <mergeCell ref="CY65:DB65"/>
    <mergeCell ref="DC65:DH65"/>
    <mergeCell ref="CH66:CQ66"/>
    <mergeCell ref="CY66:DH66"/>
    <mergeCell ref="CH63:CK63"/>
    <mergeCell ref="CL63:CQ63"/>
    <mergeCell ref="DC63:DH63"/>
    <mergeCell ref="CH64:CJ64"/>
    <mergeCell ref="CY64:DA64"/>
    <mergeCell ref="CH65:CK65"/>
    <mergeCell ref="CL65:CQ65"/>
    <mergeCell ref="AI57:AL57"/>
    <mergeCell ref="AM57:AR57"/>
    <mergeCell ref="BD57:BI57"/>
    <mergeCell ref="BU57:BZ57"/>
    <mergeCell ref="AI58:AK58"/>
    <mergeCell ref="AZ58:BB58"/>
    <mergeCell ref="BQ58:BS58"/>
    <mergeCell ref="AI59:AL59"/>
    <mergeCell ref="AM59:AR59"/>
    <mergeCell ref="BD59:BI59"/>
    <mergeCell ref="BU59:BZ59"/>
    <mergeCell ref="AI60:AK60"/>
    <mergeCell ref="AZ60:BB60"/>
    <mergeCell ref="BQ60:BS60"/>
    <mergeCell ref="AZ48:BB48"/>
    <mergeCell ref="AZ49:BC49"/>
    <mergeCell ref="AZ47:BC47"/>
    <mergeCell ref="AZ50:BB50"/>
    <mergeCell ref="AZ51:BC51"/>
    <mergeCell ref="AZ53:BC53"/>
    <mergeCell ref="AZ55:BC55"/>
    <mergeCell ref="AZ57:BC57"/>
    <mergeCell ref="AZ59:BC59"/>
    <mergeCell ref="BD49:BI49"/>
    <mergeCell ref="BQ49:BT49"/>
    <mergeCell ref="BU49:BZ49"/>
    <mergeCell ref="BQ50:BS50"/>
    <mergeCell ref="AI47:AL47"/>
    <mergeCell ref="AM47:AR47"/>
    <mergeCell ref="BD47:BI47"/>
    <mergeCell ref="AI48:AK48"/>
    <mergeCell ref="AI49:AL49"/>
    <mergeCell ref="AM49:AR49"/>
    <mergeCell ref="AI50:AK50"/>
    <mergeCell ref="AI51:AL51"/>
    <mergeCell ref="AM51:AR51"/>
    <mergeCell ref="BD51:BI51"/>
    <mergeCell ref="BQ51:BT51"/>
    <mergeCell ref="BU51:BZ51"/>
    <mergeCell ref="AZ52:BB52"/>
    <mergeCell ref="BQ52:BS52"/>
    <mergeCell ref="BQ53:BT53"/>
    <mergeCell ref="BQ54:BS54"/>
    <mergeCell ref="BQ55:BT55"/>
    <mergeCell ref="BQ57:BT57"/>
    <mergeCell ref="BQ59:BT59"/>
    <mergeCell ref="BQ61:BT61"/>
    <mergeCell ref="BQ63:BT63"/>
    <mergeCell ref="BQ65:BT65"/>
    <mergeCell ref="AI61:AL61"/>
    <mergeCell ref="AM61:AR61"/>
    <mergeCell ref="BD61:BI61"/>
    <mergeCell ref="BU61:BZ61"/>
    <mergeCell ref="AI62:AK62"/>
    <mergeCell ref="AZ62:BB62"/>
    <mergeCell ref="BQ62:BS62"/>
    <mergeCell ref="AZ61:BC61"/>
    <mergeCell ref="AZ63:BC63"/>
    <mergeCell ref="AZ65:BC65"/>
    <mergeCell ref="AI63:AL63"/>
    <mergeCell ref="AM63:AR63"/>
    <mergeCell ref="BD63:BI63"/>
    <mergeCell ref="BU63:BZ63"/>
    <mergeCell ref="AI64:AK64"/>
    <mergeCell ref="AZ64:BB64"/>
    <mergeCell ref="BQ64:BS64"/>
    <mergeCell ref="AI74:AR74"/>
    <mergeCell ref="AI75:AR75"/>
    <mergeCell ref="AI76:AR76"/>
    <mergeCell ref="AI77:AR77"/>
    <mergeCell ref="AI78:AR78"/>
    <mergeCell ref="AI79:AR79"/>
    <mergeCell ref="AI80:AK80"/>
    <mergeCell ref="AL80:AR80"/>
    <mergeCell ref="AI81:AR81"/>
    <mergeCell ref="AM82:AN82"/>
    <mergeCell ref="AO82:AR82"/>
    <mergeCell ref="AI83:AL83"/>
    <mergeCell ref="AM83:AN83"/>
    <mergeCell ref="AO83:AR83"/>
    <mergeCell ref="AI88:AJ88"/>
    <mergeCell ref="AI89:AK89"/>
    <mergeCell ref="AM89:AO89"/>
    <mergeCell ref="AP89:AR89"/>
    <mergeCell ref="AI90:AK90"/>
    <mergeCell ref="AM90:AO90"/>
    <mergeCell ref="AP90:AR90"/>
    <mergeCell ref="AI84:AJ84"/>
    <mergeCell ref="AI85:AK85"/>
    <mergeCell ref="AL85:AR85"/>
    <mergeCell ref="AM86:AN86"/>
    <mergeCell ref="AO86:AQ86"/>
    <mergeCell ref="AM87:AN87"/>
    <mergeCell ref="AO87:AQ87"/>
    <mergeCell ref="BD73:BI73"/>
    <mergeCell ref="AZ74:BI74"/>
    <mergeCell ref="AZ75:BI75"/>
    <mergeCell ref="AZ76:BI76"/>
    <mergeCell ref="AZ77:BI77"/>
    <mergeCell ref="AZ78:BI78"/>
    <mergeCell ref="AZ79:BI79"/>
    <mergeCell ref="AZ81:BI81"/>
    <mergeCell ref="BD82:BE82"/>
    <mergeCell ref="BF82:BI82"/>
    <mergeCell ref="AZ83:BC83"/>
    <mergeCell ref="BD83:BE83"/>
    <mergeCell ref="BF83:BI83"/>
    <mergeCell ref="AZ84:BA84"/>
    <mergeCell ref="AZ89:BB89"/>
    <mergeCell ref="BD89:BF89"/>
    <mergeCell ref="BG89:BI89"/>
    <mergeCell ref="AZ90:BB90"/>
    <mergeCell ref="BD90:BF90"/>
    <mergeCell ref="BG90:BI90"/>
    <mergeCell ref="AZ85:BB85"/>
    <mergeCell ref="BC85:BI85"/>
    <mergeCell ref="BD86:BE86"/>
    <mergeCell ref="BF86:BH86"/>
    <mergeCell ref="BD87:BE87"/>
    <mergeCell ref="BF87:BH87"/>
    <mergeCell ref="AZ88:BA88"/>
    <mergeCell ref="BU90:BW90"/>
    <mergeCell ref="BX90:BZ90"/>
    <mergeCell ref="CH90:CJ90"/>
    <mergeCell ref="CL90:CN90"/>
    <mergeCell ref="CO90:CQ90"/>
    <mergeCell ref="CY90:DA90"/>
    <mergeCell ref="DC90:DE90"/>
    <mergeCell ref="DF90:DH90"/>
    <mergeCell ref="BU87:BV87"/>
    <mergeCell ref="BW87:BY87"/>
    <mergeCell ref="BQ88:BR88"/>
    <mergeCell ref="BQ89:BS89"/>
    <mergeCell ref="BU89:BW89"/>
    <mergeCell ref="BX89:BZ89"/>
    <mergeCell ref="BQ90:BS90"/>
    <mergeCell ref="AI12:AR12"/>
    <mergeCell ref="AI13:AR13"/>
    <mergeCell ref="AZ13:BI13"/>
    <mergeCell ref="BQ13:BZ13"/>
    <mergeCell ref="AI14:AR14"/>
    <mergeCell ref="BQ14:BZ14"/>
    <mergeCell ref="BQ15:BS15"/>
    <mergeCell ref="AZ14:BI14"/>
    <mergeCell ref="AZ15:BB15"/>
    <mergeCell ref="AZ16:BB16"/>
    <mergeCell ref="BQ16:BS16"/>
    <mergeCell ref="BD17:BI17"/>
    <mergeCell ref="BQ17:BT17"/>
    <mergeCell ref="BU17:BZ17"/>
    <mergeCell ref="AI11:AR11"/>
    <mergeCell ref="AZ11:BI11"/>
    <mergeCell ref="BQ11:BZ11"/>
    <mergeCell ref="CY11:DH11"/>
    <mergeCell ref="AZ12:BI12"/>
    <mergeCell ref="BQ12:BZ12"/>
    <mergeCell ref="CY12:DH12"/>
    <mergeCell ref="CH11:CQ11"/>
    <mergeCell ref="CH12:CQ12"/>
    <mergeCell ref="CH13:CQ13"/>
    <mergeCell ref="CY13:DH13"/>
    <mergeCell ref="CH14:CQ14"/>
    <mergeCell ref="CY14:DH14"/>
    <mergeCell ref="CY15:DA15"/>
    <mergeCell ref="AZ17:BC17"/>
    <mergeCell ref="AZ18:BB18"/>
    <mergeCell ref="AZ19:BC19"/>
    <mergeCell ref="BD19:BI19"/>
    <mergeCell ref="AZ20:BB20"/>
    <mergeCell ref="AZ21:BC21"/>
    <mergeCell ref="BD21:BI21"/>
    <mergeCell ref="BQ18:BS18"/>
    <mergeCell ref="BQ19:BT19"/>
    <mergeCell ref="BU19:BZ19"/>
    <mergeCell ref="BQ20:BS20"/>
    <mergeCell ref="BQ21:BT21"/>
    <mergeCell ref="BU21:BZ21"/>
    <mergeCell ref="AI20:AK20"/>
    <mergeCell ref="AI21:AL21"/>
    <mergeCell ref="AM21:AR21"/>
    <mergeCell ref="AI15:AK15"/>
    <mergeCell ref="AI16:AK16"/>
    <mergeCell ref="AI17:AL17"/>
    <mergeCell ref="AM17:AR17"/>
    <mergeCell ref="AI18:AK18"/>
    <mergeCell ref="AI19:AL19"/>
    <mergeCell ref="AM19:AR19"/>
    <mergeCell ref="CY26:DA26"/>
    <mergeCell ref="CY27:DB27"/>
    <mergeCell ref="DC27:DH27"/>
    <mergeCell ref="R28:T28"/>
    <mergeCell ref="R29:U29"/>
    <mergeCell ref="V29:AA29"/>
    <mergeCell ref="R30:T30"/>
    <mergeCell ref="R31:U31"/>
    <mergeCell ref="V31:AA31"/>
    <mergeCell ref="R32:T32"/>
    <mergeCell ref="R33:U33"/>
    <mergeCell ref="V33:AA33"/>
    <mergeCell ref="AM33:AR33"/>
    <mergeCell ref="AZ33:BC33"/>
    <mergeCell ref="BD33:BI33"/>
    <mergeCell ref="BQ33:BT33"/>
    <mergeCell ref="BU33:BZ33"/>
    <mergeCell ref="AZ35:BC35"/>
    <mergeCell ref="AZ36:BB36"/>
    <mergeCell ref="AZ37:BC37"/>
    <mergeCell ref="AI33:AL33"/>
    <mergeCell ref="AI34:AK34"/>
    <mergeCell ref="AZ34:BB34"/>
    <mergeCell ref="AI35:AL35"/>
    <mergeCell ref="AM35:AR35"/>
    <mergeCell ref="BD35:BI35"/>
    <mergeCell ref="AI36:AK36"/>
    <mergeCell ref="BQ39:BT39"/>
    <mergeCell ref="BU39:BZ39"/>
    <mergeCell ref="BQ40:BS40"/>
    <mergeCell ref="BQ34:BS34"/>
    <mergeCell ref="BQ35:BT35"/>
    <mergeCell ref="BU35:BZ35"/>
    <mergeCell ref="BQ36:BS36"/>
    <mergeCell ref="BQ37:BT37"/>
    <mergeCell ref="BU37:BZ37"/>
    <mergeCell ref="BQ38:BS38"/>
    <mergeCell ref="AZ38:BB38"/>
    <mergeCell ref="AZ40:BB40"/>
    <mergeCell ref="AZ39:BC39"/>
    <mergeCell ref="BD39:BI39"/>
    <mergeCell ref="AI37:AL37"/>
    <mergeCell ref="AM37:AR37"/>
    <mergeCell ref="BD37:BI37"/>
    <mergeCell ref="AI38:AK38"/>
    <mergeCell ref="AI39:AL39"/>
    <mergeCell ref="AM39:AR39"/>
    <mergeCell ref="AI40:AK40"/>
    <mergeCell ref="AI41:AL41"/>
    <mergeCell ref="AM41:AR41"/>
    <mergeCell ref="AZ41:BC41"/>
    <mergeCell ref="BD41:BI41"/>
    <mergeCell ref="BU41:BZ41"/>
    <mergeCell ref="AI42:AK42"/>
    <mergeCell ref="AZ42:BB42"/>
    <mergeCell ref="AI43:AL43"/>
    <mergeCell ref="AM43:AR43"/>
    <mergeCell ref="AZ43:BC43"/>
    <mergeCell ref="BD43:BI43"/>
    <mergeCell ref="BU43:BZ43"/>
    <mergeCell ref="AZ44:BB44"/>
    <mergeCell ref="BQ44:BS44"/>
    <mergeCell ref="AI44:AK44"/>
    <mergeCell ref="AI45:AL45"/>
    <mergeCell ref="AM45:AR45"/>
    <mergeCell ref="AZ45:BC45"/>
    <mergeCell ref="BD45:BI45"/>
    <mergeCell ref="AI46:AK46"/>
    <mergeCell ref="AZ46:BB46"/>
    <mergeCell ref="BQ47:BT47"/>
    <mergeCell ref="BQ48:BS48"/>
    <mergeCell ref="BQ41:BT41"/>
    <mergeCell ref="BQ42:BS42"/>
    <mergeCell ref="BQ43:BT43"/>
    <mergeCell ref="BQ45:BT45"/>
    <mergeCell ref="BU45:BZ45"/>
    <mergeCell ref="BQ46:BS46"/>
    <mergeCell ref="BU47:BZ47"/>
    <mergeCell ref="A23:D23"/>
    <mergeCell ref="A25:C25"/>
    <mergeCell ref="A26:C26"/>
    <mergeCell ref="A27:D27"/>
    <mergeCell ref="E27:J27"/>
    <mergeCell ref="A28:C28"/>
    <mergeCell ref="E29:J29"/>
    <mergeCell ref="A29:D29"/>
    <mergeCell ref="A30:C30"/>
    <mergeCell ref="A31:D31"/>
    <mergeCell ref="E31:J31"/>
    <mergeCell ref="A32:C32"/>
    <mergeCell ref="A33:D33"/>
    <mergeCell ref="E33:J33"/>
    <mergeCell ref="R36:T36"/>
    <mergeCell ref="R37:U37"/>
    <mergeCell ref="A35:D35"/>
    <mergeCell ref="E35:J35"/>
    <mergeCell ref="R35:U35"/>
    <mergeCell ref="V35:AA35"/>
    <mergeCell ref="A36:C36"/>
    <mergeCell ref="E37:J37"/>
    <mergeCell ref="V37:AA37"/>
    <mergeCell ref="R39:U39"/>
    <mergeCell ref="R40:T40"/>
    <mergeCell ref="A37:D37"/>
    <mergeCell ref="A38:C38"/>
    <mergeCell ref="R38:T38"/>
    <mergeCell ref="A39:D39"/>
    <mergeCell ref="E39:J39"/>
    <mergeCell ref="V39:AA39"/>
    <mergeCell ref="A40:C40"/>
    <mergeCell ref="R42:T42"/>
    <mergeCell ref="R43:U43"/>
    <mergeCell ref="A41:D41"/>
    <mergeCell ref="E41:J41"/>
    <mergeCell ref="R41:U41"/>
    <mergeCell ref="V41:AA41"/>
    <mergeCell ref="A42:C42"/>
    <mergeCell ref="E43:J43"/>
    <mergeCell ref="V43:AA43"/>
    <mergeCell ref="R45:U45"/>
    <mergeCell ref="R46:T46"/>
    <mergeCell ref="A43:D43"/>
    <mergeCell ref="A44:C44"/>
    <mergeCell ref="R44:T44"/>
    <mergeCell ref="A45:D45"/>
    <mergeCell ref="E45:J45"/>
    <mergeCell ref="V45:AA45"/>
    <mergeCell ref="A46:C46"/>
    <mergeCell ref="R48:T48"/>
    <mergeCell ref="R49:U49"/>
    <mergeCell ref="A47:D47"/>
    <mergeCell ref="E47:J47"/>
    <mergeCell ref="R47:U47"/>
    <mergeCell ref="V47:AA47"/>
    <mergeCell ref="A48:C48"/>
    <mergeCell ref="E49:J49"/>
    <mergeCell ref="V49:AA49"/>
    <mergeCell ref="R51:U51"/>
    <mergeCell ref="R52:T52"/>
    <mergeCell ref="A49:D49"/>
    <mergeCell ref="A50:C50"/>
    <mergeCell ref="R50:T50"/>
    <mergeCell ref="A51:D51"/>
    <mergeCell ref="E51:J51"/>
    <mergeCell ref="V51:AA51"/>
    <mergeCell ref="A52:C52"/>
    <mergeCell ref="BX6:BZ6"/>
    <mergeCell ref="CK6:CL6"/>
    <mergeCell ref="CM6:CN6"/>
    <mergeCell ref="CO6:CQ6"/>
    <mergeCell ref="DB6:DC6"/>
    <mergeCell ref="DD6:DE6"/>
    <mergeCell ref="DF6:DH6"/>
    <mergeCell ref="Y6:AA6"/>
    <mergeCell ref="AL6:AM6"/>
    <mergeCell ref="BC6:BD6"/>
    <mergeCell ref="BE6:BF6"/>
    <mergeCell ref="BG6:BI6"/>
    <mergeCell ref="BT6:BU6"/>
    <mergeCell ref="BV6:BW6"/>
    <mergeCell ref="AZ1:BI1"/>
    <mergeCell ref="BD2:BH2"/>
    <mergeCell ref="BA3:BI3"/>
    <mergeCell ref="BR3:BZ3"/>
    <mergeCell ref="CH1:CQ1"/>
    <mergeCell ref="CL2:CP2"/>
    <mergeCell ref="CI3:CQ3"/>
    <mergeCell ref="CZ3:DH3"/>
    <mergeCell ref="A1:J1"/>
    <mergeCell ref="AI1:AR1"/>
    <mergeCell ref="BQ1:BZ1"/>
    <mergeCell ref="CY1:DH1"/>
    <mergeCell ref="E2:I2"/>
    <mergeCell ref="AM2:AQ2"/>
    <mergeCell ref="BU2:BY2"/>
    <mergeCell ref="DC2:DG2"/>
    <mergeCell ref="CK4:CQ4"/>
    <mergeCell ref="CY4:DA4"/>
    <mergeCell ref="DB4:DH4"/>
    <mergeCell ref="AI4:AK4"/>
    <mergeCell ref="AL4:AR4"/>
    <mergeCell ref="AZ4:BB4"/>
    <mergeCell ref="BC4:BI4"/>
    <mergeCell ref="BQ4:BS4"/>
    <mergeCell ref="BT4:BZ4"/>
    <mergeCell ref="CH4:CJ4"/>
    <mergeCell ref="A5:J5"/>
    <mergeCell ref="R5:AA5"/>
    <mergeCell ref="AI5:AR5"/>
    <mergeCell ref="AZ5:BI5"/>
    <mergeCell ref="BQ5:BZ5"/>
    <mergeCell ref="CH5:CQ5"/>
    <mergeCell ref="CY5:DH5"/>
    <mergeCell ref="AZ7:BI7"/>
    <mergeCell ref="BQ7:BZ7"/>
    <mergeCell ref="CH7:CQ7"/>
    <mergeCell ref="CY7:DH7"/>
    <mergeCell ref="R1:AA1"/>
    <mergeCell ref="V2:Z2"/>
    <mergeCell ref="B3:J3"/>
    <mergeCell ref="S3:AA3"/>
    <mergeCell ref="AJ3:AR3"/>
    <mergeCell ref="A4:C4"/>
    <mergeCell ref="D4:J4"/>
    <mergeCell ref="CO8:CQ8"/>
    <mergeCell ref="DA8:DB8"/>
    <mergeCell ref="DD8:DE8"/>
    <mergeCell ref="DF8:DH8"/>
    <mergeCell ref="BE8:BF8"/>
    <mergeCell ref="BG8:BI8"/>
    <mergeCell ref="BS8:BT8"/>
    <mergeCell ref="BV8:BW8"/>
    <mergeCell ref="BX8:BZ8"/>
    <mergeCell ref="CJ8:CK8"/>
    <mergeCell ref="CM8:CN8"/>
    <mergeCell ref="BF9:BI9"/>
    <mergeCell ref="BQ9:BV9"/>
    <mergeCell ref="BW9:BZ9"/>
    <mergeCell ref="CH9:CM9"/>
    <mergeCell ref="CN9:CQ9"/>
    <mergeCell ref="CY9:DD9"/>
    <mergeCell ref="DE9:DH9"/>
    <mergeCell ref="A9:F9"/>
    <mergeCell ref="G9:J9"/>
    <mergeCell ref="R9:W9"/>
    <mergeCell ref="X9:AA9"/>
    <mergeCell ref="AI9:AN9"/>
    <mergeCell ref="AO9:AR9"/>
    <mergeCell ref="AZ9:BE9"/>
    <mergeCell ref="A10:J10"/>
    <mergeCell ref="R10:AA10"/>
    <mergeCell ref="AI10:AR10"/>
    <mergeCell ref="AZ10:BI10"/>
    <mergeCell ref="BQ10:BZ10"/>
    <mergeCell ref="CH10:CQ10"/>
    <mergeCell ref="CY10:DH10"/>
    <mergeCell ref="AN6:AO6"/>
    <mergeCell ref="AP6:AR6"/>
    <mergeCell ref="AI7:AR7"/>
    <mergeCell ref="AK8:AL8"/>
    <mergeCell ref="AN8:AO8"/>
    <mergeCell ref="AP8:AR8"/>
    <mergeCell ref="BB8:BC8"/>
    <mergeCell ref="A19:D19"/>
    <mergeCell ref="E19:J19"/>
    <mergeCell ref="V19:AA19"/>
    <mergeCell ref="A20:C20"/>
    <mergeCell ref="A21:D21"/>
    <mergeCell ref="E21:J21"/>
    <mergeCell ref="A22:C22"/>
    <mergeCell ref="R21:U21"/>
    <mergeCell ref="V21:AA21"/>
    <mergeCell ref="AI22:AK22"/>
    <mergeCell ref="AZ22:BB22"/>
    <mergeCell ref="BQ22:BS22"/>
    <mergeCell ref="AI23:AL23"/>
    <mergeCell ref="BQ23:BT23"/>
    <mergeCell ref="BQ25:BS25"/>
    <mergeCell ref="BQ26:BS26"/>
    <mergeCell ref="BQ27:BT27"/>
    <mergeCell ref="BQ29:BT29"/>
    <mergeCell ref="BQ31:BT31"/>
    <mergeCell ref="AZ27:BC27"/>
    <mergeCell ref="BD27:BI27"/>
    <mergeCell ref="BU27:BZ27"/>
    <mergeCell ref="AZ28:BB28"/>
    <mergeCell ref="BQ28:BS28"/>
    <mergeCell ref="AZ23:BC23"/>
    <mergeCell ref="BD23:BI23"/>
    <mergeCell ref="BU23:BZ23"/>
    <mergeCell ref="AZ24:BI24"/>
    <mergeCell ref="BQ24:BZ24"/>
    <mergeCell ref="AZ25:BB25"/>
    <mergeCell ref="AZ26:BB26"/>
    <mergeCell ref="AI29:AL29"/>
    <mergeCell ref="AM29:AR29"/>
    <mergeCell ref="AZ29:BC29"/>
    <mergeCell ref="BD29:BI29"/>
    <mergeCell ref="BU29:BZ29"/>
    <mergeCell ref="AZ30:BB30"/>
    <mergeCell ref="BQ30:BS30"/>
    <mergeCell ref="AI30:AK30"/>
    <mergeCell ref="AI31:AL31"/>
    <mergeCell ref="AM31:AR31"/>
    <mergeCell ref="AZ31:BC31"/>
    <mergeCell ref="BD31:BI31"/>
    <mergeCell ref="BU31:BZ31"/>
    <mergeCell ref="AZ32:BB32"/>
    <mergeCell ref="BQ32:BS32"/>
    <mergeCell ref="AM23:AR23"/>
    <mergeCell ref="AI24:AR24"/>
    <mergeCell ref="AI25:AK25"/>
    <mergeCell ref="AI26:AK26"/>
    <mergeCell ref="AI27:AL27"/>
    <mergeCell ref="AM27:AR27"/>
    <mergeCell ref="AI28:AK28"/>
    <mergeCell ref="AI32:AK32"/>
    <mergeCell ref="CH44:CJ44"/>
    <mergeCell ref="CH45:CK45"/>
    <mergeCell ref="CL45:CQ45"/>
    <mergeCell ref="CH46:CJ46"/>
    <mergeCell ref="CH47:CK47"/>
    <mergeCell ref="CL47:CQ47"/>
    <mergeCell ref="CH48:CJ48"/>
    <mergeCell ref="CH49:CK49"/>
    <mergeCell ref="CL49:CQ49"/>
    <mergeCell ref="CH50:CJ50"/>
    <mergeCell ref="CH51:CK51"/>
    <mergeCell ref="CL51:CQ51"/>
    <mergeCell ref="CH52:CJ52"/>
    <mergeCell ref="CL53:CQ53"/>
    <mergeCell ref="CH15:CJ15"/>
    <mergeCell ref="CH16:CJ16"/>
    <mergeCell ref="CH17:CK17"/>
    <mergeCell ref="CL17:CQ17"/>
    <mergeCell ref="CH18:CJ18"/>
    <mergeCell ref="CH19:CK19"/>
    <mergeCell ref="CL19:CQ19"/>
    <mergeCell ref="CH20:CJ20"/>
    <mergeCell ref="CH21:CK21"/>
    <mergeCell ref="CL21:CQ21"/>
    <mergeCell ref="CH22:CJ22"/>
    <mergeCell ref="CH23:CK23"/>
    <mergeCell ref="CL23:CQ23"/>
    <mergeCell ref="CH24:CQ24"/>
    <mergeCell ref="CH25:CJ25"/>
    <mergeCell ref="CH26:CJ26"/>
    <mergeCell ref="CH27:CK27"/>
    <mergeCell ref="CL27:CQ27"/>
    <mergeCell ref="CH28:CJ28"/>
    <mergeCell ref="CH29:CK29"/>
    <mergeCell ref="CL29:CQ29"/>
    <mergeCell ref="CH30:CJ30"/>
    <mergeCell ref="CH31:CK31"/>
    <mergeCell ref="CL31:CQ31"/>
    <mergeCell ref="CH32:CJ32"/>
    <mergeCell ref="CH33:CK33"/>
    <mergeCell ref="CL33:CQ33"/>
    <mergeCell ref="CH34:CJ34"/>
    <mergeCell ref="CH35:CK35"/>
    <mergeCell ref="CL35:CQ35"/>
    <mergeCell ref="CH36:CJ36"/>
    <mergeCell ref="CH37:CK37"/>
    <mergeCell ref="CL37:CQ37"/>
    <mergeCell ref="CH38:CJ38"/>
    <mergeCell ref="CL39:CQ39"/>
    <mergeCell ref="CH39:CK39"/>
    <mergeCell ref="CH40:CJ40"/>
    <mergeCell ref="CH41:CK41"/>
    <mergeCell ref="CL41:CQ41"/>
    <mergeCell ref="CH42:CJ42"/>
    <mergeCell ref="CH43:CK43"/>
    <mergeCell ref="CL43:CQ43"/>
    <mergeCell ref="CH53:CK53"/>
    <mergeCell ref="CH54:CJ54"/>
    <mergeCell ref="CH55:CK55"/>
    <mergeCell ref="CL55:CQ55"/>
    <mergeCell ref="CH56:CJ56"/>
    <mergeCell ref="CH57:CK57"/>
    <mergeCell ref="CL57:CQ57"/>
    <mergeCell ref="CY47:DB47"/>
    <mergeCell ref="DC47:DH47"/>
    <mergeCell ref="CY48:DA48"/>
    <mergeCell ref="CY49:DB49"/>
    <mergeCell ref="DC49:DH49"/>
    <mergeCell ref="CY50:DA50"/>
    <mergeCell ref="DC51:DH51"/>
    <mergeCell ref="CY51:DB51"/>
    <mergeCell ref="CY52:DA52"/>
    <mergeCell ref="CY53:DB53"/>
    <mergeCell ref="DC53:DH53"/>
    <mergeCell ref="CY54:DA54"/>
    <mergeCell ref="CY55:DB55"/>
    <mergeCell ref="DC55:DH55"/>
    <mergeCell ref="CY16:DA16"/>
    <mergeCell ref="CY17:DB17"/>
    <mergeCell ref="DC17:DH17"/>
    <mergeCell ref="CY18:DA18"/>
    <mergeCell ref="CY19:DB19"/>
    <mergeCell ref="DC19:DH19"/>
    <mergeCell ref="CY20:DA20"/>
    <mergeCell ref="CY21:DB21"/>
    <mergeCell ref="DC21:DH21"/>
    <mergeCell ref="CY22:DA22"/>
    <mergeCell ref="CY23:DB23"/>
    <mergeCell ref="DC23:DH23"/>
    <mergeCell ref="CY24:DH24"/>
    <mergeCell ref="CY25:DA25"/>
    <mergeCell ref="CY28:DA28"/>
    <mergeCell ref="CY29:DB29"/>
    <mergeCell ref="DC29:DH29"/>
    <mergeCell ref="CY30:DA30"/>
    <mergeCell ref="CY31:DB31"/>
    <mergeCell ref="DC31:DH31"/>
    <mergeCell ref="CY32:DA32"/>
    <mergeCell ref="CY33:DB33"/>
    <mergeCell ref="DC33:DH33"/>
    <mergeCell ref="CY34:DA34"/>
    <mergeCell ref="CY35:DB35"/>
    <mergeCell ref="DC35:DH35"/>
    <mergeCell ref="CY36:DA36"/>
    <mergeCell ref="DC37:DH37"/>
    <mergeCell ref="CY37:DB37"/>
    <mergeCell ref="CY38:DA38"/>
    <mergeCell ref="CY39:DB39"/>
    <mergeCell ref="DC39:DH39"/>
    <mergeCell ref="CY40:DA40"/>
    <mergeCell ref="CY41:DB41"/>
    <mergeCell ref="DC41:DH41"/>
    <mergeCell ref="CY42:DA42"/>
    <mergeCell ref="CY43:DB43"/>
    <mergeCell ref="DC43:DH43"/>
    <mergeCell ref="CY44:DA44"/>
    <mergeCell ref="CY45:DB45"/>
    <mergeCell ref="DC45:DH45"/>
    <mergeCell ref="CY46:DA46"/>
    <mergeCell ref="CY56:DA56"/>
    <mergeCell ref="CY57:DB57"/>
    <mergeCell ref="DC57:DH57"/>
    <mergeCell ref="A76:J76"/>
    <mergeCell ref="A77:J77"/>
    <mergeCell ref="A78:J78"/>
    <mergeCell ref="R72:T72"/>
    <mergeCell ref="R73:U73"/>
    <mergeCell ref="A74:J74"/>
    <mergeCell ref="R74:AA74"/>
    <mergeCell ref="A75:J75"/>
    <mergeCell ref="R75:AA75"/>
    <mergeCell ref="R76:AA76"/>
    <mergeCell ref="D80:J80"/>
    <mergeCell ref="A81:J81"/>
    <mergeCell ref="E82:F82"/>
    <mergeCell ref="G82:J82"/>
    <mergeCell ref="X82:AA82"/>
    <mergeCell ref="R77:AA77"/>
    <mergeCell ref="R78:AA78"/>
    <mergeCell ref="A79:J79"/>
    <mergeCell ref="R79:AA79"/>
    <mergeCell ref="A80:C80"/>
    <mergeCell ref="R80:T80"/>
    <mergeCell ref="U80:AA80"/>
    <mergeCell ref="A83:D83"/>
    <mergeCell ref="A84:B84"/>
    <mergeCell ref="A85:C85"/>
    <mergeCell ref="D85:J85"/>
    <mergeCell ref="R81:AA81"/>
    <mergeCell ref="V82:W82"/>
    <mergeCell ref="E83:F83"/>
    <mergeCell ref="G83:J83"/>
    <mergeCell ref="R83:U83"/>
    <mergeCell ref="V83:W83"/>
    <mergeCell ref="X83:AA83"/>
    <mergeCell ref="U85:AA85"/>
    <mergeCell ref="V86:W86"/>
    <mergeCell ref="V87:W87"/>
    <mergeCell ref="R84:S84"/>
    <mergeCell ref="R85:T85"/>
    <mergeCell ref="E86:F86"/>
    <mergeCell ref="G86:I86"/>
    <mergeCell ref="X86:Z86"/>
    <mergeCell ref="G87:I87"/>
    <mergeCell ref="X87:Z87"/>
    <mergeCell ref="E89:G89"/>
    <mergeCell ref="E90:G90"/>
    <mergeCell ref="R89:T89"/>
    <mergeCell ref="R90:T90"/>
    <mergeCell ref="V90:X90"/>
    <mergeCell ref="Y90:AA90"/>
    <mergeCell ref="R91:AA91"/>
    <mergeCell ref="E87:F87"/>
    <mergeCell ref="A88:B88"/>
    <mergeCell ref="R88:S88"/>
    <mergeCell ref="A89:C89"/>
    <mergeCell ref="H89:J89"/>
    <mergeCell ref="A90:C90"/>
    <mergeCell ref="H90:J90"/>
    <mergeCell ref="A91:J91"/>
    <mergeCell ref="R4:T4"/>
    <mergeCell ref="U4:AA4"/>
    <mergeCell ref="D6:E6"/>
    <mergeCell ref="F6:G6"/>
    <mergeCell ref="H6:J6"/>
    <mergeCell ref="U6:V6"/>
    <mergeCell ref="W6:X6"/>
    <mergeCell ref="A7:J7"/>
    <mergeCell ref="R7:AA7"/>
    <mergeCell ref="C8:D8"/>
    <mergeCell ref="F8:G8"/>
    <mergeCell ref="H8:J8"/>
    <mergeCell ref="T8:U8"/>
    <mergeCell ref="Y8:AA8"/>
    <mergeCell ref="A11:J11"/>
    <mergeCell ref="R11:AA11"/>
    <mergeCell ref="A12:J12"/>
    <mergeCell ref="R12:AA12"/>
    <mergeCell ref="A13:J13"/>
    <mergeCell ref="R13:AA13"/>
    <mergeCell ref="R14:AA14"/>
    <mergeCell ref="A14:J14"/>
    <mergeCell ref="A15:C15"/>
    <mergeCell ref="R15:T15"/>
    <mergeCell ref="A16:C16"/>
    <mergeCell ref="A17:D17"/>
    <mergeCell ref="E17:J17"/>
    <mergeCell ref="A18:C18"/>
    <mergeCell ref="R20:T20"/>
    <mergeCell ref="R22:T22"/>
    <mergeCell ref="E23:J23"/>
    <mergeCell ref="R23:U23"/>
    <mergeCell ref="V23:AA23"/>
    <mergeCell ref="A24:J24"/>
    <mergeCell ref="R24:AA24"/>
    <mergeCell ref="A34:C34"/>
    <mergeCell ref="R34:T34"/>
    <mergeCell ref="V89:X89"/>
    <mergeCell ref="Y89:AA89"/>
    <mergeCell ref="R17:U17"/>
    <mergeCell ref="V17:AA17"/>
    <mergeCell ref="R16:T16"/>
    <mergeCell ref="R18:T18"/>
    <mergeCell ref="R19:U19"/>
    <mergeCell ref="R25:T25"/>
    <mergeCell ref="R26:T26"/>
    <mergeCell ref="R27:U27"/>
    <mergeCell ref="V27:AA27"/>
    <mergeCell ref="R54:T54"/>
    <mergeCell ref="R55:U55"/>
    <mergeCell ref="A53:D53"/>
    <mergeCell ref="E53:J53"/>
    <mergeCell ref="R53:U53"/>
    <mergeCell ref="V53:AA53"/>
    <mergeCell ref="A54:C54"/>
    <mergeCell ref="E55:J55"/>
    <mergeCell ref="V55:AA55"/>
    <mergeCell ref="R57:U57"/>
    <mergeCell ref="R58:T58"/>
    <mergeCell ref="A55:D55"/>
    <mergeCell ref="A56:C56"/>
    <mergeCell ref="R56:T56"/>
    <mergeCell ref="A57:D57"/>
    <mergeCell ref="E57:J57"/>
    <mergeCell ref="V57:AA57"/>
    <mergeCell ref="A58:C58"/>
    <mergeCell ref="R60:T60"/>
    <mergeCell ref="R61:U61"/>
    <mergeCell ref="A59:D59"/>
    <mergeCell ref="E59:J59"/>
    <mergeCell ref="R59:U59"/>
    <mergeCell ref="V59:AA59"/>
    <mergeCell ref="A60:C60"/>
    <mergeCell ref="E61:J61"/>
    <mergeCell ref="V61:AA61"/>
    <mergeCell ref="R63:U63"/>
    <mergeCell ref="R64:T64"/>
    <mergeCell ref="A61:D61"/>
    <mergeCell ref="A62:C62"/>
    <mergeCell ref="R62:T62"/>
    <mergeCell ref="A63:D63"/>
    <mergeCell ref="E63:J63"/>
    <mergeCell ref="V63:AA63"/>
    <mergeCell ref="A64:C64"/>
    <mergeCell ref="A67:C67"/>
    <mergeCell ref="A68:C68"/>
    <mergeCell ref="A69:D69"/>
    <mergeCell ref="E69:J69"/>
    <mergeCell ref="V69:AA69"/>
    <mergeCell ref="A65:D65"/>
    <mergeCell ref="E65:J65"/>
    <mergeCell ref="R65:U65"/>
    <mergeCell ref="V65:AA65"/>
    <mergeCell ref="A66:J66"/>
    <mergeCell ref="R66:AA66"/>
    <mergeCell ref="R67:T67"/>
    <mergeCell ref="A71:D71"/>
    <mergeCell ref="A72:C72"/>
    <mergeCell ref="A73:D73"/>
    <mergeCell ref="E73:J73"/>
    <mergeCell ref="V73:AA73"/>
    <mergeCell ref="R68:T68"/>
    <mergeCell ref="R69:U69"/>
    <mergeCell ref="A70:C70"/>
    <mergeCell ref="R70:T70"/>
    <mergeCell ref="E71:J71"/>
    <mergeCell ref="R71:U71"/>
    <mergeCell ref="V71:AA71"/>
    <mergeCell ref="DC86:DD86"/>
    <mergeCell ref="DC87:DD87"/>
    <mergeCell ref="DE87:DG87"/>
    <mergeCell ref="DC82:DD82"/>
    <mergeCell ref="CY83:DB83"/>
    <mergeCell ref="DC83:DD83"/>
    <mergeCell ref="CY84:CZ84"/>
    <mergeCell ref="CY85:DA85"/>
    <mergeCell ref="DB85:DH85"/>
    <mergeCell ref="DE86:DG86"/>
    <mergeCell ref="CH78:CQ78"/>
    <mergeCell ref="CH79:CQ79"/>
    <mergeCell ref="BQ75:BZ75"/>
    <mergeCell ref="BQ76:BZ76"/>
    <mergeCell ref="CH76:CQ76"/>
    <mergeCell ref="BQ77:BZ77"/>
    <mergeCell ref="CH77:CQ77"/>
    <mergeCell ref="BQ78:BZ78"/>
    <mergeCell ref="BQ79:BZ79"/>
    <mergeCell ref="BU82:BV82"/>
    <mergeCell ref="BW82:BZ82"/>
    <mergeCell ref="CL82:CM82"/>
    <mergeCell ref="CN82:CQ82"/>
    <mergeCell ref="DE82:DH82"/>
    <mergeCell ref="BQ83:BT83"/>
    <mergeCell ref="CN83:CQ83"/>
    <mergeCell ref="DE83:DH83"/>
    <mergeCell ref="BU83:BV83"/>
    <mergeCell ref="BW83:BZ83"/>
    <mergeCell ref="BQ84:BR84"/>
    <mergeCell ref="BQ85:BS85"/>
    <mergeCell ref="BT85:BZ85"/>
    <mergeCell ref="BU86:BV86"/>
    <mergeCell ref="BW86:BY86"/>
    <mergeCell ref="CH83:CK83"/>
    <mergeCell ref="CL83:CM83"/>
    <mergeCell ref="CH84:CI84"/>
    <mergeCell ref="CH85:CJ85"/>
    <mergeCell ref="CK85:CQ85"/>
    <mergeCell ref="CL86:CM86"/>
    <mergeCell ref="CN86:CP86"/>
    <mergeCell ref="CY89:DA89"/>
    <mergeCell ref="DC89:DE89"/>
    <mergeCell ref="DF89:DH89"/>
    <mergeCell ref="AI91:AR91"/>
    <mergeCell ref="AZ91:BI91"/>
    <mergeCell ref="BQ91:BZ91"/>
    <mergeCell ref="CH91:CQ91"/>
    <mergeCell ref="CY91:DH91"/>
    <mergeCell ref="CL87:CM87"/>
    <mergeCell ref="CN87:CP87"/>
    <mergeCell ref="CH88:CI88"/>
    <mergeCell ref="CY88:CZ88"/>
    <mergeCell ref="CH89:CJ89"/>
    <mergeCell ref="CL89:CN89"/>
    <mergeCell ref="CO89:CQ89"/>
  </mergeCells>
  <conditionalFormatting sqref="A7 R7 AI7 AZ7 BQ7 CH7 CY7">
    <cfRule type="expression" dxfId="0" priority="1">
      <formula>G9=10</formula>
    </cfRule>
  </conditionalFormatting>
  <conditionalFormatting sqref="CY4:DH4 CY6:DH90">
    <cfRule type="expression" dxfId="1" priority="2">
      <formula>$DE$9=10</formula>
    </cfRule>
  </conditionalFormatting>
  <conditionalFormatting sqref="CY16:DG23 CY26:DG65 CY68:DG73">
    <cfRule type="expression" dxfId="2" priority="3">
      <formula>ISEVEN($DI16)</formula>
    </cfRule>
  </conditionalFormatting>
  <conditionalFormatting sqref="CY16:DG23 CY26:DG65 CY68:DG73">
    <cfRule type="expression" dxfId="3" priority="4">
      <formula>ISODD($DI16)</formula>
    </cfRule>
  </conditionalFormatting>
  <conditionalFormatting sqref="CH4:CQ4 CH6:CQ90">
    <cfRule type="expression" dxfId="1" priority="5">
      <formula>$CN$9=10</formula>
    </cfRule>
  </conditionalFormatting>
  <conditionalFormatting sqref="CH16:CP23 CH26:CP65 CH68:CP73">
    <cfRule type="expression" dxfId="3" priority="6">
      <formula>ISODD($CR16)</formula>
    </cfRule>
  </conditionalFormatting>
  <conditionalFormatting sqref="CH16:CP23 CH26:CP65 CH68:CP73">
    <cfRule type="expression" dxfId="2" priority="7">
      <formula>ISEVEN($CR16)</formula>
    </cfRule>
  </conditionalFormatting>
  <conditionalFormatting sqref="BQ4:BZ4 BQ6:BZ90">
    <cfRule type="expression" dxfId="1" priority="8">
      <formula>$BW$9=10</formula>
    </cfRule>
  </conditionalFormatting>
  <conditionalFormatting sqref="BQ16:BY23 BQ26:BY65 BQ68:BY73">
    <cfRule type="expression" dxfId="3" priority="9">
      <formula>ISODD($CA16)</formula>
    </cfRule>
  </conditionalFormatting>
  <conditionalFormatting sqref="BQ16:BY23 BQ26:BY65 BQ68:BY73">
    <cfRule type="expression" dxfId="2" priority="10">
      <formula>ISEVEN($CA16)</formula>
    </cfRule>
  </conditionalFormatting>
  <conditionalFormatting sqref="AZ4:BI4 AZ6:BI90">
    <cfRule type="expression" dxfId="1" priority="11">
      <formula>$BF$9=10</formula>
    </cfRule>
  </conditionalFormatting>
  <conditionalFormatting sqref="AZ16:BH23 AZ26:BH65 AZ68:BH73">
    <cfRule type="expression" dxfId="3" priority="12">
      <formula>ISODD($BJ16)</formula>
    </cfRule>
  </conditionalFormatting>
  <conditionalFormatting sqref="AZ16:BH23 AZ26:BH65 AZ68:BH73">
    <cfRule type="expression" dxfId="2" priority="13">
      <formula>ISEVEN($BJ16)</formula>
    </cfRule>
  </conditionalFormatting>
  <conditionalFormatting sqref="AI4:AS4 AI6:AR90 AU80">
    <cfRule type="expression" dxfId="1" priority="14">
      <formula>$AO$9=10</formula>
    </cfRule>
  </conditionalFormatting>
  <conditionalFormatting sqref="AI16:AQ23 AI26:AQ65 AI68:AQ73">
    <cfRule type="expression" dxfId="3" priority="15">
      <formula>ISODD($AS16)</formula>
    </cfRule>
  </conditionalFormatting>
  <conditionalFormatting sqref="AI16:AQ23 AI26:AQ65 AI68:AQ73">
    <cfRule type="expression" dxfId="2" priority="16">
      <formula>ISEVEN($AS16)</formula>
    </cfRule>
  </conditionalFormatting>
  <conditionalFormatting sqref="R4:AA4 R6:AA6 R8:AA90">
    <cfRule type="expression" dxfId="1" priority="17">
      <formula>$X$9=10</formula>
    </cfRule>
  </conditionalFormatting>
  <conditionalFormatting sqref="R16:Z23 R26:Z65 R68:Z73">
    <cfRule type="expression" dxfId="3" priority="18">
      <formula>ISODD($AB16)</formula>
    </cfRule>
  </conditionalFormatting>
  <conditionalFormatting sqref="R16:Z23 R26:Z65 R68:Z73">
    <cfRule type="expression" dxfId="2" priority="19">
      <formula>ISEVEN($AB16)</formula>
    </cfRule>
  </conditionalFormatting>
  <conditionalFormatting sqref="A4:J4 A6:J6 A8:J90">
    <cfRule type="expression" dxfId="1" priority="20">
      <formula>$G$9=10</formula>
    </cfRule>
  </conditionalFormatting>
  <conditionalFormatting sqref="A16:I23 A26:I65 A68:I73">
    <cfRule type="expression" dxfId="3" priority="21">
      <formula>ISODD($K16)</formula>
    </cfRule>
  </conditionalFormatting>
  <conditionalFormatting sqref="A16:I23 A26:I65 A68:I73">
    <cfRule type="expression" dxfId="2" priority="22">
      <formula>ISEVEN($K16)</formula>
    </cfRule>
  </conditionalFormatting>
  <conditionalFormatting sqref="A83:J90">
    <cfRule type="expression" dxfId="4" priority="23">
      <formula>$L$80=0</formula>
    </cfRule>
  </conditionalFormatting>
  <conditionalFormatting sqref="R83:AA90">
    <cfRule type="expression" dxfId="4" priority="24">
      <formula>$AC$80=0</formula>
    </cfRule>
  </conditionalFormatting>
  <conditionalFormatting sqref="AI83:AR90">
    <cfRule type="expression" dxfId="4" priority="25">
      <formula>$AT$80=0</formula>
    </cfRule>
  </conditionalFormatting>
  <conditionalFormatting sqref="AZ83:BI90">
    <cfRule type="expression" dxfId="4" priority="26">
      <formula>$BK$80=0</formula>
    </cfRule>
  </conditionalFormatting>
  <conditionalFormatting sqref="BQ83:BZ90">
    <cfRule type="expression" dxfId="4" priority="27">
      <formula>$CB$80=0</formula>
    </cfRule>
  </conditionalFormatting>
  <conditionalFormatting sqref="CH83:CQ90">
    <cfRule type="expression" dxfId="4" priority="28">
      <formula>$CS$80=0</formula>
    </cfRule>
  </conditionalFormatting>
  <conditionalFormatting sqref="CY83:DH90">
    <cfRule type="expression" dxfId="4" priority="29">
      <formula>$DJ$80=0</formula>
    </cfRule>
  </conditionalFormatting>
  <conditionalFormatting sqref="A86">
    <cfRule type="expression" dxfId="5" priority="30">
      <formula>DQ18&gt;0</formula>
    </cfRule>
  </conditionalFormatting>
  <conditionalFormatting sqref="B86">
    <cfRule type="expression" dxfId="6" priority="31">
      <formula>DP55=1</formula>
    </cfRule>
  </conditionalFormatting>
  <conditionalFormatting sqref="S86:AA86">
    <cfRule type="expression" dxfId="6" priority="32">
      <formula>DP55=1</formula>
    </cfRule>
  </conditionalFormatting>
  <conditionalFormatting sqref="B86">
    <cfRule type="expression" dxfId="5" priority="33">
      <formula>DP56=1</formula>
    </cfRule>
  </conditionalFormatting>
  <conditionalFormatting sqref="C86">
    <cfRule type="expression" dxfId="6" priority="34">
      <formula>DQ55=1</formula>
    </cfRule>
  </conditionalFormatting>
  <conditionalFormatting sqref="D86">
    <cfRule type="expression" dxfId="6" priority="35">
      <formula>DR55=1</formula>
    </cfRule>
  </conditionalFormatting>
  <conditionalFormatting sqref="E86">
    <cfRule type="expression" dxfId="6" priority="36">
      <formula>DS55=1</formula>
    </cfRule>
  </conditionalFormatting>
  <conditionalFormatting sqref="G86">
    <cfRule type="expression" dxfId="6" priority="37">
      <formula>DU55=1</formula>
    </cfRule>
  </conditionalFormatting>
  <conditionalFormatting sqref="J86">
    <cfRule type="expression" dxfId="6" priority="38">
      <formula>DX55=1</formula>
    </cfRule>
  </conditionalFormatting>
  <conditionalFormatting sqref="C86">
    <cfRule type="expression" dxfId="5" priority="39">
      <formula>DQ56=1</formula>
    </cfRule>
  </conditionalFormatting>
  <conditionalFormatting sqref="D86">
    <cfRule type="expression" dxfId="5" priority="40">
      <formula>DR56=1</formula>
    </cfRule>
  </conditionalFormatting>
  <conditionalFormatting sqref="E86">
    <cfRule type="expression" dxfId="5" priority="41">
      <formula>DS56=1</formula>
    </cfRule>
  </conditionalFormatting>
  <conditionalFormatting sqref="G86">
    <cfRule type="expression" dxfId="5" priority="42">
      <formula>DU56=1</formula>
    </cfRule>
  </conditionalFormatting>
  <conditionalFormatting sqref="J86">
    <cfRule type="expression" dxfId="5" priority="43">
      <formula>DX56=1</formula>
    </cfRule>
  </conditionalFormatting>
  <conditionalFormatting sqref="A5:J5 R5 AI5 AZ5 BQ5 CH5 CY5">
    <cfRule type="expression" dxfId="7" priority="44">
      <formula>G9=10</formula>
    </cfRule>
  </conditionalFormatting>
  <conditionalFormatting sqref="R86">
    <cfRule type="expression" dxfId="5" priority="45">
      <formula>DQ18&gt;0</formula>
    </cfRule>
  </conditionalFormatting>
  <conditionalFormatting sqref="AI86">
    <cfRule type="expression" dxfId="5" priority="46">
      <formula>DQ18&gt;0</formula>
    </cfRule>
  </conditionalFormatting>
  <conditionalFormatting sqref="CY86">
    <cfRule type="expression" dxfId="5" priority="47">
      <formula>DQ18&gt;0</formula>
    </cfRule>
  </conditionalFormatting>
  <conditionalFormatting sqref="CH86">
    <cfRule type="expression" dxfId="5" priority="48">
      <formula>DQ18&gt;0</formula>
    </cfRule>
  </conditionalFormatting>
  <conditionalFormatting sqref="BQ86">
    <cfRule type="expression" dxfId="5" priority="49">
      <formula>DQ18&gt;0</formula>
    </cfRule>
  </conditionalFormatting>
  <conditionalFormatting sqref="AZ86">
    <cfRule type="expression" dxfId="5" priority="50">
      <formula>DQ18&gt;0</formula>
    </cfRule>
  </conditionalFormatting>
  <conditionalFormatting sqref="AJ86:AR86">
    <cfRule type="expression" dxfId="6" priority="51">
      <formula>DP55=1</formula>
    </cfRule>
  </conditionalFormatting>
  <conditionalFormatting sqref="BA86:BI86">
    <cfRule type="expression" dxfId="6" priority="52">
      <formula>DP55=1</formula>
    </cfRule>
  </conditionalFormatting>
  <conditionalFormatting sqref="BR86:BZ86">
    <cfRule type="expression" dxfId="6" priority="53">
      <formula>DP55=1</formula>
    </cfRule>
  </conditionalFormatting>
  <conditionalFormatting sqref="CI86:CQ86">
    <cfRule type="expression" dxfId="6" priority="54">
      <formula>DP55=1</formula>
    </cfRule>
  </conditionalFormatting>
  <conditionalFormatting sqref="CZ86:DH86">
    <cfRule type="expression" dxfId="6" priority="55">
      <formula>DP55=1</formula>
    </cfRule>
  </conditionalFormatting>
  <conditionalFormatting sqref="S86:AA86">
    <cfRule type="expression" dxfId="5" priority="56">
      <formula>DP56=1</formula>
    </cfRule>
  </conditionalFormatting>
  <conditionalFormatting sqref="AJ86:AR86">
    <cfRule type="expression" dxfId="5" priority="57">
      <formula>DP56=1</formula>
    </cfRule>
  </conditionalFormatting>
  <conditionalFormatting sqref="BA86:BI86">
    <cfRule type="expression" dxfId="5" priority="58">
      <formula>DP56=1</formula>
    </cfRule>
  </conditionalFormatting>
  <conditionalFormatting sqref="BR86:BZ86">
    <cfRule type="expression" dxfId="5" priority="59">
      <formula>DP56=1</formula>
    </cfRule>
  </conditionalFormatting>
  <conditionalFormatting sqref="CI86:CQ86">
    <cfRule type="expression" dxfId="5" priority="60">
      <formula>DP56=1</formula>
    </cfRule>
  </conditionalFormatting>
  <conditionalFormatting sqref="CZ86:DH86">
    <cfRule type="expression" dxfId="5" priority="61">
      <formula>DP56=1</formula>
    </cfRule>
  </conditionalFormatting>
  <conditionalFormatting sqref="J16 J18 J20 J22 J25:J26 J28 J30 J32 J34 J36 J38 J40 J42 J44 J46 J48 J50 J52 J54 J56 J58 J60 J62 J64 J67:J68 J70 J72">
    <cfRule type="expression" dxfId="6" priority="62">
      <formula>OR(L17="C",L17="E")</formula>
    </cfRule>
  </conditionalFormatting>
  <conditionalFormatting sqref="AA16 AA18 AA20 AA22 AA25:AA26 AA28 AA30 AA32 AA34 AA36 AA38 AA40 AA42 AA44 AA46 AA48 AA50 AA52 AA54 AA56 AA58 AA60 AA62 AA64 AA67:AA68 AA70 AA72">
    <cfRule type="expression" dxfId="6" priority="63">
      <formula>OR(AC17="C",AC17="E")</formula>
    </cfRule>
  </conditionalFormatting>
  <conditionalFormatting sqref="AR16 AR18 AR20 AR22 AR25:AR26 AR28 AR30 AR32 AR34 AR36 AR38 AR40 AR42 AR44 AR46 AR48 AR50 AR52 AR54 AR56 AR58 AR60 AR62 AR64 AR67:AR68 AR70 AR72">
    <cfRule type="expression" dxfId="6" priority="64">
      <formula>OR(AT17="C",AT17="E")</formula>
    </cfRule>
  </conditionalFormatting>
  <conditionalFormatting sqref="BI16 BI18 BI20 BI22 BI25:BI26 BI28 BI30 BI32 BI34 BI36 BI38 BI40 BI42 BI44 BI46 BI48 BI50 BI52 BI54 BI56 BI58 BI60 BI62 BI64 BI67:BI68 BI70 BI72">
    <cfRule type="expression" dxfId="6" priority="65">
      <formula>OR(BK17="C",BK17="E")</formula>
    </cfRule>
  </conditionalFormatting>
  <conditionalFormatting sqref="BZ16 BZ18 BZ20 BZ22 BZ25:BZ26 BZ28 BZ30 BZ32 BZ34 BZ36 BZ38 BZ40 BZ42 BZ44 BZ46 BZ48 BZ50 BZ52 BZ54 BZ56 BZ58 BZ60 BZ62 BZ64 BZ67:BZ68 BZ70 BZ72">
    <cfRule type="expression" dxfId="6" priority="66">
      <formula>OR(CB17="C",CB17="E")</formula>
    </cfRule>
  </conditionalFormatting>
  <conditionalFormatting sqref="CQ16 CQ18 CQ20 CQ22 CQ25:CQ26 CQ28 CQ30 CQ32 CQ34 CQ36 CQ38 CQ40 CQ42 CQ44 CQ46 CQ48 CQ50 CQ52 CQ54 CQ56 CQ58 CQ60 CQ62 CQ64 CQ67:CQ68 CQ70 CQ72">
    <cfRule type="expression" dxfId="6" priority="67">
      <formula>OR(CS17="C",CS17="E")</formula>
    </cfRule>
  </conditionalFormatting>
  <conditionalFormatting sqref="DH16 DH18 DH20 DH22 DH25:DH26 DH28 DH30 DH32 DH34 DH36 DH38 DH40 DH42 DH44 DH46 DH48 DH50 DH52 DH54 DH56 DH58 DH60 DH62 DH64 DH67:DH68 DH70 DH72">
    <cfRule type="expression" dxfId="6" priority="68">
      <formula>OR(DJ17="C",DJ17="E")</formula>
    </cfRule>
  </conditionalFormatting>
  <dataValidations>
    <dataValidation type="list" allowBlank="1" showErrorMessage="1" sqref="D4 U4 AL4 BC4 BT4 CK4 DB4">
      <formula1>"0 - Muito Mal Recuperado,1 - Muito Pouca Recuperação,2 - Pouca Recuperação,3 - Recuperação Moderada,4 - Boa Recuperação,5 - Muito Boa Recuperação,6 - ,7 - Muito, Muito Boa Recuperação,8 - ,9 - ,10 - Totalmente Recuperado"</formula1>
    </dataValidation>
    <dataValidation type="list" allowBlank="1" showErrorMessage="1" sqref="D80 U80 AL80 BC80 BT80 CK80 DB80">
      <formula1>"0 - Repouso,1 - Muito Fácil,2 -,3 - Razoavelmente Fácil,4 - Um Pouco Difícil,5 - Difícil,6 -,7 - Muito Difícil,8 -,9 - Muito, Muito Difícil,10 - Esforço Máximo"</formula1>
    </dataValidation>
  </dataValidations>
  <hyperlinks>
    <hyperlink display="Ver Progresso Completo" location="'Relatório Semanal'!A1" ref="A91"/>
    <hyperlink display="Ver Progresso Completo" location="'Relatório Semanal'!A1" ref="R91"/>
    <hyperlink display="Ver Progresso Completo" location="'Relatório Semanal'!A1" ref="AI91"/>
    <hyperlink display="Ver Progresso Completo" location="'Relatório Semanal'!A1" ref="AZ91"/>
    <hyperlink display="Ver Progresso Completo" location="'Relatório Semanal'!A1" ref="BQ91"/>
    <hyperlink display="Ver Progresso Completo" location="'Relatório Semanal'!A1" ref="CH91"/>
    <hyperlink display="Ver Progresso Completo" location="'Relatório Semanal'!A1" ref="CY91"/>
  </hyperlink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86"/>
    <col customWidth="1" min="3" max="3" width="11.14"/>
    <col customWidth="1" min="4" max="4" width="10.29"/>
    <col customWidth="1" min="5" max="6" width="4.86"/>
    <col customWidth="1" min="7" max="7" width="4.57"/>
    <col customWidth="1" min="8" max="9" width="1.86"/>
    <col customWidth="1" min="10" max="10" width="5.57"/>
    <col customWidth="1" hidden="1" min="11" max="11" width="4.14"/>
    <col customWidth="1" hidden="1" min="12" max="14" width="3.57"/>
    <col customWidth="1" hidden="1" min="15" max="15" width="5.14"/>
    <col customWidth="1" hidden="1" min="16" max="16" width="3.57"/>
    <col customWidth="1" min="17" max="17" width="0.43"/>
    <col customWidth="1" min="18" max="19" width="9.86"/>
    <col customWidth="1" min="20" max="20" width="11.14"/>
    <col customWidth="1" min="21" max="21" width="10.29"/>
    <col customWidth="1" min="22" max="23" width="4.86"/>
    <col customWidth="1" min="24" max="24" width="4.57"/>
    <col customWidth="1" min="25" max="26" width="1.86"/>
    <col customWidth="1" min="27" max="27" width="5.57"/>
    <col customWidth="1" hidden="1" min="28" max="31" width="3.57"/>
    <col customWidth="1" hidden="1" min="32" max="32" width="4.43"/>
    <col customWidth="1" hidden="1" min="33" max="33" width="3.57"/>
    <col customWidth="1" min="34" max="34" width="0.43"/>
    <col customWidth="1" min="35" max="36" width="9.86"/>
    <col customWidth="1" min="37" max="37" width="11.14"/>
    <col customWidth="1" min="38" max="38" width="10.29"/>
    <col customWidth="1" min="39" max="40" width="4.86"/>
    <col customWidth="1" min="41" max="41" width="4.57"/>
    <col customWidth="1" min="42" max="43" width="1.86"/>
    <col customWidth="1" min="44" max="44" width="5.57"/>
    <col customWidth="1" hidden="1" min="45" max="48" width="3.57"/>
    <col customWidth="1" hidden="1" min="49" max="49" width="5.0"/>
    <col customWidth="1" hidden="1" min="50" max="50" width="3.57"/>
    <col customWidth="1" min="51" max="51" width="0.43"/>
    <col customWidth="1" min="52" max="53" width="9.86"/>
    <col customWidth="1" min="54" max="54" width="11.14"/>
    <col customWidth="1" min="55" max="55" width="10.29"/>
    <col customWidth="1" min="56" max="57" width="4.86"/>
    <col customWidth="1" min="58" max="58" width="4.57"/>
    <col customWidth="1" min="59" max="60" width="1.86"/>
    <col customWidth="1" min="61" max="61" width="5.57"/>
    <col customWidth="1" hidden="1" min="62" max="65" width="3.57"/>
    <col customWidth="1" hidden="1" min="66" max="66" width="4.71"/>
    <col customWidth="1" hidden="1" min="67" max="67" width="3.57"/>
    <col customWidth="1" min="68" max="68" width="0.43"/>
    <col customWidth="1" min="69" max="70" width="9.86"/>
    <col customWidth="1" min="71" max="71" width="11.14"/>
    <col customWidth="1" min="72" max="72" width="10.29"/>
    <col customWidth="1" min="73" max="74" width="4.86"/>
    <col customWidth="1" min="75" max="75" width="4.57"/>
    <col customWidth="1" min="76" max="77" width="1.86"/>
    <col customWidth="1" min="78" max="78" width="5.57"/>
    <col customWidth="1" hidden="1" min="79" max="82" width="3.57"/>
    <col customWidth="1" hidden="1" min="83" max="83" width="4.0"/>
    <col customWidth="1" hidden="1" min="84" max="84" width="3.57"/>
    <col customWidth="1" min="85" max="85" width="0.43"/>
    <col customWidth="1" min="86" max="87" width="9.86"/>
    <col customWidth="1" min="88" max="88" width="11.14"/>
    <col customWidth="1" min="89" max="89" width="10.29"/>
    <col customWidth="1" min="90" max="91" width="4.86"/>
    <col customWidth="1" min="92" max="92" width="4.57"/>
    <col customWidth="1" min="93" max="94" width="1.86"/>
    <col customWidth="1" min="95" max="95" width="5.57"/>
    <col customWidth="1" hidden="1" min="96" max="99" width="3.57"/>
    <col customWidth="1" hidden="1" min="100" max="100" width="4.86"/>
    <col customWidth="1" hidden="1" min="101" max="101" width="3.57"/>
    <col customWidth="1" min="102" max="102" width="0.43"/>
    <col customWidth="1" min="103" max="104" width="9.86"/>
    <col customWidth="1" min="105" max="105" width="11.14"/>
    <col customWidth="1" min="106" max="106" width="10.29"/>
    <col customWidth="1" min="107" max="108" width="4.86"/>
    <col customWidth="1" min="109" max="109" width="4.57"/>
    <col customWidth="1" min="110" max="111" width="1.86"/>
    <col customWidth="1" min="112" max="112" width="5.57"/>
    <col customWidth="1" hidden="1" min="113" max="116" width="3.57"/>
    <col customWidth="1" hidden="1" min="117" max="117" width="4.29"/>
    <col customWidth="1" hidden="1" min="118" max="118" width="3.57"/>
    <col customWidth="1" hidden="1" min="119" max="119" width="1.0"/>
    <col customWidth="1" hidden="1" min="120" max="120" width="42.43"/>
    <col customWidth="1" hidden="1" min="121" max="129" width="6.86"/>
  </cols>
  <sheetData>
    <row r="1" ht="7.5" customHeight="1">
      <c r="A1" s="35" t="str">
        <f>'Periodização Macrociclo'!$N$1</f>
        <v>Claudinei Gasparoto</v>
      </c>
      <c r="B1" s="36"/>
      <c r="C1" s="36"/>
      <c r="D1" s="36"/>
      <c r="E1" s="36"/>
      <c r="F1" s="36"/>
      <c r="G1" s="36"/>
      <c r="H1" s="36"/>
      <c r="I1" s="36"/>
      <c r="J1" s="37"/>
      <c r="K1" s="38"/>
      <c r="L1" s="38"/>
      <c r="M1" s="38"/>
      <c r="N1" s="38"/>
      <c r="O1" s="38"/>
      <c r="P1" s="38"/>
      <c r="Q1" s="39"/>
      <c r="R1" s="35" t="str">
        <f>$A1</f>
        <v>Claudinei Gasparoto</v>
      </c>
      <c r="S1" s="36"/>
      <c r="T1" s="36"/>
      <c r="U1" s="36"/>
      <c r="V1" s="36"/>
      <c r="W1" s="36"/>
      <c r="X1" s="36"/>
      <c r="Y1" s="36"/>
      <c r="Z1" s="36"/>
      <c r="AA1" s="37"/>
      <c r="AB1" s="38"/>
      <c r="AC1" s="40"/>
      <c r="AD1" s="40"/>
      <c r="AE1" s="40"/>
      <c r="AF1" s="40"/>
      <c r="AG1" s="40"/>
      <c r="AH1" s="39"/>
      <c r="AI1" s="35" t="str">
        <f>$A1</f>
        <v>Claudinei Gasparoto</v>
      </c>
      <c r="AJ1" s="36"/>
      <c r="AK1" s="36"/>
      <c r="AL1" s="36"/>
      <c r="AM1" s="36"/>
      <c r="AN1" s="36"/>
      <c r="AO1" s="36"/>
      <c r="AP1" s="36"/>
      <c r="AQ1" s="36"/>
      <c r="AR1" s="37"/>
      <c r="AS1" s="38"/>
      <c r="AT1" s="40"/>
      <c r="AU1" s="40"/>
      <c r="AV1" s="40"/>
      <c r="AW1" s="40"/>
      <c r="AX1" s="40"/>
      <c r="AY1" s="39"/>
      <c r="AZ1" s="35" t="str">
        <f>$A1</f>
        <v>Claudinei Gasparoto</v>
      </c>
      <c r="BA1" s="36"/>
      <c r="BB1" s="36"/>
      <c r="BC1" s="36"/>
      <c r="BD1" s="36"/>
      <c r="BE1" s="36"/>
      <c r="BF1" s="36"/>
      <c r="BG1" s="36"/>
      <c r="BH1" s="36"/>
      <c r="BI1" s="37"/>
      <c r="BJ1" s="38"/>
      <c r="BK1" s="40"/>
      <c r="BL1" s="40"/>
      <c r="BM1" s="40"/>
      <c r="BN1" s="40"/>
      <c r="BO1" s="40"/>
      <c r="BP1" s="39"/>
      <c r="BQ1" s="35" t="str">
        <f>$A1</f>
        <v>Claudinei Gasparoto</v>
      </c>
      <c r="BR1" s="36"/>
      <c r="BS1" s="36"/>
      <c r="BT1" s="36"/>
      <c r="BU1" s="36"/>
      <c r="BV1" s="36"/>
      <c r="BW1" s="36"/>
      <c r="BX1" s="36"/>
      <c r="BY1" s="36"/>
      <c r="BZ1" s="37"/>
      <c r="CA1" s="38"/>
      <c r="CB1" s="40"/>
      <c r="CC1" s="40"/>
      <c r="CD1" s="40"/>
      <c r="CE1" s="40"/>
      <c r="CF1" s="40"/>
      <c r="CG1" s="39"/>
      <c r="CH1" s="35" t="str">
        <f>$A1</f>
        <v>Claudinei Gasparoto</v>
      </c>
      <c r="CI1" s="36"/>
      <c r="CJ1" s="36"/>
      <c r="CK1" s="36"/>
      <c r="CL1" s="36"/>
      <c r="CM1" s="36"/>
      <c r="CN1" s="36"/>
      <c r="CO1" s="36"/>
      <c r="CP1" s="36"/>
      <c r="CQ1" s="37"/>
      <c r="CR1" s="38"/>
      <c r="CS1" s="40"/>
      <c r="CT1" s="40"/>
      <c r="CU1" s="40"/>
      <c r="CV1" s="40"/>
      <c r="CW1" s="40"/>
      <c r="CX1" s="39"/>
      <c r="CY1" s="35" t="str">
        <f>$A1</f>
        <v>Claudinei Gasparoto</v>
      </c>
      <c r="CZ1" s="36"/>
      <c r="DA1" s="36"/>
      <c r="DB1" s="36"/>
      <c r="DC1" s="36"/>
      <c r="DD1" s="36"/>
      <c r="DE1" s="36"/>
      <c r="DF1" s="36"/>
      <c r="DG1" s="36"/>
      <c r="DH1" s="37"/>
      <c r="DI1" s="38"/>
      <c r="DJ1" s="40"/>
      <c r="DK1" s="40"/>
      <c r="DL1" s="40"/>
      <c r="DM1" s="40"/>
      <c r="DN1" s="40"/>
      <c r="DO1" s="39"/>
      <c r="DP1" s="40"/>
      <c r="DQ1" s="41"/>
      <c r="DR1" s="41"/>
      <c r="DS1" s="41"/>
      <c r="DT1" s="41"/>
      <c r="DU1" s="41"/>
      <c r="DV1" s="41"/>
      <c r="DW1" s="41"/>
      <c r="DX1" s="41"/>
      <c r="DY1" s="41"/>
    </row>
    <row r="2" ht="7.5" customHeight="1">
      <c r="A2" s="42" t="s">
        <v>5</v>
      </c>
      <c r="B2" s="43">
        <f>Montagem!C202</f>
        <v>9</v>
      </c>
      <c r="C2" s="43" t="s">
        <v>6</v>
      </c>
      <c r="D2" s="44">
        <f>Montagem!F202</f>
        <v>33</v>
      </c>
      <c r="E2" s="45" t="s">
        <v>7</v>
      </c>
      <c r="F2" s="46"/>
      <c r="G2" s="46"/>
      <c r="H2" s="46"/>
      <c r="I2" s="47"/>
      <c r="J2" s="48">
        <f>Montagem!B243</f>
        <v>0</v>
      </c>
      <c r="K2" s="38" t="str">
        <f>IF(L2=0,0,L2-2&amp;" a "&amp;L2)</f>
        <v>0 a 2</v>
      </c>
      <c r="L2" s="38">
        <f>Montagem!O205</f>
        <v>2</v>
      </c>
      <c r="M2" s="38"/>
      <c r="N2" s="38"/>
      <c r="O2" s="38"/>
      <c r="P2" s="38"/>
      <c r="Q2" s="39"/>
      <c r="R2" s="42" t="s">
        <v>5</v>
      </c>
      <c r="S2" s="43">
        <f>B2</f>
        <v>9</v>
      </c>
      <c r="T2" s="43" t="s">
        <v>6</v>
      </c>
      <c r="U2" s="44">
        <f>D2</f>
        <v>33</v>
      </c>
      <c r="V2" s="45" t="s">
        <v>7</v>
      </c>
      <c r="W2" s="46"/>
      <c r="X2" s="46"/>
      <c r="Y2" s="46"/>
      <c r="Z2" s="47"/>
      <c r="AA2" s="48">
        <f>J2</f>
        <v>0</v>
      </c>
      <c r="AB2" s="38"/>
      <c r="AC2" s="49"/>
      <c r="AD2" s="49"/>
      <c r="AE2" s="49"/>
      <c r="AF2" s="49"/>
      <c r="AG2" s="49"/>
      <c r="AH2" s="39"/>
      <c r="AI2" s="42" t="s">
        <v>5</v>
      </c>
      <c r="AJ2" s="43">
        <f>B2</f>
        <v>9</v>
      </c>
      <c r="AK2" s="43" t="s">
        <v>6</v>
      </c>
      <c r="AL2" s="44">
        <f>D2</f>
        <v>33</v>
      </c>
      <c r="AM2" s="45" t="s">
        <v>7</v>
      </c>
      <c r="AN2" s="46"/>
      <c r="AO2" s="46"/>
      <c r="AP2" s="46"/>
      <c r="AQ2" s="47"/>
      <c r="AR2" s="48">
        <f>J2</f>
        <v>0</v>
      </c>
      <c r="AS2" s="38"/>
      <c r="AT2" s="49"/>
      <c r="AU2" s="49"/>
      <c r="AV2" s="49"/>
      <c r="AW2" s="49"/>
      <c r="AX2" s="49"/>
      <c r="AY2" s="39"/>
      <c r="AZ2" s="42" t="s">
        <v>5</v>
      </c>
      <c r="BA2" s="43">
        <f>B2</f>
        <v>9</v>
      </c>
      <c r="BB2" s="43" t="s">
        <v>6</v>
      </c>
      <c r="BC2" s="44">
        <f>D2</f>
        <v>33</v>
      </c>
      <c r="BD2" s="45" t="s">
        <v>7</v>
      </c>
      <c r="BE2" s="46"/>
      <c r="BF2" s="46"/>
      <c r="BG2" s="46"/>
      <c r="BH2" s="47"/>
      <c r="BI2" s="48">
        <f>J2</f>
        <v>0</v>
      </c>
      <c r="BJ2" s="38"/>
      <c r="BK2" s="49"/>
      <c r="BL2" s="49"/>
      <c r="BM2" s="49"/>
      <c r="BN2" s="49"/>
      <c r="BO2" s="49"/>
      <c r="BP2" s="39"/>
      <c r="BQ2" s="42" t="s">
        <v>5</v>
      </c>
      <c r="BR2" s="43">
        <f>B2</f>
        <v>9</v>
      </c>
      <c r="BS2" s="43" t="s">
        <v>6</v>
      </c>
      <c r="BT2" s="44">
        <f>D2</f>
        <v>33</v>
      </c>
      <c r="BU2" s="45" t="s">
        <v>7</v>
      </c>
      <c r="BV2" s="46"/>
      <c r="BW2" s="46"/>
      <c r="BX2" s="46"/>
      <c r="BY2" s="47"/>
      <c r="BZ2" s="48">
        <f>J2</f>
        <v>0</v>
      </c>
      <c r="CA2" s="38"/>
      <c r="CB2" s="49"/>
      <c r="CC2" s="49"/>
      <c r="CD2" s="49"/>
      <c r="CE2" s="49"/>
      <c r="CF2" s="49"/>
      <c r="CG2" s="39"/>
      <c r="CH2" s="42" t="s">
        <v>5</v>
      </c>
      <c r="CI2" s="43">
        <f>B2</f>
        <v>9</v>
      </c>
      <c r="CJ2" s="43" t="s">
        <v>6</v>
      </c>
      <c r="CK2" s="44">
        <f>D2</f>
        <v>33</v>
      </c>
      <c r="CL2" s="45" t="s">
        <v>7</v>
      </c>
      <c r="CM2" s="46"/>
      <c r="CN2" s="46"/>
      <c r="CO2" s="46"/>
      <c r="CP2" s="47"/>
      <c r="CQ2" s="48">
        <f>J2</f>
        <v>0</v>
      </c>
      <c r="CR2" s="38"/>
      <c r="CS2" s="49"/>
      <c r="CT2" s="49"/>
      <c r="CU2" s="49"/>
      <c r="CV2" s="49"/>
      <c r="CW2" s="49"/>
      <c r="CX2" s="39"/>
      <c r="CY2" s="42" t="s">
        <v>5</v>
      </c>
      <c r="CZ2" s="43">
        <f>B2</f>
        <v>9</v>
      </c>
      <c r="DA2" s="43" t="s">
        <v>6</v>
      </c>
      <c r="DB2" s="44">
        <f>D2</f>
        <v>33</v>
      </c>
      <c r="DC2" s="45" t="s">
        <v>7</v>
      </c>
      <c r="DD2" s="46"/>
      <c r="DE2" s="46"/>
      <c r="DF2" s="46"/>
      <c r="DG2" s="47"/>
      <c r="DH2" s="48">
        <f>J2</f>
        <v>0</v>
      </c>
      <c r="DI2" s="38"/>
      <c r="DJ2" s="49"/>
      <c r="DK2" s="49"/>
      <c r="DL2" s="49"/>
      <c r="DM2" s="49"/>
      <c r="DN2" s="49"/>
      <c r="DO2" s="39"/>
      <c r="DP2" s="49" t="s">
        <v>8</v>
      </c>
      <c r="DQ2" s="50">
        <f>IF(L80&gt;0,G9,0)+IF(AC80&gt;0,X9,0)+IF(AT80&gt;0,AO9,0)+IF(BK80&gt;0,BF9,0)+IF(CB80&gt;0,BW9,0)+IF(CS80&gt;0,CN9,0)+IF(DJ80&gt;0,DE9,0)</f>
        <v>0</v>
      </c>
      <c r="DR2" s="51"/>
      <c r="DS2" s="51"/>
      <c r="DT2" s="51"/>
      <c r="DU2" s="51"/>
      <c r="DV2" s="51"/>
      <c r="DW2" s="51"/>
      <c r="DX2" s="51"/>
      <c r="DY2" s="51"/>
    </row>
    <row r="3">
      <c r="A3" s="52">
        <f>Montagem!K208</f>
        <v>46062</v>
      </c>
      <c r="B3" s="53" t="str">
        <f>Montagem!K209</f>
        <v>Segunda-Feira</v>
      </c>
      <c r="C3" s="54"/>
      <c r="D3" s="54"/>
      <c r="E3" s="54"/>
      <c r="F3" s="54"/>
      <c r="G3" s="54"/>
      <c r="H3" s="54"/>
      <c r="I3" s="54"/>
      <c r="J3" s="55"/>
      <c r="K3" s="56">
        <f>DQ17-DQ18</f>
        <v>0</v>
      </c>
      <c r="L3" s="57"/>
      <c r="M3" s="57"/>
      <c r="N3" s="57"/>
      <c r="O3" s="57"/>
      <c r="P3" s="57"/>
      <c r="Q3" s="58"/>
      <c r="R3" s="52">
        <f>Montagem!Z208</f>
        <v>46063</v>
      </c>
      <c r="S3" s="53" t="str">
        <f>Montagem!Z209</f>
        <v>Terça-Feira</v>
      </c>
      <c r="T3" s="54"/>
      <c r="U3" s="54"/>
      <c r="V3" s="54"/>
      <c r="W3" s="54"/>
      <c r="X3" s="54"/>
      <c r="Y3" s="54"/>
      <c r="Z3" s="54"/>
      <c r="AA3" s="55"/>
      <c r="AB3" s="57"/>
      <c r="AC3" s="57"/>
      <c r="AD3" s="57"/>
      <c r="AE3" s="57"/>
      <c r="AF3" s="57"/>
      <c r="AG3" s="57"/>
      <c r="AH3" s="58"/>
      <c r="AI3" s="52">
        <f>Montagem!AO208</f>
        <v>46064</v>
      </c>
      <c r="AJ3" s="53" t="str">
        <f>Montagem!AO209</f>
        <v>Quarta-Feira</v>
      </c>
      <c r="AK3" s="54"/>
      <c r="AL3" s="54"/>
      <c r="AM3" s="54"/>
      <c r="AN3" s="54"/>
      <c r="AO3" s="54"/>
      <c r="AP3" s="54"/>
      <c r="AQ3" s="54"/>
      <c r="AR3" s="55"/>
      <c r="AS3" s="57"/>
      <c r="AT3" s="57"/>
      <c r="AU3" s="57"/>
      <c r="AV3" s="57"/>
      <c r="AW3" s="57"/>
      <c r="AX3" s="57"/>
      <c r="AY3" s="58"/>
      <c r="AZ3" s="52">
        <f>Montagem!BD208</f>
        <v>46065</v>
      </c>
      <c r="BA3" s="53" t="str">
        <f>Montagem!BD209</f>
        <v>Quinta Feira</v>
      </c>
      <c r="BB3" s="54"/>
      <c r="BC3" s="54"/>
      <c r="BD3" s="54"/>
      <c r="BE3" s="54"/>
      <c r="BF3" s="54"/>
      <c r="BG3" s="54"/>
      <c r="BH3" s="54"/>
      <c r="BI3" s="55"/>
      <c r="BJ3" s="57"/>
      <c r="BK3" s="57"/>
      <c r="BL3" s="57"/>
      <c r="BM3" s="57"/>
      <c r="BN3" s="57"/>
      <c r="BO3" s="57"/>
      <c r="BP3" s="58"/>
      <c r="BQ3" s="52">
        <f>Montagem!BS208</f>
        <v>46066</v>
      </c>
      <c r="BR3" s="53" t="str">
        <f>Montagem!BS209</f>
        <v>Sexta-Feira</v>
      </c>
      <c r="BS3" s="54"/>
      <c r="BT3" s="54"/>
      <c r="BU3" s="54"/>
      <c r="BV3" s="54"/>
      <c r="BW3" s="54"/>
      <c r="BX3" s="54"/>
      <c r="BY3" s="54"/>
      <c r="BZ3" s="55"/>
      <c r="CA3" s="57"/>
      <c r="CB3" s="57"/>
      <c r="CC3" s="57"/>
      <c r="CD3" s="57"/>
      <c r="CE3" s="57"/>
      <c r="CF3" s="57"/>
      <c r="CG3" s="58"/>
      <c r="CH3" s="52">
        <f>Montagem!CH208</f>
        <v>46067</v>
      </c>
      <c r="CI3" s="53" t="str">
        <f>Montagem!CH209</f>
        <v>Sábado</v>
      </c>
      <c r="CJ3" s="54"/>
      <c r="CK3" s="54"/>
      <c r="CL3" s="54"/>
      <c r="CM3" s="54"/>
      <c r="CN3" s="54"/>
      <c r="CO3" s="54"/>
      <c r="CP3" s="54"/>
      <c r="CQ3" s="55"/>
      <c r="CR3" s="57"/>
      <c r="CS3" s="57"/>
      <c r="CT3" s="57"/>
      <c r="CU3" s="57"/>
      <c r="CV3" s="57"/>
      <c r="CW3" s="57"/>
      <c r="CX3" s="58"/>
      <c r="CY3" s="52">
        <f>Montagem!CW208</f>
        <v>46068</v>
      </c>
      <c r="CZ3" s="53" t="str">
        <f>Montagem!CW209</f>
        <v>Domingo</v>
      </c>
      <c r="DA3" s="54"/>
      <c r="DB3" s="54"/>
      <c r="DC3" s="54"/>
      <c r="DD3" s="54"/>
      <c r="DE3" s="54"/>
      <c r="DF3" s="54"/>
      <c r="DG3" s="54"/>
      <c r="DH3" s="55"/>
      <c r="DI3" s="57"/>
      <c r="DJ3" s="57"/>
      <c r="DK3" s="57"/>
      <c r="DL3" s="57"/>
      <c r="DM3" s="57"/>
      <c r="DN3" s="57"/>
      <c r="DO3" s="58"/>
      <c r="DP3" s="57" t="s">
        <v>9</v>
      </c>
      <c r="DQ3" s="56">
        <f>IF(L80&gt;0,IF(ISNUMBER(B82),B82,B6),0)+IF(AC80&gt;0,IF(ISNUMBER(S82),S82,S6),0)+IF(AT80&gt;0,IF(ISNUMBER(AJ82),AJ82,AJ6),0)+IF(BK80&gt;0,IF(ISNUMBER(BA82),BA82,BA6),0)+IF(CB80&gt;0,IF(ISNUMBER(BR82),BR82,BR6),0)+IF(CS80&gt;0,IF(ISNUMBER(CI82),CI82,CI6),0)+IF(DJ80&gt;0,IF(ISNUMBER(CZ82),CZ82,CZ6),0)</f>
        <v>0</v>
      </c>
      <c r="DR3" s="56"/>
      <c r="DS3" s="56"/>
      <c r="DT3" s="56"/>
      <c r="DU3" s="56"/>
      <c r="DV3" s="56"/>
      <c r="DW3" s="56"/>
      <c r="DX3" s="56"/>
      <c r="DY3" s="56"/>
    </row>
    <row r="4">
      <c r="A4" s="59" t="s">
        <v>10</v>
      </c>
      <c r="B4" s="60"/>
      <c r="C4" s="61"/>
      <c r="D4" s="62"/>
      <c r="E4" s="60"/>
      <c r="F4" s="60"/>
      <c r="G4" s="60"/>
      <c r="H4" s="60"/>
      <c r="I4" s="60"/>
      <c r="J4" s="63"/>
      <c r="K4" s="64" t="str">
        <f>IF(D4="","",LEFT(D4,2)+0)</f>
        <v/>
      </c>
      <c r="L4" s="57"/>
      <c r="M4" s="57"/>
      <c r="N4" s="57"/>
      <c r="O4" s="57"/>
      <c r="P4" s="57"/>
      <c r="Q4" s="58"/>
      <c r="R4" s="59" t="s">
        <v>10</v>
      </c>
      <c r="S4" s="60"/>
      <c r="T4" s="61"/>
      <c r="U4" s="62"/>
      <c r="V4" s="60"/>
      <c r="W4" s="60"/>
      <c r="X4" s="60"/>
      <c r="Y4" s="60"/>
      <c r="Z4" s="60"/>
      <c r="AA4" s="63"/>
      <c r="AB4" s="64" t="str">
        <f>IF(U4="","",LEFT(U4,2)+0)</f>
        <v/>
      </c>
      <c r="AC4" s="57"/>
      <c r="AD4" s="57"/>
      <c r="AE4" s="57"/>
      <c r="AF4" s="57"/>
      <c r="AG4" s="57"/>
      <c r="AH4" s="58"/>
      <c r="AI4" s="59" t="s">
        <v>10</v>
      </c>
      <c r="AJ4" s="60"/>
      <c r="AK4" s="61"/>
      <c r="AL4" s="62"/>
      <c r="AM4" s="60"/>
      <c r="AN4" s="60"/>
      <c r="AO4" s="60"/>
      <c r="AP4" s="60"/>
      <c r="AQ4" s="60"/>
      <c r="AR4" s="63"/>
      <c r="AS4" s="64" t="str">
        <f>IF(AL4="","",LEFT(AL4,2)+0)</f>
        <v/>
      </c>
      <c r="AT4" s="57"/>
      <c r="AU4" s="57"/>
      <c r="AV4" s="57"/>
      <c r="AW4" s="57"/>
      <c r="AX4" s="57"/>
      <c r="AY4" s="58"/>
      <c r="AZ4" s="59" t="s">
        <v>10</v>
      </c>
      <c r="BA4" s="60"/>
      <c r="BB4" s="61"/>
      <c r="BC4" s="62"/>
      <c r="BD4" s="60"/>
      <c r="BE4" s="60"/>
      <c r="BF4" s="60"/>
      <c r="BG4" s="60"/>
      <c r="BH4" s="60"/>
      <c r="BI4" s="63"/>
      <c r="BJ4" s="64" t="str">
        <f>IF(BC4="","",LEFT(BC4,2)+0)</f>
        <v/>
      </c>
      <c r="BK4" s="57"/>
      <c r="BL4" s="57"/>
      <c r="BM4" s="57"/>
      <c r="BN4" s="57"/>
      <c r="BO4" s="57"/>
      <c r="BP4" s="58"/>
      <c r="BQ4" s="59" t="s">
        <v>10</v>
      </c>
      <c r="BR4" s="60"/>
      <c r="BS4" s="61"/>
      <c r="BT4" s="62"/>
      <c r="BU4" s="60"/>
      <c r="BV4" s="60"/>
      <c r="BW4" s="60"/>
      <c r="BX4" s="60"/>
      <c r="BY4" s="60"/>
      <c r="BZ4" s="63"/>
      <c r="CA4" s="64" t="str">
        <f>IF(BT4="","",LEFT(BT4,2)+0)</f>
        <v/>
      </c>
      <c r="CB4" s="57"/>
      <c r="CC4" s="57"/>
      <c r="CD4" s="57"/>
      <c r="CE4" s="57"/>
      <c r="CF4" s="57"/>
      <c r="CG4" s="58"/>
      <c r="CH4" s="59" t="s">
        <v>10</v>
      </c>
      <c r="CI4" s="60"/>
      <c r="CJ4" s="61"/>
      <c r="CK4" s="62"/>
      <c r="CL4" s="60"/>
      <c r="CM4" s="60"/>
      <c r="CN4" s="60"/>
      <c r="CO4" s="60"/>
      <c r="CP4" s="60"/>
      <c r="CQ4" s="63"/>
      <c r="CR4" s="64" t="str">
        <f>IF(CK4="","",LEFT(CK4,2)+0)</f>
        <v/>
      </c>
      <c r="CS4" s="57"/>
      <c r="CT4" s="57"/>
      <c r="CU4" s="57"/>
      <c r="CV4" s="57"/>
      <c r="CW4" s="57"/>
      <c r="CX4" s="58"/>
      <c r="CY4" s="59" t="s">
        <v>10</v>
      </c>
      <c r="CZ4" s="60"/>
      <c r="DA4" s="61"/>
      <c r="DB4" s="62"/>
      <c r="DC4" s="60"/>
      <c r="DD4" s="60"/>
      <c r="DE4" s="60"/>
      <c r="DF4" s="60"/>
      <c r="DG4" s="60"/>
      <c r="DH4" s="63"/>
      <c r="DI4" s="64" t="str">
        <f>IF(DB4="","",LEFT(DB4,2)+0)</f>
        <v/>
      </c>
      <c r="DJ4" s="57"/>
      <c r="DK4" s="57"/>
      <c r="DL4" s="57"/>
      <c r="DM4" s="57"/>
      <c r="DN4" s="57"/>
      <c r="DO4" s="58"/>
      <c r="DP4" s="57" t="s">
        <v>12</v>
      </c>
      <c r="DQ4" s="56">
        <f>IF(L80&gt;0,D82,0)+IF(AC80&gt;0,U82,0)+IF(AT80&gt;0,AL82,0)+IF(BK80&gt;0,BC82,0)+IF(CB80&gt;0,BT82,0)+IF(CS80&gt;0,CK82,0)+IF(DJ80&gt;0,DB82,0)</f>
        <v>0</v>
      </c>
      <c r="DR4" s="56"/>
      <c r="DS4" s="56"/>
      <c r="DT4" s="56"/>
      <c r="DU4" s="56"/>
      <c r="DV4" s="56"/>
      <c r="DW4" s="56"/>
      <c r="DX4" s="56"/>
      <c r="DY4" s="56"/>
    </row>
    <row r="5">
      <c r="A5" s="65" t="str">
        <f>IF(G9=10,"Tenha um bom descanso!😉💤","TREINAMENTO CÍCLICO")</f>
        <v>Tenha um bom descanso!😉💤</v>
      </c>
      <c r="J5" s="66"/>
      <c r="K5" s="57"/>
      <c r="L5" s="57"/>
      <c r="M5" s="57"/>
      <c r="N5" s="57"/>
      <c r="O5" s="57"/>
      <c r="P5" s="57"/>
      <c r="Q5" s="58"/>
      <c r="R5" s="65" t="str">
        <f>IF(X9=10,"Tenha um bom descanso!😉💤","TREINAMENTO CÍCLICO")</f>
        <v>Tenha um bom descanso!😉💤</v>
      </c>
      <c r="AA5" s="66"/>
      <c r="AB5" s="57"/>
      <c r="AC5" s="57"/>
      <c r="AD5" s="57"/>
      <c r="AE5" s="57"/>
      <c r="AF5" s="57"/>
      <c r="AG5" s="57"/>
      <c r="AH5" s="58"/>
      <c r="AI5" s="65" t="str">
        <f>IF(AO9=10,"Tenha um bom descanso!😉💤","TREINAMENTO CÍCLICO")</f>
        <v>Tenha um bom descanso!😉💤</v>
      </c>
      <c r="AR5" s="66"/>
      <c r="AS5" s="57"/>
      <c r="AT5" s="57"/>
      <c r="AU5" s="57"/>
      <c r="AV5" s="57"/>
      <c r="AW5" s="57"/>
      <c r="AX5" s="57"/>
      <c r="AY5" s="58"/>
      <c r="AZ5" s="65" t="str">
        <f>IF(BF9=10,"Tenha um bom descanso!😉💤","TREINAMENTO CÍCLICO")</f>
        <v>Tenha um bom descanso!😉💤</v>
      </c>
      <c r="BI5" s="66"/>
      <c r="BJ5" s="57"/>
      <c r="BK5" s="57"/>
      <c r="BL5" s="57"/>
      <c r="BM5" s="57"/>
      <c r="BN5" s="57"/>
      <c r="BO5" s="57"/>
      <c r="BP5" s="58"/>
      <c r="BQ5" s="65" t="str">
        <f>IF(BW9=10,"Tenha um bom descanso!😉💤","TREINAMENTO CÍCLICO")</f>
        <v>Tenha um bom descanso!😉💤</v>
      </c>
      <c r="BZ5" s="66"/>
      <c r="CA5" s="57"/>
      <c r="CB5" s="57"/>
      <c r="CC5" s="57"/>
      <c r="CD5" s="57"/>
      <c r="CE5" s="57"/>
      <c r="CF5" s="57"/>
      <c r="CG5" s="58"/>
      <c r="CH5" s="65" t="str">
        <f>IF(CN9=10,"Tenha um bom descanso!😉💤","TREINAMENTO CÍCLICO")</f>
        <v>Tenha um bom descanso!😉💤</v>
      </c>
      <c r="CQ5" s="66"/>
      <c r="CR5" s="57"/>
      <c r="CS5" s="57"/>
      <c r="CT5" s="57"/>
      <c r="CU5" s="57"/>
      <c r="CV5" s="57"/>
      <c r="CW5" s="57"/>
      <c r="CX5" s="58"/>
      <c r="CY5" s="65" t="str">
        <f>IF(DE9=10,"Tenha um bom descanso!😉💤","TREINAMENTO CÍCLICO")</f>
        <v>Tenha um bom descanso!😉💤</v>
      </c>
      <c r="DH5" s="66"/>
      <c r="DI5" s="57"/>
      <c r="DJ5" s="57"/>
      <c r="DK5" s="57"/>
      <c r="DL5" s="57"/>
      <c r="DM5" s="57"/>
      <c r="DN5" s="57"/>
      <c r="DO5" s="58"/>
      <c r="DP5" s="57" t="s">
        <v>13</v>
      </c>
      <c r="DQ5" s="56">
        <f>IF(L80&gt;0,B8,0)+IF(AC80&gt;0,S8,0)+IF(AT80&gt;0,AJ8,0)+IF(BK80&gt;0,BA8,0)+IF(CB80&gt;0,BR8,0)+IF(CS80&gt;0,CI8,0)+IF(DJ80&gt;0,CZ8,0)</f>
        <v>0</v>
      </c>
      <c r="DR5" s="56"/>
      <c r="DS5" s="56"/>
      <c r="DT5" s="56"/>
      <c r="DU5" s="56"/>
      <c r="DV5" s="56"/>
      <c r="DW5" s="56"/>
      <c r="DX5" s="56"/>
      <c r="DY5" s="56"/>
    </row>
    <row r="6">
      <c r="A6" s="67" t="s">
        <v>14</v>
      </c>
      <c r="B6" s="68" t="str">
        <f>Montagem!C215</f>
        <v/>
      </c>
      <c r="C6" s="69" t="s">
        <v>15</v>
      </c>
      <c r="D6" s="70" t="str">
        <f>Montagem!C217</f>
        <v/>
      </c>
      <c r="E6" s="61"/>
      <c r="F6" s="71" t="s">
        <v>16</v>
      </c>
      <c r="G6" s="61"/>
      <c r="H6" s="72">
        <f>0.0175*IF(ISNUMBER(B82),B82,B6)*'Dados de Base'!$D$5*('Dados de Base'!$D$7*IF(ISNUMBER(G82),(G82-'Dados de Base'!$F$6)/('Dados de Base'!$E$20-'Dados de Base'!$F$6),Montagem!C227))</f>
        <v>0</v>
      </c>
      <c r="I6" s="60"/>
      <c r="J6" s="63"/>
      <c r="K6" s="57"/>
      <c r="L6" s="57"/>
      <c r="M6" s="57"/>
      <c r="N6" s="57"/>
      <c r="O6" s="57"/>
      <c r="P6" s="57"/>
      <c r="Q6" s="58"/>
      <c r="R6" s="67" t="s">
        <v>14</v>
      </c>
      <c r="S6" s="68" t="str">
        <f>Montagem!D215</f>
        <v/>
      </c>
      <c r="T6" s="69" t="s">
        <v>15</v>
      </c>
      <c r="U6" s="70" t="str">
        <f>Montagem!D217</f>
        <v/>
      </c>
      <c r="V6" s="61"/>
      <c r="W6" s="71" t="s">
        <v>16</v>
      </c>
      <c r="X6" s="61"/>
      <c r="Y6" s="72">
        <f>0.0175*IF(ISNUMBER(S82),S82,S6)*'Dados de Base'!$D$5*('Dados de Base'!$D$7*IF(ISNUMBER(X82),(X82-'Dados de Base'!$F$6)/('Dados de Base'!$E$20-'Dados de Base'!$F$6),Montagem!D227))</f>
        <v>0</v>
      </c>
      <c r="Z6" s="60"/>
      <c r="AA6" s="63"/>
      <c r="AB6" s="57"/>
      <c r="AC6" s="57"/>
      <c r="AD6" s="57"/>
      <c r="AE6" s="57"/>
      <c r="AF6" s="57"/>
      <c r="AG6" s="57"/>
      <c r="AH6" s="58"/>
      <c r="AI6" s="67" t="s">
        <v>14</v>
      </c>
      <c r="AJ6" s="68" t="str">
        <f>Montagem!E215</f>
        <v/>
      </c>
      <c r="AK6" s="69" t="s">
        <v>15</v>
      </c>
      <c r="AL6" s="70" t="str">
        <f>Montagem!E217</f>
        <v/>
      </c>
      <c r="AM6" s="61"/>
      <c r="AN6" s="71" t="s">
        <v>16</v>
      </c>
      <c r="AO6" s="61"/>
      <c r="AP6" s="72">
        <f>0.0175*IF(ISNUMBER(AJ82),AJ82,AJ6)*'Dados de Base'!$D$5*('Dados de Base'!$D$7*IF(ISNUMBER(AO82),(AO82-'Dados de Base'!$F$6)/('Dados de Base'!$E$20-'Dados de Base'!$F$6),Montagem!E227))</f>
        <v>0</v>
      </c>
      <c r="AQ6" s="60"/>
      <c r="AR6" s="63"/>
      <c r="AS6" s="57"/>
      <c r="AT6" s="57"/>
      <c r="AU6" s="57"/>
      <c r="AV6" s="57"/>
      <c r="AW6" s="57"/>
      <c r="AX6" s="57"/>
      <c r="AY6" s="58"/>
      <c r="AZ6" s="67" t="s">
        <v>14</v>
      </c>
      <c r="BA6" s="68" t="str">
        <f>Montagem!F215</f>
        <v/>
      </c>
      <c r="BB6" s="69" t="s">
        <v>15</v>
      </c>
      <c r="BC6" s="70" t="str">
        <f>Montagem!F217</f>
        <v/>
      </c>
      <c r="BD6" s="61"/>
      <c r="BE6" s="71" t="s">
        <v>16</v>
      </c>
      <c r="BF6" s="61"/>
      <c r="BG6" s="72">
        <f>0.0175*IF(ISNUMBER(BA82),BA82,BA6)*'Dados de Base'!$D$5*('Dados de Base'!$D$7*IF(ISNUMBER(BF82),(BF82-'Dados de Base'!$F$6)/('Dados de Base'!$E$20-'Dados de Base'!$F$6),Montagem!F227))</f>
        <v>0</v>
      </c>
      <c r="BH6" s="60"/>
      <c r="BI6" s="63"/>
      <c r="BJ6" s="57"/>
      <c r="BK6" s="57"/>
      <c r="BL6" s="57"/>
      <c r="BM6" s="57"/>
      <c r="BN6" s="57"/>
      <c r="BO6" s="57"/>
      <c r="BP6" s="58"/>
      <c r="BQ6" s="67" t="s">
        <v>14</v>
      </c>
      <c r="BR6" s="68" t="str">
        <f>Montagem!G215</f>
        <v/>
      </c>
      <c r="BS6" s="69" t="s">
        <v>15</v>
      </c>
      <c r="BT6" s="70" t="str">
        <f>Montagem!G217</f>
        <v/>
      </c>
      <c r="BU6" s="61"/>
      <c r="BV6" s="71" t="s">
        <v>16</v>
      </c>
      <c r="BW6" s="61"/>
      <c r="BX6" s="72">
        <f>0.0175*IF(ISNUMBER(BR82),BR82,BR6)*'Dados de Base'!$D$5*('Dados de Base'!$D$7*IF(ISNUMBER(BW82),(BW82-'Dados de Base'!$F$6)/('Dados de Base'!$E$20-'Dados de Base'!$F$6),Montagem!G227))</f>
        <v>0</v>
      </c>
      <c r="BY6" s="60"/>
      <c r="BZ6" s="63"/>
      <c r="CA6" s="57"/>
      <c r="CB6" s="57"/>
      <c r="CC6" s="57"/>
      <c r="CD6" s="57"/>
      <c r="CE6" s="57"/>
      <c r="CF6" s="57"/>
      <c r="CG6" s="58"/>
      <c r="CH6" s="67" t="s">
        <v>14</v>
      </c>
      <c r="CI6" s="68" t="str">
        <f>Montagem!H215</f>
        <v/>
      </c>
      <c r="CJ6" s="69" t="s">
        <v>15</v>
      </c>
      <c r="CK6" s="70" t="str">
        <f>Montagem!H217</f>
        <v/>
      </c>
      <c r="CL6" s="61"/>
      <c r="CM6" s="71" t="s">
        <v>16</v>
      </c>
      <c r="CN6" s="61"/>
      <c r="CO6" s="72">
        <f>0.0175*IF(ISNUMBER(CI82),CI82,CI6)*'Dados de Base'!$D$5*('Dados de Base'!$D$7*IF(ISNUMBER(CN82),(CN82-'Dados de Base'!$F$6)/('Dados de Base'!$E$20-'Dados de Base'!$F$6),Montagem!H227))</f>
        <v>0</v>
      </c>
      <c r="CP6" s="60"/>
      <c r="CQ6" s="63"/>
      <c r="CR6" s="57"/>
      <c r="CS6" s="57"/>
      <c r="CT6" s="57"/>
      <c r="CU6" s="57"/>
      <c r="CV6" s="57"/>
      <c r="CW6" s="57"/>
      <c r="CX6" s="58"/>
      <c r="CY6" s="67" t="s">
        <v>14</v>
      </c>
      <c r="CZ6" s="68" t="str">
        <f>Montagem!I215</f>
        <v/>
      </c>
      <c r="DA6" s="69" t="s">
        <v>15</v>
      </c>
      <c r="DB6" s="70" t="str">
        <f>Montagem!I217</f>
        <v/>
      </c>
      <c r="DC6" s="61"/>
      <c r="DD6" s="71" t="s">
        <v>16</v>
      </c>
      <c r="DE6" s="61"/>
      <c r="DF6" s="72">
        <f>0.0175*IF(ISNUMBER(CZ82),CZ82,CZ6)*'Dados de Base'!$D$5*('Dados de Base'!$D$7*IF(ISNUMBER(DE82),(DE82-'Dados de Base'!$F$6)/('Dados de Base'!$E$20-'Dados de Base'!$F$6),Montagem!I227))</f>
        <v>0</v>
      </c>
      <c r="DG6" s="60"/>
      <c r="DH6" s="63"/>
      <c r="DI6" s="57"/>
      <c r="DJ6" s="57"/>
      <c r="DK6" s="57"/>
      <c r="DL6" s="57"/>
      <c r="DM6" s="57"/>
      <c r="DN6" s="57"/>
      <c r="DO6" s="58"/>
      <c r="DP6" s="73" t="s">
        <v>17</v>
      </c>
      <c r="DQ6" s="74">
        <f>IF(L80&gt;0,E8,0)+IF(AC80&gt;0,V8,0)+IF(AT80&gt;0,AM8,0)+IF(BK80&gt;0,BD8,0)+IF(CB80&gt;0,BU8,0)+IF(CS80&gt;0,CL8,0)+IF(DJ80&gt;0,DC8,0)</f>
        <v>0</v>
      </c>
      <c r="DR6" s="74"/>
      <c r="DS6" s="74"/>
      <c r="DT6" s="74"/>
      <c r="DU6" s="74"/>
      <c r="DV6" s="74"/>
      <c r="DW6" s="74"/>
      <c r="DX6" s="74"/>
      <c r="DY6" s="74"/>
    </row>
    <row r="7">
      <c r="A7" s="75" t="str">
        <f>IF(G9=10,"Se você tem treino programado nesta data, entre em contato com a equipe para atualizarmos a sessão!","TREINAMENTO RESISTIDO")</f>
        <v>Se você tem treino programado nesta data, entre em contato com a equipe para atualizarmos a sessão!</v>
      </c>
      <c r="B7" s="60"/>
      <c r="C7" s="60"/>
      <c r="D7" s="60"/>
      <c r="E7" s="60"/>
      <c r="F7" s="60"/>
      <c r="G7" s="60"/>
      <c r="H7" s="60"/>
      <c r="I7" s="60"/>
      <c r="J7" s="63"/>
      <c r="K7" s="76"/>
      <c r="L7" s="76"/>
      <c r="M7" s="76"/>
      <c r="N7" s="76"/>
      <c r="O7" s="76"/>
      <c r="P7" s="76"/>
      <c r="Q7" s="77"/>
      <c r="R7" s="75" t="str">
        <f>IF(X9=10,"Se você tem treino programado nesta data, entre em contato com a equipe para atualizarmos a sessão!","TREINAMENTO RESISTIDO")</f>
        <v>Se você tem treino programado nesta data, entre em contato com a equipe para atualizarmos a sessão!</v>
      </c>
      <c r="S7" s="60"/>
      <c r="T7" s="60"/>
      <c r="U7" s="60"/>
      <c r="V7" s="60"/>
      <c r="W7" s="60"/>
      <c r="X7" s="60"/>
      <c r="Y7" s="60"/>
      <c r="Z7" s="60"/>
      <c r="AA7" s="63"/>
      <c r="AB7" s="76"/>
      <c r="AC7" s="76"/>
      <c r="AD7" s="76"/>
      <c r="AE7" s="76"/>
      <c r="AF7" s="76"/>
      <c r="AG7" s="76"/>
      <c r="AH7" s="77"/>
      <c r="AI7" s="75" t="str">
        <f>IF(AO9=10,"Se você tem treino programado nesta data, entre em contato com a equipe para atualizarmos a sessão!","TREINAMENTO RESISTIDO")</f>
        <v>Se você tem treino programado nesta data, entre em contato com a equipe para atualizarmos a sessão!</v>
      </c>
      <c r="AJ7" s="60"/>
      <c r="AK7" s="60"/>
      <c r="AL7" s="60"/>
      <c r="AM7" s="60"/>
      <c r="AN7" s="60"/>
      <c r="AO7" s="60"/>
      <c r="AP7" s="60"/>
      <c r="AQ7" s="60"/>
      <c r="AR7" s="63"/>
      <c r="AS7" s="76"/>
      <c r="AT7" s="76"/>
      <c r="AU7" s="76"/>
      <c r="AV7" s="76"/>
      <c r="AW7" s="76"/>
      <c r="AX7" s="76"/>
      <c r="AY7" s="77"/>
      <c r="AZ7" s="75" t="str">
        <f>IF(BF9=10,"Se você tem treino programado nesta data, entre em contato com a equipe para atualizarmos a sessão!","TREINAMENTO RESISTIDO")</f>
        <v>Se você tem treino programado nesta data, entre em contato com a equipe para atualizarmos a sessão!</v>
      </c>
      <c r="BA7" s="60"/>
      <c r="BB7" s="60"/>
      <c r="BC7" s="60"/>
      <c r="BD7" s="60"/>
      <c r="BE7" s="60"/>
      <c r="BF7" s="60"/>
      <c r="BG7" s="60"/>
      <c r="BH7" s="60"/>
      <c r="BI7" s="63"/>
      <c r="BJ7" s="76"/>
      <c r="BK7" s="76"/>
      <c r="BL7" s="76"/>
      <c r="BM7" s="76"/>
      <c r="BN7" s="76"/>
      <c r="BO7" s="76"/>
      <c r="BP7" s="77"/>
      <c r="BQ7" s="75" t="str">
        <f>IF(BW9=10,"Se você tem treino programado nesta data, entre em contato com a equipe para atualizarmos a sessão!","TREINAMENTO RESISTIDO")</f>
        <v>Se você tem treino programado nesta data, entre em contato com a equipe para atualizarmos a sessão!</v>
      </c>
      <c r="BR7" s="60"/>
      <c r="BS7" s="60"/>
      <c r="BT7" s="60"/>
      <c r="BU7" s="60"/>
      <c r="BV7" s="60"/>
      <c r="BW7" s="60"/>
      <c r="BX7" s="60"/>
      <c r="BY7" s="60"/>
      <c r="BZ7" s="63"/>
      <c r="CA7" s="76"/>
      <c r="CB7" s="76"/>
      <c r="CC7" s="76"/>
      <c r="CD7" s="76"/>
      <c r="CE7" s="76"/>
      <c r="CF7" s="76"/>
      <c r="CG7" s="77"/>
      <c r="CH7" s="75" t="str">
        <f>IF(CN9=10,"Se você tem treino programado nesta data, entre em contato com a equipe para atualizarmos a sessão!","TREINAMENTO RESISTIDO")</f>
        <v>Se você tem treino programado nesta data, entre em contato com a equipe para atualizarmos a sessão!</v>
      </c>
      <c r="CI7" s="60"/>
      <c r="CJ7" s="60"/>
      <c r="CK7" s="60"/>
      <c r="CL7" s="60"/>
      <c r="CM7" s="60"/>
      <c r="CN7" s="60"/>
      <c r="CO7" s="60"/>
      <c r="CP7" s="60"/>
      <c r="CQ7" s="63"/>
      <c r="CR7" s="76"/>
      <c r="CS7" s="76"/>
      <c r="CT7" s="76"/>
      <c r="CU7" s="76"/>
      <c r="CV7" s="76"/>
      <c r="CW7" s="76"/>
      <c r="CX7" s="77"/>
      <c r="CY7" s="75" t="str">
        <f>IF(DE9=10,"Se você tem treino programado nesta data, entre em contato com a equipe para atualizarmos a sessão!","TREINAMENTO RESISTIDO")</f>
        <v>Se você tem treino programado nesta data, entre em contato com a equipe para atualizarmos a sessão!</v>
      </c>
      <c r="CZ7" s="60"/>
      <c r="DA7" s="60"/>
      <c r="DB7" s="60"/>
      <c r="DC7" s="60"/>
      <c r="DD7" s="60"/>
      <c r="DE7" s="60"/>
      <c r="DF7" s="60"/>
      <c r="DG7" s="60"/>
      <c r="DH7" s="63"/>
      <c r="DI7" s="76"/>
      <c r="DJ7" s="76"/>
      <c r="DK7" s="76"/>
      <c r="DL7" s="76"/>
      <c r="DM7" s="76"/>
      <c r="DN7" s="76"/>
      <c r="DO7" s="77"/>
      <c r="DP7" s="78" t="s">
        <v>18</v>
      </c>
      <c r="DQ7" s="79">
        <f>E83+V83+AM83+BD83+BU83+CL83+DC83</f>
        <v>0</v>
      </c>
      <c r="DR7" s="80"/>
      <c r="DS7" s="80"/>
      <c r="DT7" s="80"/>
      <c r="DU7" s="80"/>
      <c r="DV7" s="80"/>
      <c r="DW7" s="80"/>
      <c r="DX7" s="80"/>
      <c r="DY7" s="80"/>
    </row>
    <row r="8">
      <c r="A8" s="67" t="s">
        <v>19</v>
      </c>
      <c r="B8" s="81">
        <f>SUM(E16,E18,E20,E22,E26,E28,E30,E32,E34,E36,E38,E40,E42,E44,E46,E48,E50,E52,E54,E56,E58,E60,E62,E64,E68,E70,E72)</f>
        <v>0</v>
      </c>
      <c r="C8" s="71" t="s">
        <v>20</v>
      </c>
      <c r="D8" s="61"/>
      <c r="E8" s="82">
        <f>SUM(E16*F16,E18*F18,E20*F20,E22*F22,E26*F26,E28*F28,E30*F30,E32*F32,E34*F34,E36*F36,E38*F38,E40*F40,E42*F42,E44*F44,E46*F46,E48*F48,E50*F50,E52*F52,E54*F54,E56*F56,E58*F58,E60*F60,E62*F62,E64*F64,E68*F68,E70*F70,E72*F72)</f>
        <v>0</v>
      </c>
      <c r="F8" s="83" t="s">
        <v>16</v>
      </c>
      <c r="G8" s="61"/>
      <c r="H8" s="72">
        <f>0.0175*'Dados de Base'!$D$5*D89*5</f>
        <v>0</v>
      </c>
      <c r="I8" s="60"/>
      <c r="J8" s="63"/>
      <c r="K8" s="57"/>
      <c r="L8" s="57"/>
      <c r="M8" s="57"/>
      <c r="N8" s="57"/>
      <c r="O8" s="57"/>
      <c r="P8" s="57"/>
      <c r="Q8" s="58"/>
      <c r="R8" s="67" t="s">
        <v>19</v>
      </c>
      <c r="S8" s="81">
        <f>SUM(V16,V18,V20,V22,V26,V28,V30,V32,V34,V36,V38,V40,V42,V44,V46,V48,V50,V52,V54,V56,V58,V60,V62,V64,V68,V70,V72)</f>
        <v>0</v>
      </c>
      <c r="T8" s="71" t="s">
        <v>20</v>
      </c>
      <c r="U8" s="61"/>
      <c r="V8" s="82">
        <f>SUM(V16*W16,V18*W18,V20*W20,V22*W22,V26*W26,V28*W28,V30*W30,V32*W32,V34*W34,V36*W36,V38*W38,V40*W40,V42*W42,V44*W44,V46*W46,V48*W48,V50*W50,V52*W52,V54*W54,V56*W56,V58*W58,V60*W60,V62*W62,V64*W64,V68*W68,V70*W70,V72*W72)</f>
        <v>0</v>
      </c>
      <c r="W8" s="84" t="s">
        <v>16</v>
      </c>
      <c r="X8" s="84"/>
      <c r="Y8" s="72">
        <f>0.0175*'Dados de Base'!$D$5*U89*5</f>
        <v>0</v>
      </c>
      <c r="Z8" s="60"/>
      <c r="AA8" s="63"/>
      <c r="AB8" s="57"/>
      <c r="AC8" s="57"/>
      <c r="AD8" s="57"/>
      <c r="AE8" s="57"/>
      <c r="AF8" s="57"/>
      <c r="AG8" s="57"/>
      <c r="AH8" s="58"/>
      <c r="AI8" s="67" t="s">
        <v>19</v>
      </c>
      <c r="AJ8" s="81">
        <f>SUM(AM16,AM18,AM20,AM22,AM26,AM28,AM30,AM32,AM34,AM36,AM38,AM40,AM42,AM44,AM46,AM48,AM50,AM52,AM54,AM56,AM58,AM60,AM62,AM64,AM68,AM70,AM72)</f>
        <v>0</v>
      </c>
      <c r="AK8" s="71" t="s">
        <v>20</v>
      </c>
      <c r="AL8" s="61"/>
      <c r="AM8" s="82">
        <f>SUM(AM16*AN16,AM18*AN18,AM20*AN20,AM22*AN22,AM26*AN26,AM28*AN28,AM30*AN30,AM32*AN32,AM34*AN34,AM36*AN36,AM38*AN38,AM40*AN40,AM42*AN42,AM44*AN44,AM46*AN46,AM48*AN48,AM50*AN50,AM52*AN52,AM54*AN54,AM56*AN56,AM58*AN58,AM60*AN60,AM62*AN62,AM64*AN64,AM68*AN68,AM70*AN70,AM72*AN72)</f>
        <v>0</v>
      </c>
      <c r="AN8" s="83" t="s">
        <v>16</v>
      </c>
      <c r="AO8" s="61"/>
      <c r="AP8" s="72">
        <f>0.0175*'Dados de Base'!$D$5*AL89*5</f>
        <v>0</v>
      </c>
      <c r="AQ8" s="60"/>
      <c r="AR8" s="63"/>
      <c r="AS8" s="57"/>
      <c r="AT8" s="57"/>
      <c r="AU8" s="57"/>
      <c r="AV8" s="57"/>
      <c r="AW8" s="57"/>
      <c r="AX8" s="57"/>
      <c r="AY8" s="58"/>
      <c r="AZ8" s="67" t="s">
        <v>19</v>
      </c>
      <c r="BA8" s="81">
        <f>SUM(BD16,BD18,BD20,BD22,BD26,BD28,BD30,BD32,BD34,BD36,BD38,BD40,BD42,BD44,BD46,BD48,BD50,BD52,BD54,BD56,BD58,BD60,BD62,BD64,BD68,BD70,BD72)</f>
        <v>0</v>
      </c>
      <c r="BB8" s="71" t="s">
        <v>20</v>
      </c>
      <c r="BC8" s="61"/>
      <c r="BD8" s="82">
        <f>SUM(BD16*BE16,BD18*BE18,BD20*BE20,BD22*BE22,BD26*BE26,BD28*BE28,BD30*BE30,BD32*BE32,BD34*BE34,BD36*BE36,BD38*BE38,BD40*BE40,BD42*BE42,BD44*BE44,BD46*BE46,BD48*BE48,BD50*BE50,BD52*BE52,BD54*BE54,BD56*BE56,BD58*BE58,BD60*BE60,BD62*BE62,BD64*BE64,BD68*BE68,BD70*BE70,BD72*BE72)</f>
        <v>0</v>
      </c>
      <c r="BE8" s="83" t="s">
        <v>16</v>
      </c>
      <c r="BF8" s="61"/>
      <c r="BG8" s="72">
        <f>0.0175*'Dados de Base'!$D$5*BC89*5</f>
        <v>0</v>
      </c>
      <c r="BH8" s="60"/>
      <c r="BI8" s="63"/>
      <c r="BJ8" s="57"/>
      <c r="BK8" s="57"/>
      <c r="BL8" s="57"/>
      <c r="BM8" s="57"/>
      <c r="BN8" s="57"/>
      <c r="BO8" s="57"/>
      <c r="BP8" s="58"/>
      <c r="BQ8" s="67" t="s">
        <v>19</v>
      </c>
      <c r="BR8" s="81">
        <f>SUM(BU16,BU18,BU20,BU22,BU26,BU28,BU30,BU32,BU34,BU36,BU38,BU40,BU42,BU44,BU46,BU48,BU50,BU52,BU54,BU56,BU58,BU60,BU62,BU64,BU68,BU70,BU72)</f>
        <v>0</v>
      </c>
      <c r="BS8" s="71" t="s">
        <v>20</v>
      </c>
      <c r="BT8" s="61"/>
      <c r="BU8" s="82">
        <f>SUM(BU16*BV16,BU18*BV18,BU20*BV20,BU22*BV22,BU26*BV26,BU28*BV28,BU30*BV30,BU32*BV32,BU34*BV34,BU36*BV36,BU38*BV38,BU40*BV40,BU42*BV42,BU44*BV44,BU46*BV46,BU48*BV48,BU50*BV50,BU52*BV52,BU54*BV54,BU56*BV56,BU58*BV58,BU60*BV60,BU62*BV62,BU64*BV64,BU68*BV68,BU70*BV70,BU72*BV72)</f>
        <v>0</v>
      </c>
      <c r="BV8" s="83" t="s">
        <v>16</v>
      </c>
      <c r="BW8" s="61"/>
      <c r="BX8" s="72">
        <f>0.0175*'Dados de Base'!$D$5*BT89*5</f>
        <v>0</v>
      </c>
      <c r="BY8" s="60"/>
      <c r="BZ8" s="63"/>
      <c r="CA8" s="57"/>
      <c r="CB8" s="57"/>
      <c r="CC8" s="57"/>
      <c r="CD8" s="57"/>
      <c r="CE8" s="57"/>
      <c r="CF8" s="57"/>
      <c r="CG8" s="58"/>
      <c r="CH8" s="67" t="s">
        <v>19</v>
      </c>
      <c r="CI8" s="81">
        <f>SUM(CL16,CL18,CL20,CL22,CL26,CL28,CL30,CL32,CL34,CL36,CL38,CL40,CL42,CL44,CL46,CL48,CL50,CL52,CL54,CL56,CL58,CL60,CL62,CL64,CL68,CL70,CL72)</f>
        <v>0</v>
      </c>
      <c r="CJ8" s="71" t="s">
        <v>20</v>
      </c>
      <c r="CK8" s="61"/>
      <c r="CL8" s="82">
        <f>SUM(CL16*CM16,CL18*CM18,CL20*CM20,CL22*CM22,CL26*CM26,CL28*CM28,CL30*CM30,CL32*CM32,CL34*CM34,CL36*CM36,CL38*CM38,CL40*CM40,CL42*CM42,CL44*CM44,CL46*CM46,CL48*CM48,CL50*CM50,CL52*CM52,CL54*CM54,CL56*CM56,CL58*CM58,CL60*CM60,CL62*CM62,CL64*CM64,CL68*CM68,CL70*CM70,CL72*CM72)</f>
        <v>0</v>
      </c>
      <c r="CM8" s="83" t="s">
        <v>16</v>
      </c>
      <c r="CN8" s="61"/>
      <c r="CO8" s="72">
        <f>0.0175*'Dados de Base'!$D$5*CK89*5</f>
        <v>0</v>
      </c>
      <c r="CP8" s="60"/>
      <c r="CQ8" s="63"/>
      <c r="CR8" s="57"/>
      <c r="CS8" s="57"/>
      <c r="CT8" s="57"/>
      <c r="CU8" s="57"/>
      <c r="CV8" s="57"/>
      <c r="CW8" s="57"/>
      <c r="CX8" s="58"/>
      <c r="CY8" s="67" t="s">
        <v>19</v>
      </c>
      <c r="CZ8" s="81">
        <f>SUM(DC16,DC18,DC20,DC22,DC26,DC28,DC30,DC32,DC34,DC36,DC38,DC40,DC42,DC44,DC46,DC48,DC50,DC52,DC54,DC56,DC58,DC60,DC62,DC64,DC68,DC70,DC72)</f>
        <v>0</v>
      </c>
      <c r="DA8" s="71" t="s">
        <v>20</v>
      </c>
      <c r="DB8" s="61"/>
      <c r="DC8" s="82">
        <f>SUM(DC16*DD16,DC18*DD18,DC20*DD20,DC22*DD22,DC26*DD26,DC28*DD28,DC30*DD30,DC32*DD32,DC34*DD34,DC36*DD36,DC38*DD38,DC40*DD40,DC42*DD42,DC44*DD44,DC46*DD46,DC48*DD48,DC50*DD50,DC52*DD52,DC54*DD54,DC56*DD56,DC58*DD58,DC60*DD60,DC62*DD62,DC64*DD64,DC68*DD68,DC70*DD70,DC72*DD72)</f>
        <v>0</v>
      </c>
      <c r="DD8" s="83" t="s">
        <v>16</v>
      </c>
      <c r="DE8" s="61"/>
      <c r="DF8" s="72">
        <f>0.0175*'Dados de Base'!$D$5*DB89*5</f>
        <v>0</v>
      </c>
      <c r="DG8" s="60"/>
      <c r="DH8" s="63"/>
      <c r="DI8" s="57"/>
      <c r="DJ8" s="57"/>
      <c r="DK8" s="57"/>
      <c r="DL8" s="57"/>
      <c r="DM8" s="57"/>
      <c r="DN8" s="57"/>
      <c r="DO8" s="58"/>
      <c r="DP8" s="57" t="s">
        <v>21</v>
      </c>
      <c r="DQ8" s="56">
        <f>IF(L80&gt;0,D89,0)+IF(AC80&gt;0,U89,0)+IF(AT80&gt;0,AL89,0)+IF(BK80&gt;0,BC89,0)+IF(CB80&gt;0,BT89,0)+IF(CS80&gt;0,CK89,0)+IF(DJ80&gt;0,DB89,0)</f>
        <v>0</v>
      </c>
      <c r="DR8" s="56"/>
      <c r="DS8" s="56"/>
      <c r="DT8" s="56"/>
      <c r="DU8" s="56"/>
      <c r="DV8" s="56"/>
      <c r="DW8" s="56"/>
      <c r="DX8" s="56"/>
      <c r="DY8" s="56"/>
    </row>
    <row r="9">
      <c r="A9" s="85" t="s">
        <v>22</v>
      </c>
      <c r="B9" s="86"/>
      <c r="C9" s="86"/>
      <c r="D9" s="86"/>
      <c r="E9" s="86"/>
      <c r="F9" s="87"/>
      <c r="G9" s="88">
        <f>((D89+K89+IF(ISNUMBER(B82),B82,B6))*Montagem!AS203)+10</f>
        <v>10</v>
      </c>
      <c r="H9" s="86"/>
      <c r="I9" s="86"/>
      <c r="J9" s="89"/>
      <c r="K9" s="57"/>
      <c r="L9" s="57"/>
      <c r="M9" s="57"/>
      <c r="N9" s="57"/>
      <c r="O9" s="57"/>
      <c r="P9" s="57"/>
      <c r="Q9" s="58"/>
      <c r="R9" s="85" t="s">
        <v>22</v>
      </c>
      <c r="S9" s="86"/>
      <c r="T9" s="86"/>
      <c r="U9" s="86"/>
      <c r="V9" s="86"/>
      <c r="W9" s="87"/>
      <c r="X9" s="88">
        <f>((U89+AB89+IF(ISNUMBER(S82),S82,S6))*Montagem!AS203)+10</f>
        <v>10</v>
      </c>
      <c r="Y9" s="86"/>
      <c r="Z9" s="86"/>
      <c r="AA9" s="89"/>
      <c r="AB9" s="57"/>
      <c r="AC9" s="57"/>
      <c r="AD9" s="57"/>
      <c r="AE9" s="57"/>
      <c r="AF9" s="57"/>
      <c r="AG9" s="57"/>
      <c r="AH9" s="58"/>
      <c r="AI9" s="85" t="s">
        <v>22</v>
      </c>
      <c r="AJ9" s="86"/>
      <c r="AK9" s="86"/>
      <c r="AL9" s="86"/>
      <c r="AM9" s="86"/>
      <c r="AN9" s="87"/>
      <c r="AO9" s="88">
        <f>((AL89+AS89+IF(ISNUMBER(AJ82),AJ82,AJ6))*Montagem!AS203)+10</f>
        <v>10</v>
      </c>
      <c r="AP9" s="86"/>
      <c r="AQ9" s="86"/>
      <c r="AR9" s="89"/>
      <c r="AS9" s="57"/>
      <c r="AT9" s="57"/>
      <c r="AU9" s="57"/>
      <c r="AV9" s="57"/>
      <c r="AW9" s="57"/>
      <c r="AX9" s="57"/>
      <c r="AY9" s="58"/>
      <c r="AZ9" s="85" t="s">
        <v>22</v>
      </c>
      <c r="BA9" s="86"/>
      <c r="BB9" s="86"/>
      <c r="BC9" s="86"/>
      <c r="BD9" s="86"/>
      <c r="BE9" s="87"/>
      <c r="BF9" s="88">
        <f>((BC89+BJ89+IF(ISNUMBER(BA82),BA82,BA6))*Montagem!AS203)+10</f>
        <v>10</v>
      </c>
      <c r="BG9" s="86"/>
      <c r="BH9" s="86"/>
      <c r="BI9" s="89"/>
      <c r="BJ9" s="57"/>
      <c r="BK9" s="57"/>
      <c r="BL9" s="57"/>
      <c r="BM9" s="57"/>
      <c r="BN9" s="57"/>
      <c r="BO9" s="57"/>
      <c r="BP9" s="58"/>
      <c r="BQ9" s="85" t="s">
        <v>22</v>
      </c>
      <c r="BR9" s="86"/>
      <c r="BS9" s="86"/>
      <c r="BT9" s="86"/>
      <c r="BU9" s="86"/>
      <c r="BV9" s="87"/>
      <c r="BW9" s="88">
        <f>((BT89+CA89+IF(ISNUMBER(BR82),BR82,BR6))*Montagem!AS203)+10</f>
        <v>10</v>
      </c>
      <c r="BX9" s="86"/>
      <c r="BY9" s="86"/>
      <c r="BZ9" s="89"/>
      <c r="CA9" s="57"/>
      <c r="CB9" s="57"/>
      <c r="CC9" s="57"/>
      <c r="CD9" s="57"/>
      <c r="CE9" s="57"/>
      <c r="CF9" s="57"/>
      <c r="CG9" s="58"/>
      <c r="CH9" s="85" t="s">
        <v>22</v>
      </c>
      <c r="CI9" s="86"/>
      <c r="CJ9" s="86"/>
      <c r="CK9" s="86"/>
      <c r="CL9" s="86"/>
      <c r="CM9" s="87"/>
      <c r="CN9" s="88">
        <f>((CK89+CR89+IF(ISNUMBER(CI82),CI82,CI6))*Montagem!AS203)+10</f>
        <v>10</v>
      </c>
      <c r="CO9" s="86"/>
      <c r="CP9" s="86"/>
      <c r="CQ9" s="89"/>
      <c r="CR9" s="57"/>
      <c r="CS9" s="57"/>
      <c r="CT9" s="57"/>
      <c r="CU9" s="57"/>
      <c r="CV9" s="57"/>
      <c r="CW9" s="57"/>
      <c r="CX9" s="58"/>
      <c r="CY9" s="85" t="s">
        <v>22</v>
      </c>
      <c r="CZ9" s="86"/>
      <c r="DA9" s="86"/>
      <c r="DB9" s="86"/>
      <c r="DC9" s="86"/>
      <c r="DD9" s="87"/>
      <c r="DE9" s="88">
        <f>((DB89+DI89+IF(ISNUMBER(CZ82),CZ82,CZ6))*Montagem!AS203)+10</f>
        <v>10</v>
      </c>
      <c r="DF9" s="86"/>
      <c r="DG9" s="86"/>
      <c r="DH9" s="89"/>
      <c r="DI9" s="57"/>
      <c r="DJ9" s="57"/>
      <c r="DK9" s="57"/>
      <c r="DL9" s="57"/>
      <c r="DM9" s="57"/>
      <c r="DN9" s="57"/>
      <c r="DO9" s="58"/>
      <c r="DP9" s="57" t="s">
        <v>23</v>
      </c>
      <c r="DQ9" s="56">
        <f>IF(L80&gt;0,H8+H6,0)+IF(AC80&gt;0,Y8+Y6,0)+IF(AT80&gt;0,AP8+AP6,0)+IF(BK80&gt;0,BG8+BG6,0)+IF(CB80&gt;0,BX8+BX6,0)+IF(CS80&gt;0,CO8+CO6,0)+IF(DJ80&gt;0,DF8+DF6,0)</f>
        <v>0</v>
      </c>
      <c r="DR9" s="56"/>
      <c r="DS9" s="56"/>
      <c r="DT9" s="56"/>
      <c r="DU9" s="56"/>
      <c r="DV9" s="56"/>
      <c r="DW9" s="56"/>
      <c r="DX9" s="56"/>
      <c r="DY9" s="56"/>
    </row>
    <row r="10">
      <c r="A10" s="90" t="s">
        <v>24</v>
      </c>
      <c r="J10" s="66"/>
      <c r="K10" s="57"/>
      <c r="L10" s="57"/>
      <c r="M10" s="57"/>
      <c r="N10" s="57"/>
      <c r="O10" s="57"/>
      <c r="P10" s="57"/>
      <c r="Q10" s="58"/>
      <c r="R10" s="90" t="s">
        <v>24</v>
      </c>
      <c r="AA10" s="66"/>
      <c r="AB10" s="57"/>
      <c r="AC10" s="57"/>
      <c r="AD10" s="57"/>
      <c r="AE10" s="57"/>
      <c r="AF10" s="57"/>
      <c r="AG10" s="57"/>
      <c r="AH10" s="58"/>
      <c r="AI10" s="90" t="s">
        <v>24</v>
      </c>
      <c r="AR10" s="66"/>
      <c r="AS10" s="57"/>
      <c r="AT10" s="57"/>
      <c r="AU10" s="57"/>
      <c r="AV10" s="57"/>
      <c r="AW10" s="57"/>
      <c r="AX10" s="57"/>
      <c r="AY10" s="58"/>
      <c r="AZ10" s="90" t="s">
        <v>24</v>
      </c>
      <c r="BI10" s="66"/>
      <c r="BJ10" s="57"/>
      <c r="BK10" s="57"/>
      <c r="BL10" s="57"/>
      <c r="BM10" s="57"/>
      <c r="BN10" s="57"/>
      <c r="BO10" s="57"/>
      <c r="BP10" s="58"/>
      <c r="BQ10" s="90" t="s">
        <v>24</v>
      </c>
      <c r="BZ10" s="66"/>
      <c r="CA10" s="57"/>
      <c r="CB10" s="57"/>
      <c r="CC10" s="57"/>
      <c r="CD10" s="57"/>
      <c r="CE10" s="57"/>
      <c r="CF10" s="57"/>
      <c r="CG10" s="58"/>
      <c r="CH10" s="90" t="s">
        <v>24</v>
      </c>
      <c r="CQ10" s="66"/>
      <c r="CR10" s="57"/>
      <c r="CS10" s="57"/>
      <c r="CT10" s="57"/>
      <c r="CU10" s="57"/>
      <c r="CV10" s="57"/>
      <c r="CW10" s="57"/>
      <c r="CX10" s="58"/>
      <c r="CY10" s="90" t="s">
        <v>24</v>
      </c>
      <c r="DH10" s="66"/>
      <c r="DI10" s="57"/>
      <c r="DJ10" s="57"/>
      <c r="DK10" s="57"/>
      <c r="DL10" s="57"/>
      <c r="DM10" s="57"/>
      <c r="DN10" s="57"/>
      <c r="DO10" s="58"/>
      <c r="DP10" s="57" t="s">
        <v>25</v>
      </c>
      <c r="DQ10" s="56">
        <f>DQ9/7</f>
        <v>0</v>
      </c>
      <c r="DR10" s="56"/>
      <c r="DS10" s="56"/>
      <c r="DT10" s="56"/>
      <c r="DU10" s="56"/>
      <c r="DV10" s="56"/>
      <c r="DW10" s="56"/>
      <c r="DX10" s="56"/>
      <c r="DY10" s="56"/>
    </row>
    <row r="11">
      <c r="A11" s="91" t="str">
        <f>Montagem!K212</f>
        <v/>
      </c>
      <c r="J11" s="66"/>
      <c r="K11" s="92"/>
      <c r="L11" s="92"/>
      <c r="M11" s="92"/>
      <c r="N11" s="92"/>
      <c r="O11" s="92"/>
      <c r="P11" s="92"/>
      <c r="Q11" s="93"/>
      <c r="R11" s="91" t="str">
        <f>Montagem!Z212</f>
        <v/>
      </c>
      <c r="AA11" s="66"/>
      <c r="AB11" s="92"/>
      <c r="AC11" s="92"/>
      <c r="AD11" s="92"/>
      <c r="AE11" s="92"/>
      <c r="AF11" s="92"/>
      <c r="AG11" s="92"/>
      <c r="AH11" s="93"/>
      <c r="AI11" s="91" t="str">
        <f>Montagem!AO212</f>
        <v/>
      </c>
      <c r="AR11" s="66"/>
      <c r="AS11" s="92"/>
      <c r="AT11" s="92"/>
      <c r="AU11" s="92"/>
      <c r="AV11" s="92"/>
      <c r="AW11" s="92"/>
      <c r="AX11" s="92"/>
      <c r="AY11" s="93"/>
      <c r="AZ11" s="91" t="str">
        <f>Montagem!BD212</f>
        <v/>
      </c>
      <c r="BI11" s="66"/>
      <c r="BJ11" s="92"/>
      <c r="BK11" s="92"/>
      <c r="BL11" s="92"/>
      <c r="BM11" s="92"/>
      <c r="BN11" s="92"/>
      <c r="BO11" s="92"/>
      <c r="BP11" s="93"/>
      <c r="BQ11" s="91" t="str">
        <f>Montagem!BS212</f>
        <v/>
      </c>
      <c r="BZ11" s="66"/>
      <c r="CA11" s="92"/>
      <c r="CB11" s="92"/>
      <c r="CC11" s="92"/>
      <c r="CD11" s="92"/>
      <c r="CE11" s="92"/>
      <c r="CF11" s="92"/>
      <c r="CG11" s="93"/>
      <c r="CH11" s="91" t="str">
        <f>Montagem!CH212</f>
        <v/>
      </c>
      <c r="CQ11" s="66"/>
      <c r="CR11" s="92"/>
      <c r="CS11" s="92"/>
      <c r="CT11" s="92"/>
      <c r="CU11" s="92"/>
      <c r="CV11" s="92"/>
      <c r="CW11" s="92"/>
      <c r="CX11" s="93"/>
      <c r="CY11" s="91" t="str">
        <f>Montagem!CW212</f>
        <v/>
      </c>
      <c r="DH11" s="66"/>
      <c r="DI11" s="92"/>
      <c r="DJ11" s="92"/>
      <c r="DK11" s="92"/>
      <c r="DL11" s="92"/>
      <c r="DM11" s="92"/>
      <c r="DN11" s="92"/>
      <c r="DO11" s="93"/>
      <c r="DP11" s="92" t="s">
        <v>26</v>
      </c>
      <c r="DQ11" s="94">
        <f>SUM(D90,U90,AL90,BC90,BT90,CK90,DB90)</f>
        <v>0</v>
      </c>
      <c r="DR11" s="94"/>
      <c r="DS11" s="94"/>
      <c r="DT11" s="94"/>
      <c r="DU11" s="94"/>
      <c r="DV11" s="94"/>
      <c r="DW11" s="94"/>
      <c r="DX11" s="94"/>
      <c r="DY11" s="94"/>
    </row>
    <row r="12">
      <c r="A12" s="91" t="str">
        <f>Montagem!K213</f>
        <v/>
      </c>
      <c r="J12" s="66"/>
      <c r="K12" s="92"/>
      <c r="L12" s="92"/>
      <c r="M12" s="92"/>
      <c r="N12" s="92"/>
      <c r="O12" s="92"/>
      <c r="P12" s="92"/>
      <c r="Q12" s="93"/>
      <c r="R12" s="91" t="str">
        <f>Montagem!Z213</f>
        <v/>
      </c>
      <c r="AA12" s="66"/>
      <c r="AB12" s="92"/>
      <c r="AC12" s="92"/>
      <c r="AD12" s="92"/>
      <c r="AE12" s="92"/>
      <c r="AF12" s="92"/>
      <c r="AG12" s="92"/>
      <c r="AH12" s="93"/>
      <c r="AI12" s="91" t="str">
        <f>Montagem!AO213</f>
        <v/>
      </c>
      <c r="AR12" s="66"/>
      <c r="AS12" s="92"/>
      <c r="AT12" s="92"/>
      <c r="AU12" s="92"/>
      <c r="AV12" s="92"/>
      <c r="AW12" s="92"/>
      <c r="AX12" s="92"/>
      <c r="AY12" s="93"/>
      <c r="AZ12" s="91" t="str">
        <f>Montagem!BD213</f>
        <v/>
      </c>
      <c r="BI12" s="66"/>
      <c r="BJ12" s="92"/>
      <c r="BK12" s="92"/>
      <c r="BL12" s="92"/>
      <c r="BM12" s="92"/>
      <c r="BN12" s="92"/>
      <c r="BO12" s="92"/>
      <c r="BP12" s="93"/>
      <c r="BQ12" s="91" t="str">
        <f>Montagem!BS213</f>
        <v/>
      </c>
      <c r="BZ12" s="66"/>
      <c r="CA12" s="92"/>
      <c r="CB12" s="92"/>
      <c r="CC12" s="92"/>
      <c r="CD12" s="92"/>
      <c r="CE12" s="92"/>
      <c r="CF12" s="92"/>
      <c r="CG12" s="93"/>
      <c r="CH12" s="91" t="str">
        <f>Montagem!CH213</f>
        <v/>
      </c>
      <c r="CQ12" s="66"/>
      <c r="CR12" s="92"/>
      <c r="CS12" s="92"/>
      <c r="CT12" s="92"/>
      <c r="CU12" s="92"/>
      <c r="CV12" s="92"/>
      <c r="CW12" s="92"/>
      <c r="CX12" s="93"/>
      <c r="CY12" s="91" t="str">
        <f>Montagem!CW213</f>
        <v/>
      </c>
      <c r="DH12" s="66"/>
      <c r="DI12" s="92"/>
      <c r="DJ12" s="92"/>
      <c r="DK12" s="92"/>
      <c r="DL12" s="92"/>
      <c r="DM12" s="92"/>
      <c r="DN12" s="92"/>
      <c r="DO12" s="93"/>
      <c r="DP12" s="95" t="s">
        <v>27</v>
      </c>
      <c r="DQ12" s="94">
        <f>IF(DQ18=0,0,DQ11/DQ18)</f>
        <v>0</v>
      </c>
      <c r="DR12" s="94"/>
      <c r="DS12" s="94"/>
      <c r="DT12" s="94"/>
      <c r="DU12" s="94"/>
      <c r="DV12" s="94"/>
      <c r="DW12" s="94"/>
      <c r="DX12" s="94"/>
      <c r="DY12" s="94"/>
    </row>
    <row r="13">
      <c r="A13" s="91" t="str">
        <f>IFS(L2=4,"Semana de Adaptação",L2=2,"Semana Ordinária",L2=0,"Semana de Choque")</f>
        <v>Semana Ordinária</v>
      </c>
      <c r="J13" s="66"/>
      <c r="K13" s="92"/>
      <c r="L13" s="92"/>
      <c r="M13" s="92"/>
      <c r="N13" s="92"/>
      <c r="O13" s="92"/>
      <c r="P13" s="92"/>
      <c r="Q13" s="93"/>
      <c r="R13" s="91" t="str">
        <f>IFS(L2=4,"Semana de Adaptação",L2=2,"Semana Ordinária",L2=0,"Semana de Choque")</f>
        <v>Semana Ordinária</v>
      </c>
      <c r="AA13" s="66"/>
      <c r="AB13" s="92"/>
      <c r="AC13" s="92"/>
      <c r="AD13" s="92"/>
      <c r="AE13" s="92"/>
      <c r="AF13" s="92"/>
      <c r="AG13" s="92"/>
      <c r="AH13" s="93"/>
      <c r="AI13" s="91" t="str">
        <f>IFS(L2=4,"Semana de Adaptação",L2=2,"Semana Ordinária",L2=0,"Semana de Choque")</f>
        <v>Semana Ordinária</v>
      </c>
      <c r="AR13" s="66"/>
      <c r="AS13" s="92"/>
      <c r="AT13" s="92"/>
      <c r="AU13" s="92"/>
      <c r="AV13" s="92"/>
      <c r="AW13" s="92"/>
      <c r="AX13" s="92"/>
      <c r="AY13" s="93"/>
      <c r="AZ13" s="91" t="str">
        <f>IFS(L2=4,"Semana de Adaptação",L2=2,"Semana Ordinária",L2=0,"Semana de Choque")</f>
        <v>Semana Ordinária</v>
      </c>
      <c r="BI13" s="66"/>
      <c r="BJ13" s="92"/>
      <c r="BK13" s="92"/>
      <c r="BL13" s="92"/>
      <c r="BM13" s="92"/>
      <c r="BN13" s="92"/>
      <c r="BO13" s="92"/>
      <c r="BP13" s="93"/>
      <c r="BQ13" s="91" t="str">
        <f>IFS(L2=4,"Semana de Adaptação",L2=2,"Semana Ordinária",L2=0,"Semana de Choque")</f>
        <v>Semana Ordinária</v>
      </c>
      <c r="BZ13" s="66"/>
      <c r="CA13" s="92"/>
      <c r="CB13" s="92"/>
      <c r="CC13" s="92"/>
      <c r="CD13" s="92"/>
      <c r="CE13" s="92"/>
      <c r="CF13" s="92"/>
      <c r="CG13" s="93"/>
      <c r="CH13" s="91" t="str">
        <f>IFS(L2=4,"Semana de Adaptação",L2=2,"Semana Ordinária",L2=0,"Semana de Choque")</f>
        <v>Semana Ordinária</v>
      </c>
      <c r="CQ13" s="66"/>
      <c r="CR13" s="92"/>
      <c r="CS13" s="92"/>
      <c r="CT13" s="92"/>
      <c r="CU13" s="92"/>
      <c r="CV13" s="92"/>
      <c r="CW13" s="92"/>
      <c r="CX13" s="93"/>
      <c r="CY13" s="91" t="str">
        <f>IFS(L2=4,"Semana de Adaptação",L2=2,"Semana Ordinária",L2=0,"Semana de Choque")</f>
        <v>Semana Ordinária</v>
      </c>
      <c r="DH13" s="66"/>
      <c r="DI13" s="92"/>
      <c r="DJ13" s="92"/>
      <c r="DK13" s="92"/>
      <c r="DL13" s="92"/>
      <c r="DM13" s="92"/>
      <c r="DN13" s="92"/>
      <c r="DO13" s="93"/>
      <c r="DP13" s="95" t="s">
        <v>28</v>
      </c>
      <c r="DQ13" s="94">
        <f>DQ11/7</f>
        <v>0</v>
      </c>
      <c r="DR13" s="94"/>
      <c r="DS13" s="94"/>
      <c r="DT13" s="94"/>
      <c r="DU13" s="94"/>
      <c r="DV13" s="94"/>
      <c r="DW13" s="94"/>
      <c r="DX13" s="94"/>
      <c r="DY13" s="94"/>
    </row>
    <row r="14">
      <c r="A14" s="90" t="s">
        <v>29</v>
      </c>
      <c r="J14" s="66"/>
      <c r="K14" s="57"/>
      <c r="L14" s="57"/>
      <c r="M14" s="57"/>
      <c r="N14" s="57"/>
      <c r="O14" s="57"/>
      <c r="P14" s="57"/>
      <c r="Q14" s="58"/>
      <c r="R14" s="90" t="s">
        <v>29</v>
      </c>
      <c r="AA14" s="66"/>
      <c r="AB14" s="57"/>
      <c r="AC14" s="57"/>
      <c r="AD14" s="57"/>
      <c r="AE14" s="57"/>
      <c r="AF14" s="57"/>
      <c r="AG14" s="57"/>
      <c r="AH14" s="58"/>
      <c r="AI14" s="90" t="s">
        <v>29</v>
      </c>
      <c r="AR14" s="66"/>
      <c r="AS14" s="57"/>
      <c r="AT14" s="57"/>
      <c r="AU14" s="57"/>
      <c r="AV14" s="57"/>
      <c r="AW14" s="57"/>
      <c r="AX14" s="57"/>
      <c r="AY14" s="58"/>
      <c r="AZ14" s="90" t="s">
        <v>29</v>
      </c>
      <c r="BI14" s="66"/>
      <c r="BJ14" s="57"/>
      <c r="BK14" s="57"/>
      <c r="BL14" s="57"/>
      <c r="BM14" s="57"/>
      <c r="BN14" s="57"/>
      <c r="BO14" s="57"/>
      <c r="BP14" s="58"/>
      <c r="BQ14" s="90" t="s">
        <v>29</v>
      </c>
      <c r="BZ14" s="66"/>
      <c r="CA14" s="57"/>
      <c r="CB14" s="57"/>
      <c r="CC14" s="57"/>
      <c r="CD14" s="57"/>
      <c r="CE14" s="57"/>
      <c r="CF14" s="57"/>
      <c r="CG14" s="58"/>
      <c r="CH14" s="90" t="s">
        <v>29</v>
      </c>
      <c r="CQ14" s="66"/>
      <c r="CR14" s="57"/>
      <c r="CS14" s="57"/>
      <c r="CT14" s="57"/>
      <c r="CU14" s="57"/>
      <c r="CV14" s="57"/>
      <c r="CW14" s="57"/>
      <c r="CX14" s="58"/>
      <c r="CY14" s="90" t="s">
        <v>29</v>
      </c>
      <c r="DH14" s="66"/>
      <c r="DI14" s="57"/>
      <c r="DJ14" s="57"/>
      <c r="DK14" s="57"/>
      <c r="DL14" s="57"/>
      <c r="DM14" s="57"/>
      <c r="DN14" s="57"/>
      <c r="DO14" s="58"/>
      <c r="DP14" s="73" t="s">
        <v>30</v>
      </c>
      <c r="DQ14" s="56">
        <f>STDEVPA(D90,U90,AL90,BC90,BT90,CK90,DB90)</f>
        <v>0</v>
      </c>
      <c r="DR14" s="56"/>
      <c r="DS14" s="56"/>
      <c r="DT14" s="56"/>
      <c r="DU14" s="56"/>
      <c r="DV14" s="56"/>
      <c r="DW14" s="56"/>
      <c r="DX14" s="56"/>
      <c r="DY14" s="56"/>
    </row>
    <row r="15">
      <c r="A15" s="96" t="s">
        <v>31</v>
      </c>
      <c r="D15" s="97" t="s">
        <v>32</v>
      </c>
      <c r="E15" s="98" t="s">
        <v>33</v>
      </c>
      <c r="F15" s="98" t="s">
        <v>34</v>
      </c>
      <c r="G15" s="98" t="s">
        <v>35</v>
      </c>
      <c r="H15" s="98" t="s">
        <v>36</v>
      </c>
      <c r="I15" s="98" t="s">
        <v>37</v>
      </c>
      <c r="J15" s="99" t="s">
        <v>38</v>
      </c>
      <c r="K15" s="100"/>
      <c r="L15" s="100"/>
      <c r="M15" s="100"/>
      <c r="N15" s="100"/>
      <c r="O15" s="100"/>
      <c r="P15" s="100"/>
      <c r="Q15" s="101"/>
      <c r="R15" s="96" t="s">
        <v>31</v>
      </c>
      <c r="U15" s="97" t="s">
        <v>32</v>
      </c>
      <c r="V15" s="98" t="s">
        <v>33</v>
      </c>
      <c r="W15" s="98" t="s">
        <v>34</v>
      </c>
      <c r="X15" s="98" t="s">
        <v>35</v>
      </c>
      <c r="Y15" s="98" t="s">
        <v>36</v>
      </c>
      <c r="Z15" s="98" t="s">
        <v>37</v>
      </c>
      <c r="AA15" s="99" t="s">
        <v>38</v>
      </c>
      <c r="AB15" s="100"/>
      <c r="AC15" s="100"/>
      <c r="AD15" s="100"/>
      <c r="AE15" s="100"/>
      <c r="AF15" s="100"/>
      <c r="AG15" s="100"/>
      <c r="AH15" s="101"/>
      <c r="AI15" s="96" t="s">
        <v>31</v>
      </c>
      <c r="AL15" s="97" t="s">
        <v>32</v>
      </c>
      <c r="AM15" s="98" t="s">
        <v>33</v>
      </c>
      <c r="AN15" s="98" t="s">
        <v>34</v>
      </c>
      <c r="AO15" s="98" t="s">
        <v>35</v>
      </c>
      <c r="AP15" s="98" t="s">
        <v>36</v>
      </c>
      <c r="AQ15" s="98" t="s">
        <v>37</v>
      </c>
      <c r="AR15" s="99" t="s">
        <v>38</v>
      </c>
      <c r="AS15" s="100"/>
      <c r="AT15" s="100"/>
      <c r="AU15" s="100"/>
      <c r="AV15" s="100"/>
      <c r="AW15" s="100"/>
      <c r="AX15" s="100"/>
      <c r="AY15" s="101"/>
      <c r="AZ15" s="96" t="s">
        <v>31</v>
      </c>
      <c r="BC15" s="97" t="s">
        <v>32</v>
      </c>
      <c r="BD15" s="98" t="s">
        <v>33</v>
      </c>
      <c r="BE15" s="98" t="s">
        <v>34</v>
      </c>
      <c r="BF15" s="98" t="s">
        <v>35</v>
      </c>
      <c r="BG15" s="98" t="s">
        <v>36</v>
      </c>
      <c r="BH15" s="98" t="s">
        <v>37</v>
      </c>
      <c r="BI15" s="99" t="s">
        <v>38</v>
      </c>
      <c r="BJ15" s="100"/>
      <c r="BK15" s="100"/>
      <c r="BL15" s="100"/>
      <c r="BM15" s="100"/>
      <c r="BN15" s="100"/>
      <c r="BO15" s="100"/>
      <c r="BP15" s="101"/>
      <c r="BQ15" s="96" t="s">
        <v>31</v>
      </c>
      <c r="BT15" s="97" t="s">
        <v>32</v>
      </c>
      <c r="BU15" s="98" t="s">
        <v>33</v>
      </c>
      <c r="BV15" s="98" t="s">
        <v>34</v>
      </c>
      <c r="BW15" s="98" t="s">
        <v>35</v>
      </c>
      <c r="BX15" s="98" t="s">
        <v>36</v>
      </c>
      <c r="BY15" s="98" t="s">
        <v>37</v>
      </c>
      <c r="BZ15" s="99" t="s">
        <v>38</v>
      </c>
      <c r="CA15" s="100"/>
      <c r="CB15" s="100"/>
      <c r="CC15" s="100"/>
      <c r="CD15" s="100"/>
      <c r="CE15" s="100"/>
      <c r="CF15" s="100"/>
      <c r="CG15" s="101"/>
      <c r="CH15" s="96" t="s">
        <v>31</v>
      </c>
      <c r="CK15" s="97" t="s">
        <v>32</v>
      </c>
      <c r="CL15" s="98" t="s">
        <v>33</v>
      </c>
      <c r="CM15" s="98" t="s">
        <v>34</v>
      </c>
      <c r="CN15" s="98" t="s">
        <v>35</v>
      </c>
      <c r="CO15" s="98" t="s">
        <v>36</v>
      </c>
      <c r="CP15" s="98" t="s">
        <v>37</v>
      </c>
      <c r="CQ15" s="99" t="s">
        <v>38</v>
      </c>
      <c r="CR15" s="100"/>
      <c r="CS15" s="100"/>
      <c r="CT15" s="100"/>
      <c r="CU15" s="100"/>
      <c r="CV15" s="100"/>
      <c r="CW15" s="100"/>
      <c r="CX15" s="101"/>
      <c r="CY15" s="96" t="s">
        <v>31</v>
      </c>
      <c r="DB15" s="97" t="s">
        <v>32</v>
      </c>
      <c r="DC15" s="98" t="s">
        <v>33</v>
      </c>
      <c r="DD15" s="98" t="s">
        <v>34</v>
      </c>
      <c r="DE15" s="98" t="s">
        <v>35</v>
      </c>
      <c r="DF15" s="98" t="s">
        <v>36</v>
      </c>
      <c r="DG15" s="98" t="s">
        <v>37</v>
      </c>
      <c r="DH15" s="99" t="s">
        <v>38</v>
      </c>
      <c r="DI15" s="100"/>
      <c r="DJ15" s="100"/>
      <c r="DK15" s="100"/>
      <c r="DL15" s="100"/>
      <c r="DM15" s="100"/>
      <c r="DN15" s="100"/>
      <c r="DO15" s="101"/>
      <c r="DP15" s="73" t="s">
        <v>39</v>
      </c>
      <c r="DQ15" s="56">
        <f>IF(ISERR(AVERAGE(K4,AB4,AS4,BJ4,CA4,CR4,DI4)),0,AVERAGE(K4,AB4,AS4,BJ4,CA4,CR4,DI4))</f>
        <v>0</v>
      </c>
      <c r="DR15" s="56"/>
      <c r="DS15" s="56"/>
      <c r="DT15" s="56"/>
      <c r="DU15" s="56"/>
      <c r="DV15" s="56"/>
      <c r="DW15" s="56"/>
      <c r="DX15" s="56"/>
      <c r="DY15" s="56"/>
    </row>
    <row r="16">
      <c r="A16" s="115" t="str">
        <f>IF(M16="","",HYPERLINK(OFFSET(Biblioteca!$B$2,MATCH(M16,Biblioteca!$A$3:$A$200,0),0),M16))</f>
        <v/>
      </c>
      <c r="D16" s="103" t="str">
        <f>Montagem!Q216</f>
        <v/>
      </c>
      <c r="E16" s="104" t="str">
        <f>Montagem!R216</f>
        <v/>
      </c>
      <c r="F16" s="104" t="str">
        <f>Montagem!S216</f>
        <v/>
      </c>
      <c r="G16" s="104" t="str">
        <f>Montagem!T216</f>
        <v/>
      </c>
      <c r="H16" s="104" t="str">
        <f>Montagem!U216</f>
        <v/>
      </c>
      <c r="I16" s="104" t="str">
        <f>Montagem!V216</f>
        <v/>
      </c>
      <c r="J16" s="105"/>
      <c r="K16" s="106">
        <f>Montagem!K216</f>
        <v>1</v>
      </c>
      <c r="L16" s="106" t="str">
        <f>Montagem!W216</f>
        <v/>
      </c>
      <c r="M16" s="106" t="str">
        <f>Montagem!L216</f>
        <v/>
      </c>
      <c r="N16" s="106" t="str">
        <f>Montagem!X216</f>
        <v/>
      </c>
      <c r="O16" s="106" t="str">
        <f>IF(N16="",L16,N16)</f>
        <v/>
      </c>
      <c r="P16" s="106" t="str">
        <f>IF(L17="C",'Dados de Base'!$D$5*0.1,IF(L17="E",5,IF(J16="",O16,J16)))</f>
        <v/>
      </c>
      <c r="Q16" s="108"/>
      <c r="R16" s="115" t="str">
        <f>IF(AD16="","",HYPERLINK(OFFSET(Biblioteca!$B$2,MATCH(AD16,Biblioteca!$A$3:$A$200,0),0),AD16))</f>
        <v/>
      </c>
      <c r="U16" s="109" t="str">
        <f>Montagem!AF216</f>
        <v/>
      </c>
      <c r="V16" s="110" t="str">
        <f>Montagem!AG216</f>
        <v/>
      </c>
      <c r="W16" s="110" t="str">
        <f>Montagem!AH216</f>
        <v/>
      </c>
      <c r="X16" s="110" t="str">
        <f>Montagem!AI216</f>
        <v/>
      </c>
      <c r="Y16" s="110" t="str">
        <f>Montagem!AJ216</f>
        <v/>
      </c>
      <c r="Z16" s="110" t="str">
        <f>Montagem!AK216</f>
        <v/>
      </c>
      <c r="AA16" s="105"/>
      <c r="AB16" s="111">
        <f>Montagem!Z216</f>
        <v>1</v>
      </c>
      <c r="AC16" s="106" t="str">
        <f>Montagem!AL216</f>
        <v/>
      </c>
      <c r="AD16" s="111" t="str">
        <f>Montagem!AA216</f>
        <v/>
      </c>
      <c r="AE16" s="111" t="str">
        <f>Montagem!AM216</f>
        <v/>
      </c>
      <c r="AF16" s="106" t="str">
        <f>IF(AE16="",AC16,AE16)</f>
        <v/>
      </c>
      <c r="AG16" s="106" t="str">
        <f>IF(AC17="C",'Dados de Base'!$D$5*0.1,IF(AC17="E",5,IF(AA16="",AF16,AA16)))</f>
        <v/>
      </c>
      <c r="AH16" s="108"/>
      <c r="AI16" s="115" t="str">
        <f>IF(AU16="","",HYPERLINK(OFFSET(Biblioteca!$B$2,MATCH(AU16,Biblioteca!$A$3:$A$200,0),0),AU16))</f>
        <v/>
      </c>
      <c r="AL16" s="109" t="str">
        <f>Montagem!AU216</f>
        <v/>
      </c>
      <c r="AM16" s="110" t="str">
        <f>Montagem!AV216</f>
        <v/>
      </c>
      <c r="AN16" s="110" t="str">
        <f>Montagem!AW216</f>
        <v/>
      </c>
      <c r="AO16" s="110" t="str">
        <f>Montagem!AX216</f>
        <v/>
      </c>
      <c r="AP16" s="110" t="str">
        <f>Montagem!AY216</f>
        <v/>
      </c>
      <c r="AQ16" s="110" t="str">
        <f>Montagem!AZ216</f>
        <v/>
      </c>
      <c r="AR16" s="105"/>
      <c r="AS16" s="111">
        <f>Montagem!AO216</f>
        <v>1</v>
      </c>
      <c r="AT16" s="106" t="str">
        <f>Montagem!BA216</f>
        <v/>
      </c>
      <c r="AU16" s="111" t="str">
        <f>Montagem!AP216</f>
        <v/>
      </c>
      <c r="AV16" s="111" t="str">
        <f>Montagem!BB216</f>
        <v/>
      </c>
      <c r="AW16" s="106" t="str">
        <f>IF(AV16="",AT16,AV16)</f>
        <v/>
      </c>
      <c r="AX16" s="106" t="str">
        <f>IF(AT17="C",'Dados de Base'!$D$5*0.1,IF(AT17="E",5,IF(AR16="",AW16,AR16)))</f>
        <v/>
      </c>
      <c r="AY16" s="108"/>
      <c r="AZ16" s="115" t="str">
        <f>IF(BL16="","",HYPERLINK(OFFSET(Biblioteca!$B$2,MATCH(BL16,Biblioteca!$A$3:$A$200,0),0),BL16))</f>
        <v/>
      </c>
      <c r="BC16" s="109" t="str">
        <f>Montagem!BJ216</f>
        <v/>
      </c>
      <c r="BD16" s="110" t="str">
        <f>Montagem!BK216</f>
        <v/>
      </c>
      <c r="BE16" s="110" t="str">
        <f>Montagem!BL216</f>
        <v/>
      </c>
      <c r="BF16" s="110" t="str">
        <f>Montagem!BM216</f>
        <v/>
      </c>
      <c r="BG16" s="110" t="str">
        <f>Montagem!BN216</f>
        <v/>
      </c>
      <c r="BH16" s="110" t="str">
        <f>Montagem!BO216</f>
        <v/>
      </c>
      <c r="BI16" s="112"/>
      <c r="BJ16" s="111">
        <f>Montagem!BD216</f>
        <v>1</v>
      </c>
      <c r="BK16" s="106" t="str">
        <f>Montagem!BP216</f>
        <v/>
      </c>
      <c r="BL16" s="111" t="str">
        <f>Montagem!BE216</f>
        <v/>
      </c>
      <c r="BM16" s="111" t="str">
        <f>Montagem!BQ216</f>
        <v/>
      </c>
      <c r="BN16" s="106" t="str">
        <f>IF(BM16="",BK16,BM16)</f>
        <v/>
      </c>
      <c r="BO16" s="106" t="str">
        <f>IF(BK17="C",'Dados de Base'!$D$5*0.1,IF(BK17="E",5,IF(BI16="",BN16,BI16)))</f>
        <v/>
      </c>
      <c r="BP16" s="108"/>
      <c r="BQ16" s="115" t="str">
        <f>IF(CC16="","",HYPERLINK(OFFSET(Biblioteca!$B$2,MATCH(CC16,Biblioteca!$A$3:$A$200,0),0),CC16))</f>
        <v/>
      </c>
      <c r="BT16" s="109" t="str">
        <f>Montagem!BY216</f>
        <v/>
      </c>
      <c r="BU16" s="109" t="str">
        <f>Montagem!BZ216</f>
        <v/>
      </c>
      <c r="BV16" s="109" t="str">
        <f>Montagem!CA216</f>
        <v/>
      </c>
      <c r="BW16" s="109" t="str">
        <f>Montagem!CB216</f>
        <v/>
      </c>
      <c r="BX16" s="109" t="str">
        <f>Montagem!CC216</f>
        <v/>
      </c>
      <c r="BY16" s="109" t="str">
        <f>Montagem!CD216</f>
        <v/>
      </c>
      <c r="BZ16" s="113"/>
      <c r="CA16" s="111">
        <f>Montagem!BS216</f>
        <v>1</v>
      </c>
      <c r="CB16" s="106" t="str">
        <f>Montagem!CE216</f>
        <v/>
      </c>
      <c r="CC16" s="111" t="str">
        <f>Montagem!BT216</f>
        <v/>
      </c>
      <c r="CD16" s="111" t="str">
        <f>Montagem!CF216</f>
        <v/>
      </c>
      <c r="CE16" s="106" t="str">
        <f>IF(CD16="",CB16,CD16)</f>
        <v/>
      </c>
      <c r="CF16" s="106" t="str">
        <f>IF(CB17="C",'Dados de Base'!$D$5*0.1,IF(CB17="E",5,IF(BZ16="",CE16,BZ16)))</f>
        <v/>
      </c>
      <c r="CG16" s="108"/>
      <c r="CH16" s="115" t="str">
        <f>IF(CT16="","",HYPERLINK(OFFSET(Biblioteca!$B$2,MATCH(CT16,Biblioteca!$A$3:$A$200,0),0),CT16))</f>
        <v/>
      </c>
      <c r="CK16" s="109" t="str">
        <f>Montagem!CN216</f>
        <v/>
      </c>
      <c r="CL16" s="110" t="str">
        <f>Montagem!CO216</f>
        <v/>
      </c>
      <c r="CM16" s="110" t="str">
        <f>Montagem!CP216</f>
        <v/>
      </c>
      <c r="CN16" s="110" t="str">
        <f>Montagem!CQ216</f>
        <v/>
      </c>
      <c r="CO16" s="110" t="str">
        <f>Montagem!CR216</f>
        <v/>
      </c>
      <c r="CP16" s="110" t="str">
        <f>Montagem!CS216</f>
        <v/>
      </c>
      <c r="CQ16" s="113"/>
      <c r="CR16" s="111">
        <f>Montagem!CH216</f>
        <v>1</v>
      </c>
      <c r="CS16" s="106" t="str">
        <f>Montagem!CT216</f>
        <v/>
      </c>
      <c r="CT16" s="111" t="str">
        <f>Montagem!CI216</f>
        <v/>
      </c>
      <c r="CU16" s="111" t="str">
        <f>Montagem!CU216</f>
        <v/>
      </c>
      <c r="CV16" s="106" t="str">
        <f>IF(CU16="",CS16,CU16)</f>
        <v/>
      </c>
      <c r="CW16" s="106" t="str">
        <f>IF(CS17="C",'Dados de Base'!$D$5*0.1,IF(CS17="E",5,IF(CQ16="",CV16,CQ16)))</f>
        <v/>
      </c>
      <c r="CX16" s="108"/>
      <c r="CY16" s="115" t="str">
        <f>IF(DK16="","",HYPERLINK(OFFSET(Biblioteca!$B$2,MATCH(DK16,Biblioteca!$A$3:$A$200,0),0),DK16))</f>
        <v/>
      </c>
      <c r="DB16" s="109" t="str">
        <f>Montagem!DC216</f>
        <v/>
      </c>
      <c r="DC16" s="110" t="str">
        <f>Montagem!DD216</f>
        <v/>
      </c>
      <c r="DD16" s="110" t="str">
        <f>Montagem!DE216</f>
        <v/>
      </c>
      <c r="DE16" s="110" t="str">
        <f>Montagem!DF216</f>
        <v/>
      </c>
      <c r="DF16" s="110" t="str">
        <f>Montagem!DG216</f>
        <v/>
      </c>
      <c r="DG16" s="110" t="str">
        <f>Montagem!DH216</f>
        <v/>
      </c>
      <c r="DH16" s="114"/>
      <c r="DI16" s="111">
        <f>Montagem!CW216</f>
        <v>1</v>
      </c>
      <c r="DJ16" s="106" t="str">
        <f>Montagem!DI216</f>
        <v/>
      </c>
      <c r="DK16" s="111" t="str">
        <f>Montagem!CX216</f>
        <v/>
      </c>
      <c r="DL16" s="111" t="str">
        <f>Montagem!DJ216</f>
        <v/>
      </c>
      <c r="DM16" s="106" t="str">
        <f>IF(DL16="",DJ16,DL16)</f>
        <v/>
      </c>
      <c r="DN16" s="106" t="str">
        <f>IF(DJ17="C",'Dados de Base'!$D$5*0.1,IF(DJ17="E",5,IF(DH16="",DM16,DH16)))</f>
        <v/>
      </c>
      <c r="DO16" s="108"/>
      <c r="DP16" s="116" t="s">
        <v>40</v>
      </c>
      <c r="DQ16" s="106">
        <f>IF(DQ18=0,0,(L80+AC80+AT80+BK80+CB80+CS80+DJ80)/DQ18)</f>
        <v>0</v>
      </c>
      <c r="DR16" s="106"/>
      <c r="DS16" s="106"/>
      <c r="DT16" s="106"/>
      <c r="DU16" s="106"/>
      <c r="DV16" s="106"/>
      <c r="DW16" s="106"/>
      <c r="DX16" s="106"/>
      <c r="DY16" s="106"/>
    </row>
    <row r="17">
      <c r="A17" s="117" t="str">
        <f>IF(A16="","",IFS(L17="A",Montagem!$C$230,N17="T","Realizar a maior quantidade de repetições por "&amp;F16&amp;" segundos | ",N17="I",IF(M17="U","Manter a posição por "&amp;F16&amp;" segundos de um lado e trocar para o outro na sequência | ","Manter a posição por "&amp;F16&amp;" segundos | "),M17="A","Realizar alternadamente "&amp;F16&amp;" repetições cada lado | ",M17="U","Realizar "&amp;F16&amp;" repetições de um lado e trocar para o outro na sequência | ",L17="P",OFFSET(Biblioteca!$H$2,MATCH(M16,Biblioteca!$A$3:$A$200,0),0),TRUE,""))</f>
        <v/>
      </c>
      <c r="E17" s="118" t="str">
        <f>IF(A16="","",IFS(L17="H","Carga Sugerida: "&amp;ROUNDUP(O16/2,0)&amp;" kg de cada lado (Total: "&amp;ROUNDUP(O16/2,0)*2&amp;" kg)",L17="C","Este exercício usa o Peso Corporal como carga",L17="E","Este exercício usa a resistência da banda elástica como carga",L17="O","Carga Sugerida: "&amp;INT(O16)&amp;" kg",TRUE,""))</f>
        <v/>
      </c>
      <c r="J17" s="66"/>
      <c r="K17" s="119">
        <f>K16</f>
        <v>1</v>
      </c>
      <c r="L17" s="120" t="str">
        <f>LEFT(O17)</f>
        <v/>
      </c>
      <c r="M17" s="121" t="str">
        <f>MID(O17,2,1)</f>
        <v/>
      </c>
      <c r="N17" s="122" t="str">
        <f>RIGHT(O17)</f>
        <v/>
      </c>
      <c r="O17" s="123" t="str">
        <f>IF(M16="","",OFFSET(Biblioteca!$I$2,MATCH(M16,Biblioteca!$A$3:$A$200,0),0))</f>
        <v/>
      </c>
      <c r="P17" s="124"/>
      <c r="Q17" s="125"/>
      <c r="R17" s="117" t="str">
        <f>IF(R16="","",IFS(AC17="A",Montagem!$D$230,AE17="T","Realizar a maior quantidade de repetições por "&amp;W16&amp;" segundos | ",AE17="I",IF(AD17="U","Manter a posição por "&amp;W16&amp;" segundos de um lado e trocar para o outro na sequência | ","Manter a posição por "&amp;W16&amp;" segundos | "),AD17="A","Realizar alternadamente "&amp;W16&amp;" repetições cada lado | ",AD17="U","Realizar "&amp;W16&amp;" repetições de um lado e trocar para o outro na sequência | ",AC17="P",OFFSET(Biblioteca!$H$2,MATCH(AD16,Biblioteca!$A$3:$A$200,0),0),TRUE,""))</f>
        <v/>
      </c>
      <c r="V17" s="118" t="str">
        <f>IF(R16="","",IFS(AC17="H","Carga Sugerida: "&amp;ROUNDUP(AF16/2,0)&amp;" kg de cada lado (Total: "&amp;ROUNDUP(AF16/2,0)*2&amp;" kg)",AC17="C","Este exercício usa o Peso Corporal como carga",AC17="E","Este exercício usa a resistência da banda elástica como carga",AC17="O","Carga Sugerida: "&amp;INT(AF16)&amp;" kg",TRUE,""))</f>
        <v/>
      </c>
      <c r="AA17" s="66"/>
      <c r="AB17" s="126">
        <f>AB16</f>
        <v>1</v>
      </c>
      <c r="AC17" s="120" t="str">
        <f>LEFT(AF17)</f>
        <v/>
      </c>
      <c r="AD17" s="121" t="str">
        <f>MID(AF17,2,1)</f>
        <v/>
      </c>
      <c r="AE17" s="122" t="str">
        <f>RIGHT(AF17)</f>
        <v/>
      </c>
      <c r="AF17" s="123" t="str">
        <f>IF(AD16="","",OFFSET(Biblioteca!$I$2,MATCH(AD16,Biblioteca!$A$3:$A$200,0),0))</f>
        <v/>
      </c>
      <c r="AG17" s="124"/>
      <c r="AH17" s="125"/>
      <c r="AI17" s="117" t="str">
        <f>IF(AI16="","",IFS(AT17="A",Montagem!$E$230,AV17="T","Realizar a maior quantidade de repetições por "&amp;AN16&amp;" segundos | ",AV17="I",IF(AU17="U","Manter a posição por "&amp;AN16&amp;" segundos de um lado e trocar para o outro na sequência | ","Manter a posição por "&amp;AN16&amp;" segundos | "),AU17="A","Realizar alternadamente "&amp;AN16&amp;" repetições cada lado | ",AU17="U","Realizar "&amp;AN16&amp;" repetições de um lado e trocar para o outro na sequência | ",AT17="P",OFFSET(Biblioteca!$H$2,MATCH(AU16,Biblioteca!$A$3:$A$200,0),0),TRUE,""))</f>
        <v/>
      </c>
      <c r="AM17" s="118" t="str">
        <f>IF(AI16="","",IFS(AT17="H","Carga Sugerida: "&amp;ROUNDUP(AW16/2,0)&amp;" kg de cada lado (Total: "&amp;ROUNDUP(AW16/2,0)*2&amp;" kg)",AT17="C","Este exercício usa o Peso Corporal como carga",AT17="E","Este exercício usa a resistência da banda elástica como carga",AT17="O","Carga Sugerida: "&amp;INT(AW16)&amp;" kg",TRUE,""))</f>
        <v/>
      </c>
      <c r="AR17" s="66"/>
      <c r="AS17" s="126">
        <f>AS16</f>
        <v>1</v>
      </c>
      <c r="AT17" s="120" t="str">
        <f>LEFT(AW17)</f>
        <v/>
      </c>
      <c r="AU17" s="121" t="str">
        <f>MID(AW17,2,1)</f>
        <v/>
      </c>
      <c r="AV17" s="122" t="str">
        <f>RIGHT(AW17)</f>
        <v/>
      </c>
      <c r="AW17" s="123" t="str">
        <f>IF(AU16="","",OFFSET(Biblioteca!$I$2,MATCH(AU16,Biblioteca!$A$3:$A$200,0),0))</f>
        <v/>
      </c>
      <c r="AX17" s="124"/>
      <c r="AY17" s="125"/>
      <c r="AZ17" s="117" t="str">
        <f>IF(AZ16="","",IFS(BK17="A",Montagem!$F$230,BM17="T","Realizar a maior quantidade de repetições por "&amp;BE16&amp;" segundos | ",BM17="I",IF(BL17="U","Manter a posição por "&amp;BE16&amp;" segundos de um lado e trocar para o outro na sequência | ","Manter a posição por "&amp;BE16&amp;" segundos | "),BL17="A","Realizar alternadamente "&amp;BE16&amp;" repetições cada lado | ",BL17="U","Realizar "&amp;BE16&amp;" repetições de um lado e trocar para o outro na sequência | ",BK17="P",OFFSET(Biblioteca!$H$2,MATCH(BL16,Biblioteca!$A$3:$A$200,0),0),TRUE,""))</f>
        <v/>
      </c>
      <c r="BD17" s="118" t="str">
        <f>IF(AZ16="","",IFS(BK17="H","Carga Sugerida: "&amp;ROUNDUP(BN16/2,0)&amp;" kg de cada lado (Total: "&amp;ROUNDUP(BN16/2,0)*2&amp;" kg)",BK17="C","Este exercício usa o Peso Corporal como carga",BK17="E","Este exercício usa a resistência da banda elástica como carga",BK17="O","Carga Sugerida: "&amp;INT(BN16)&amp;" kg",TRUE,""))</f>
        <v/>
      </c>
      <c r="BI17" s="66"/>
      <c r="BJ17" s="126">
        <f>BJ16</f>
        <v>1</v>
      </c>
      <c r="BK17" s="120" t="str">
        <f>LEFT(BN17)</f>
        <v/>
      </c>
      <c r="BL17" s="121" t="str">
        <f>MID(BN17,2,1)</f>
        <v/>
      </c>
      <c r="BM17" s="122" t="str">
        <f>RIGHT(BN17)</f>
        <v/>
      </c>
      <c r="BN17" s="123" t="str">
        <f>IF(BL16="","",OFFSET(Biblioteca!$I$2,MATCH(BL16,Biblioteca!$A$3:$A$200,0),0))</f>
        <v/>
      </c>
      <c r="BO17" s="124"/>
      <c r="BP17" s="125"/>
      <c r="BQ17" s="117" t="str">
        <f>IF(BQ16="","",IFS(CB17="A",Montagem!$G$230,CD17="T","Realizar a maior quantidade de repetições por "&amp;BV16&amp;" segundos | ",CD17="I",IF(CC17="U","Manter a posição por "&amp;BV16&amp;" segundos de um lado e trocar para o outro na sequência | ","Manter a posição por "&amp;BV16&amp;" segundos | "),CC17="A","Realizar alternadamente "&amp;BV16&amp;" repetições cada lado | ",CC17="U","Realizar "&amp;BV16&amp;" repetições de um lado e trocar para o outro na sequência | ",CB17="P",OFFSET(Biblioteca!$H$2,MATCH(CC16,Biblioteca!$A$3:$A$200,0),0),TRUE,""))</f>
        <v/>
      </c>
      <c r="BU17" s="118" t="str">
        <f>IF(BQ16="","",IFS(CB17="H","Carga Sugerida: "&amp;ROUNDUP(CE16/2,0)&amp;" kg de cada lado (Total: "&amp;ROUNDUP(CE16/2,0)*2&amp;" kg)",CB17="C","Este exercício usa o Peso Corporal como carga",CB17="E","Este exercício usa a resistência da banda elástica como carga",CB17="O","Carga Sugerida: "&amp;INT(CE16)&amp;" kg",TRUE,""))</f>
        <v/>
      </c>
      <c r="BZ17" s="66"/>
      <c r="CA17" s="126">
        <f>CA16</f>
        <v>1</v>
      </c>
      <c r="CB17" s="120" t="str">
        <f>LEFT(CE17)</f>
        <v/>
      </c>
      <c r="CC17" s="121" t="str">
        <f>MID(CE17,2,1)</f>
        <v/>
      </c>
      <c r="CD17" s="122" t="str">
        <f>RIGHT(CE17)</f>
        <v/>
      </c>
      <c r="CE17" s="123" t="str">
        <f>IF(CC16="","",OFFSET(Biblioteca!$I$2,MATCH(CC16,Biblioteca!$A$3:$A$200,0),0))</f>
        <v/>
      </c>
      <c r="CF17" s="124"/>
      <c r="CG17" s="125"/>
      <c r="CH17" s="117" t="str">
        <f>IF(CH16="","",IFS(CS17="A",Montagem!$H$230,CU17="T","Realizar a maior quantidade de repetições por "&amp;CM16&amp;" segundos | ",CU17="I",IF(CT17="U","Manter a posição por "&amp;CM16&amp;" segundos de um lado e trocar para o outro na sequência | ","Manter a posição por "&amp;CM16&amp;" segundos | "),CT17="A","Realizar alternadamente "&amp;CM16&amp;" repetições cada lado | ",CT17="U","Realizar "&amp;CM16&amp;" repetições de um lado e trocar para o outro na sequência | ",CS17="P",OFFSET(Biblioteca!$H$2,MATCH(CT16,Biblioteca!$A$3:$A$200,0),0),TRUE,""))</f>
        <v/>
      </c>
      <c r="CL17" s="118" t="str">
        <f>IF(CH16="","",IFS(CS17="H","Carga Sugerida: "&amp;ROUNDUP(CV16/2,0)&amp;" kg de cada lado (Total: "&amp;ROUNDUP(CV16/2,0)*2&amp;" kg)",CS17="C","Este exercício usa o Peso Corporal como carga",CS17="E","Este exercício usa a resistência da banda elástica como carga",CS17="O","Carga Sugerida: "&amp;INT(CV16)&amp;" kg",TRUE,""))</f>
        <v/>
      </c>
      <c r="CQ17" s="66"/>
      <c r="CR17" s="126">
        <f>CR16</f>
        <v>1</v>
      </c>
      <c r="CS17" s="120" t="str">
        <f>LEFT(CV17)</f>
        <v/>
      </c>
      <c r="CT17" s="121" t="str">
        <f>MID(CV17,2,1)</f>
        <v/>
      </c>
      <c r="CU17" s="122" t="str">
        <f>RIGHT(CV17)</f>
        <v/>
      </c>
      <c r="CV17" s="123" t="str">
        <f>IF(CT16="","",OFFSET(Biblioteca!$I$2,MATCH(CT16,Biblioteca!$A$3:$A$200,0),0))</f>
        <v/>
      </c>
      <c r="CW17" s="124"/>
      <c r="CX17" s="125"/>
      <c r="CY17" s="117" t="str">
        <f>IF(CY16="","",IFS(DJ17="A",Montagem!$I$230,DL17="T","Realizar a maior quantidade de repetições por "&amp;DD16&amp;" segundos | ",DL17="I",IF(DK17="U","Manter a posição por "&amp;DD16&amp;" segundos de um lado e trocar para o outro na sequência | ","Manter a posição por "&amp;DD16&amp;" segundos | "),DK17="A","Realizar alternadamente "&amp;DD16&amp;" repetições cada lado | ",DK17="U","Realizar "&amp;DD16&amp;" repetições de um lado e trocar para o outro na sequência | ",DJ17="P",OFFSET(Biblioteca!$H$2,MATCH(DK16,Biblioteca!$A$3:$A$200,0),0),TRUE,""))</f>
        <v/>
      </c>
      <c r="DC17" s="118" t="str">
        <f>IF(CY16="","",IFS(DJ17="H","Carga Sugerida: "&amp;ROUNDUP(DM16/2,0)&amp;" kg de cada lado (Total: "&amp;ROUNDUP(DM16/2,0)*2&amp;" kg)",DJ17="C","Este exercício usa o Peso Corporal como carga",DJ17="E","Este exercício usa a resistência da banda elástica como carga",DJ17="O","Carga Sugerida: "&amp;INT(DM16)&amp;" kg",TRUE,""))</f>
        <v/>
      </c>
      <c r="DH17" s="66"/>
      <c r="DI17" s="126">
        <f>DI16</f>
        <v>1</v>
      </c>
      <c r="DJ17" s="120" t="str">
        <f>LEFT(DM17)</f>
        <v/>
      </c>
      <c r="DK17" s="121" t="str">
        <f>MID(DM17,2,1)</f>
        <v/>
      </c>
      <c r="DL17" s="122" t="str">
        <f>RIGHT(DM17)</f>
        <v/>
      </c>
      <c r="DM17" s="123" t="str">
        <f>IF(DK16="","",OFFSET(Biblioteca!$I$2,MATCH(DK16,Biblioteca!$A$3:$A$200,0),0))</f>
        <v/>
      </c>
      <c r="DN17" s="124"/>
      <c r="DO17" s="125"/>
      <c r="DP17" s="73" t="s">
        <v>41</v>
      </c>
      <c r="DQ17" s="56">
        <f>J2</f>
        <v>0</v>
      </c>
      <c r="DR17" s="56"/>
      <c r="DS17" s="56"/>
      <c r="DT17" s="56"/>
      <c r="DU17" s="56"/>
      <c r="DV17" s="56"/>
      <c r="DW17" s="56"/>
      <c r="DX17" s="56"/>
      <c r="DY17" s="56"/>
    </row>
    <row r="18">
      <c r="A18" s="115" t="str">
        <f>IF(M18="","",HYPERLINK(OFFSET(Biblioteca!$B$2,MATCH(M18,Biblioteca!$A$3:$A$200,0),0),M18))</f>
        <v/>
      </c>
      <c r="D18" s="103" t="str">
        <f>Montagem!Q217</f>
        <v/>
      </c>
      <c r="E18" s="127" t="str">
        <f>Montagem!R217</f>
        <v/>
      </c>
      <c r="F18" s="104" t="str">
        <f>Montagem!S217</f>
        <v/>
      </c>
      <c r="G18" s="104" t="str">
        <f>Montagem!T217</f>
        <v/>
      </c>
      <c r="H18" s="127" t="str">
        <f>Montagem!U217</f>
        <v/>
      </c>
      <c r="I18" s="104" t="str">
        <f>Montagem!V217</f>
        <v/>
      </c>
      <c r="J18" s="105"/>
      <c r="K18" s="106">
        <f>Montagem!K217</f>
        <v>1</v>
      </c>
      <c r="L18" s="111" t="str">
        <f>Montagem!W217</f>
        <v/>
      </c>
      <c r="M18" s="106" t="str">
        <f>Montagem!L217</f>
        <v/>
      </c>
      <c r="N18" s="111" t="str">
        <f>Montagem!X217</f>
        <v/>
      </c>
      <c r="O18" s="106" t="str">
        <f>IF(N18="",L18,N18)</f>
        <v/>
      </c>
      <c r="P18" s="106" t="str">
        <f>IF(L19="C",'Dados de Base'!$D$5*0.1,IF(L19="E",5,IF(J18="",O18,J18)))</f>
        <v/>
      </c>
      <c r="Q18" s="108"/>
      <c r="R18" s="115" t="str">
        <f>IF(AD18="","",HYPERLINK(OFFSET(Biblioteca!$B$2,MATCH(AD18,Biblioteca!$A$3:$A$200,0),0),AD18))</f>
        <v/>
      </c>
      <c r="U18" s="109" t="str">
        <f>Montagem!AF217</f>
        <v/>
      </c>
      <c r="V18" s="110" t="str">
        <f>Montagem!AG217</f>
        <v/>
      </c>
      <c r="W18" s="110" t="str">
        <f>Montagem!AH217</f>
        <v/>
      </c>
      <c r="X18" s="110" t="str">
        <f>Montagem!AI217</f>
        <v/>
      </c>
      <c r="Y18" s="110" t="str">
        <f>Montagem!AJ217</f>
        <v/>
      </c>
      <c r="Z18" s="110" t="str">
        <f>Montagem!AK217</f>
        <v/>
      </c>
      <c r="AA18" s="105"/>
      <c r="AB18" s="111">
        <f>Montagem!Z217</f>
        <v>1</v>
      </c>
      <c r="AC18" s="111" t="str">
        <f>Montagem!AL217</f>
        <v/>
      </c>
      <c r="AD18" s="129" t="str">
        <f>Montagem!AA217</f>
        <v/>
      </c>
      <c r="AE18" s="111" t="str">
        <f>Montagem!AM217</f>
        <v/>
      </c>
      <c r="AF18" s="106" t="str">
        <f>IF(AE18="",AC18,AE18)</f>
        <v/>
      </c>
      <c r="AG18" s="106" t="str">
        <f>IF(AC19="C",'Dados de Base'!$D$5*0.1,IF(AC19="E",5,IF(AA18="",AF18,AA18)))</f>
        <v/>
      </c>
      <c r="AH18" s="108"/>
      <c r="AI18" s="115" t="str">
        <f>IF(AU18="","",HYPERLINK(OFFSET(Biblioteca!$B$2,MATCH(AU18,Biblioteca!$A$3:$A$200,0),0),AU18))</f>
        <v/>
      </c>
      <c r="AL18" s="109" t="str">
        <f>Montagem!AU217</f>
        <v/>
      </c>
      <c r="AM18" s="110" t="str">
        <f>Montagem!AV217</f>
        <v/>
      </c>
      <c r="AN18" s="110" t="str">
        <f>Montagem!AW217</f>
        <v/>
      </c>
      <c r="AO18" s="110" t="str">
        <f>Montagem!AX217</f>
        <v/>
      </c>
      <c r="AP18" s="110" t="str">
        <f>Montagem!AY217</f>
        <v/>
      </c>
      <c r="AQ18" s="110" t="str">
        <f>Montagem!AZ217</f>
        <v/>
      </c>
      <c r="AR18" s="105"/>
      <c r="AS18" s="111">
        <f>Montagem!AO217</f>
        <v>1</v>
      </c>
      <c r="AT18" s="111" t="str">
        <f>Montagem!BA217</f>
        <v/>
      </c>
      <c r="AU18" s="111" t="str">
        <f>Montagem!AP217</f>
        <v/>
      </c>
      <c r="AV18" s="111" t="str">
        <f>Montagem!BB217</f>
        <v/>
      </c>
      <c r="AW18" s="106" t="str">
        <f>IF(AV18="",AT18,AV18)</f>
        <v/>
      </c>
      <c r="AX18" s="106" t="str">
        <f>IF(AT19="C",'Dados de Base'!$D$5*0.1,IF(AT19="E",5,IF(AR18="",AW18,AR18)))</f>
        <v/>
      </c>
      <c r="AY18" s="108"/>
      <c r="AZ18" s="115" t="str">
        <f>IF(BL18="","",HYPERLINK(OFFSET(Biblioteca!$B$2,MATCH(BL18,Biblioteca!$A$3:$A$200,0),0),BL18))</f>
        <v/>
      </c>
      <c r="BC18" s="109" t="str">
        <f>Montagem!BJ217</f>
        <v/>
      </c>
      <c r="BD18" s="110" t="str">
        <f>Montagem!BK217</f>
        <v/>
      </c>
      <c r="BE18" s="110" t="str">
        <f>Montagem!BL217</f>
        <v/>
      </c>
      <c r="BF18" s="110" t="str">
        <f>Montagem!BM217</f>
        <v/>
      </c>
      <c r="BG18" s="110" t="str">
        <f>Montagem!BN217</f>
        <v/>
      </c>
      <c r="BH18" s="110" t="str">
        <f>Montagem!BO217</f>
        <v/>
      </c>
      <c r="BI18" s="112"/>
      <c r="BJ18" s="111">
        <f>Montagem!BD217</f>
        <v>1</v>
      </c>
      <c r="BK18" s="111" t="str">
        <f>Montagem!BP217</f>
        <v/>
      </c>
      <c r="BL18" s="111" t="str">
        <f>Montagem!BE217</f>
        <v/>
      </c>
      <c r="BM18" s="111" t="str">
        <f>Montagem!BQ217</f>
        <v/>
      </c>
      <c r="BN18" s="106" t="str">
        <f>IF(BM18="",BK18,BM18)</f>
        <v/>
      </c>
      <c r="BO18" s="106" t="str">
        <f>IF(BK19="C",'Dados de Base'!$D$5*0.1,IF(BK19="E",5,IF(BI18="",BN18,BI18)))</f>
        <v/>
      </c>
      <c r="BP18" s="108"/>
      <c r="BQ18" s="115" t="str">
        <f>IF(CC18="","",HYPERLINK(OFFSET(Biblioteca!$B$2,MATCH(CC18,Biblioteca!$A$3:$A$200,0),0),CC18))</f>
        <v/>
      </c>
      <c r="BT18" s="109" t="str">
        <f>Montagem!BY217</f>
        <v/>
      </c>
      <c r="BU18" s="110" t="str">
        <f>Montagem!BZ217</f>
        <v/>
      </c>
      <c r="BV18" s="110" t="str">
        <f>Montagem!CA217</f>
        <v/>
      </c>
      <c r="BW18" s="110" t="str">
        <f>Montagem!CB217</f>
        <v/>
      </c>
      <c r="BX18" s="110" t="str">
        <f>Montagem!CC217</f>
        <v/>
      </c>
      <c r="BY18" s="110" t="str">
        <f>Montagem!CD217</f>
        <v/>
      </c>
      <c r="BZ18" s="113"/>
      <c r="CA18" s="111">
        <f>Montagem!BS217</f>
        <v>1</v>
      </c>
      <c r="CB18" s="111" t="str">
        <f>Montagem!CE217</f>
        <v/>
      </c>
      <c r="CC18" s="111" t="str">
        <f>Montagem!BT217</f>
        <v/>
      </c>
      <c r="CD18" s="111" t="str">
        <f>Montagem!CF217</f>
        <v/>
      </c>
      <c r="CE18" s="106" t="str">
        <f>IF(CD18="",CB18,CD18)</f>
        <v/>
      </c>
      <c r="CF18" s="106" t="str">
        <f>IF(CB19="C",'Dados de Base'!$D$5*0.1,IF(CB19="E",5,IF(BZ18="",CE18,BZ18)))</f>
        <v/>
      </c>
      <c r="CG18" s="108"/>
      <c r="CH18" s="115" t="str">
        <f>IF(CT18="","",HYPERLINK(OFFSET(Biblioteca!$B$2,MATCH(CT18,Biblioteca!$A$3:$A$200,0),0),CT18))</f>
        <v/>
      </c>
      <c r="CK18" s="109" t="str">
        <f>Montagem!CN217</f>
        <v/>
      </c>
      <c r="CL18" s="110" t="str">
        <f>Montagem!CO217</f>
        <v/>
      </c>
      <c r="CM18" s="110" t="str">
        <f>Montagem!CP217</f>
        <v/>
      </c>
      <c r="CN18" s="110" t="str">
        <f>Montagem!CQ217</f>
        <v/>
      </c>
      <c r="CO18" s="110" t="str">
        <f>Montagem!CR217</f>
        <v/>
      </c>
      <c r="CP18" s="110" t="str">
        <f>Montagem!CS217</f>
        <v/>
      </c>
      <c r="CQ18" s="113"/>
      <c r="CR18" s="111">
        <f>Montagem!CH217</f>
        <v>1</v>
      </c>
      <c r="CS18" s="111" t="str">
        <f>Montagem!CT217</f>
        <v/>
      </c>
      <c r="CT18" s="111" t="str">
        <f>Montagem!CI217</f>
        <v/>
      </c>
      <c r="CU18" s="111" t="str">
        <f>Montagem!CU217</f>
        <v/>
      </c>
      <c r="CV18" s="106" t="str">
        <f>IF(CU18="",CS18,CU18)</f>
        <v/>
      </c>
      <c r="CW18" s="106" t="str">
        <f>IF(CS19="C",'Dados de Base'!$D$5*0.1,IF(CS19="E",5,IF(CQ18="",CV18,CQ18)))</f>
        <v/>
      </c>
      <c r="CX18" s="108"/>
      <c r="CY18" s="115" t="str">
        <f>IF(DK18="","",HYPERLINK(OFFSET(Biblioteca!$B$2,MATCH(DK18,Biblioteca!$A$3:$A$200,0),0),DK18))</f>
        <v/>
      </c>
      <c r="DB18" s="130" t="str">
        <f>Montagem!DC217</f>
        <v/>
      </c>
      <c r="DC18" s="131" t="str">
        <f>Montagem!DD217</f>
        <v/>
      </c>
      <c r="DD18" s="131" t="str">
        <f>Montagem!DE217</f>
        <v/>
      </c>
      <c r="DE18" s="131" t="str">
        <f>Montagem!DF217</f>
        <v/>
      </c>
      <c r="DF18" s="131" t="str">
        <f>Montagem!DG217</f>
        <v/>
      </c>
      <c r="DG18" s="131" t="str">
        <f>Montagem!DH217</f>
        <v/>
      </c>
      <c r="DH18" s="114"/>
      <c r="DI18" s="111">
        <f>Montagem!CW217</f>
        <v>1</v>
      </c>
      <c r="DJ18" s="111" t="str">
        <f>Montagem!DI217</f>
        <v/>
      </c>
      <c r="DK18" s="111" t="str">
        <f>Montagem!CX217</f>
        <v/>
      </c>
      <c r="DL18" s="111" t="str">
        <f>Montagem!DJ217</f>
        <v/>
      </c>
      <c r="DM18" s="106" t="str">
        <f>IF(DL18="",DJ18,DL18)</f>
        <v/>
      </c>
      <c r="DN18" s="106" t="str">
        <f>IF(DJ19="C",'Dados de Base'!$D$5*0.1,IF(DJ19="E",5,IF(DH18="",DM18,DH18)))</f>
        <v/>
      </c>
      <c r="DO18" s="108"/>
      <c r="DP18" s="116" t="s">
        <v>42</v>
      </c>
      <c r="DQ18" s="106">
        <f>IF(L80=0,0,1)+IF(AC80=0,0,1)+IF(AT80=0,0,1)+IF(BK80=0,0,1)+IF(CB80=0,0,1)+IF(CS80=0,0,1)+IF(DJ80=0,0,1)</f>
        <v>0</v>
      </c>
      <c r="DR18" s="106"/>
      <c r="DS18" s="106"/>
      <c r="DT18" s="106"/>
      <c r="DU18" s="106"/>
      <c r="DV18" s="106"/>
      <c r="DW18" s="106"/>
      <c r="DX18" s="106"/>
      <c r="DY18" s="106"/>
    </row>
    <row r="19">
      <c r="A19" s="117" t="str">
        <f>IF(A18="","",IFS(L19="A",Montagem!$C$230,N19="T","Realizar a maior quantidade de repetições por "&amp;F18&amp;" segundos | ",N19="I",IF(M19="U","Manter a posição por "&amp;F18&amp;" segundos de um lado e trocar para o outro na sequência | ","Manter a posição por "&amp;F18&amp;" segundos | "),M19="A","Realizar alternadamente "&amp;F18&amp;" repetições cada lado | ",M19="U","Realizar "&amp;F18&amp;" repetições de um lado e trocar para o outro na sequência | ",L19="P",OFFSET(Biblioteca!$H$2,MATCH(M18,Biblioteca!$A$3:$A$200,0),0),TRUE,""))</f>
        <v/>
      </c>
      <c r="E19" s="118" t="str">
        <f>IF(A18="","",IFS(L19="H","Carga Sugerida: "&amp;ROUNDUP(O18/2,0)&amp;" kg de cada lado (Total: "&amp;ROUNDUP(O18/2,0)*2&amp;" kg)",L19="C","Este exercício usa o Peso Corporal como carga",L19="E","Este exercício usa a resistência da banda elástica como carga",L19="O","Carga Sugerida: "&amp;INT(O18)&amp;" kg",TRUE,""))</f>
        <v/>
      </c>
      <c r="J19" s="66"/>
      <c r="K19" s="119">
        <f>K18</f>
        <v>1</v>
      </c>
      <c r="L19" s="120" t="str">
        <f>LEFT(O19)</f>
        <v/>
      </c>
      <c r="M19" s="121" t="str">
        <f>MID(O19,2,1)</f>
        <v/>
      </c>
      <c r="N19" s="122" t="str">
        <f>RIGHT(O19)</f>
        <v/>
      </c>
      <c r="O19" s="123" t="str">
        <f>IF(M18="","",OFFSET(Biblioteca!$I$2,MATCH(M18,Biblioteca!$A$3:$A$200,0),0))</f>
        <v/>
      </c>
      <c r="P19" s="124"/>
      <c r="Q19" s="125"/>
      <c r="R19" s="117" t="str">
        <f>IF(R18="","",IFS(AC19="A",Montagem!$D$230,AE19="T","Realizar a maior quantidade de repetições por "&amp;W18&amp;" segundos | ",AE19="I",IF(AD19="U","Manter a posição por "&amp;W18&amp;" segundos de um lado e trocar para o outro na sequência | ","Manter a posição por "&amp;W18&amp;" segundos | "),AD19="A","Realizar alternadamente "&amp;W18&amp;" repetições cada lado | ",AD19="U","Realizar "&amp;W18&amp;" repetições de um lado e trocar para o outro na sequência | ",AC19="P",OFFSET(Biblioteca!$H$2,MATCH(AD18,Biblioteca!$A$3:$A$200,0),0),TRUE,""))</f>
        <v/>
      </c>
      <c r="V19" s="118" t="str">
        <f>IF(R18="","",IFS(AC19="H","Carga Sugerida: "&amp;ROUNDUP(AF18/2,0)&amp;" kg de cada lado (Total: "&amp;ROUNDUP(AF18/2,0)*2&amp;" kg)",AC19="C","Este exercício usa o Peso Corporal como carga",AC19="E","Este exercício usa a resistência da banda elástica como carga",AC19="O","Carga Sugerida: "&amp;INT(AF18)&amp;" kg",TRUE,""))</f>
        <v/>
      </c>
      <c r="AA19" s="66"/>
      <c r="AB19" s="126">
        <f>AB18</f>
        <v>1</v>
      </c>
      <c r="AC19" s="120" t="str">
        <f>LEFT(AF19)</f>
        <v/>
      </c>
      <c r="AD19" s="121" t="str">
        <f>MID(AF19,2,1)</f>
        <v/>
      </c>
      <c r="AE19" s="122" t="str">
        <f>RIGHT(AF19)</f>
        <v/>
      </c>
      <c r="AF19" s="123" t="str">
        <f>IF(AD18="","",OFFSET(Biblioteca!$I$2,MATCH(AD18,Biblioteca!$A$3:$A$200,0),0))</f>
        <v/>
      </c>
      <c r="AG19" s="124"/>
      <c r="AH19" s="125"/>
      <c r="AI19" s="117" t="str">
        <f>IF(AI18="","",IFS(AT19="A",Montagem!$E$230,AV19="T","Realizar a maior quantidade de repetições por "&amp;AN18&amp;" segundos | ",AV19="I",IF(AU19="U","Manter a posição por "&amp;AN18&amp;" segundos de um lado e trocar para o outro na sequência | ","Manter a posição por "&amp;AN18&amp;" segundos | "),AU19="A","Realizar alternadamente "&amp;AN18&amp;" repetições cada lado | ",AU19="U","Realizar "&amp;AN18&amp;" repetições de um lado e trocar para o outro na sequência | ",AT19="P",OFFSET(Biblioteca!$H$2,MATCH(AU18,Biblioteca!$A$3:$A$200,0),0),TRUE,""))</f>
        <v/>
      </c>
      <c r="AM19" s="118" t="str">
        <f>IF(AI18="","",IFS(AT19="H","Carga Sugerida: "&amp;ROUNDUP(AW18/2,0)&amp;" kg de cada lado (Total: "&amp;ROUNDUP(AW18/2,0)*2&amp;" kg)",AT19="C","Este exercício usa o Peso Corporal como carga",AT19="E","Este exercício usa a resistência da banda elástica como carga",AT19="O","Carga Sugerida: "&amp;INT(AW18)&amp;" kg",TRUE,""))</f>
        <v/>
      </c>
      <c r="AR19" s="66"/>
      <c r="AS19" s="126">
        <f>AS18</f>
        <v>1</v>
      </c>
      <c r="AT19" s="120" t="str">
        <f>LEFT(AW19)</f>
        <v/>
      </c>
      <c r="AU19" s="121" t="str">
        <f>MID(AW19,2,1)</f>
        <v/>
      </c>
      <c r="AV19" s="122" t="str">
        <f>RIGHT(AW19)</f>
        <v/>
      </c>
      <c r="AW19" s="123" t="str">
        <f>IF(AU18="","",OFFSET(Biblioteca!$I$2,MATCH(AU18,Biblioteca!$A$3:$A$200,0),0))</f>
        <v/>
      </c>
      <c r="AX19" s="124"/>
      <c r="AY19" s="125"/>
      <c r="AZ19" s="117" t="str">
        <f>IF(AZ18="","",IFS(BK19="A",Montagem!$F$230,BM19="T","Realizar a maior quantidade de repetições por "&amp;BE18&amp;" segundos | ",BM19="I",IF(BL19="U","Manter a posição por "&amp;BE18&amp;" segundos de um lado e trocar para o outro na sequência | ","Manter a posição por "&amp;BE18&amp;" segundos | "),BL19="A","Realizar alternadamente "&amp;BE18&amp;" repetições cada lado | ",BL19="U","Realizar "&amp;BE18&amp;" repetições de um lado e trocar para o outro na sequência | ",BK19="P",OFFSET(Biblioteca!$H$2,MATCH(BL18,Biblioteca!$A$3:$A$200,0),0),TRUE,""))</f>
        <v/>
      </c>
      <c r="BD19" s="118" t="str">
        <f>IF(AZ18="","",IFS(BK19="H","Carga Sugerida: "&amp;ROUNDUP(BN18/2,0)&amp;" kg de cada lado (Total: "&amp;ROUNDUP(BN18/2,0)*2&amp;" kg)",BK19="C","Este exercício usa o Peso Corporal como carga",BK19="E","Este exercício usa a resistência da banda elástica como carga",BK19="O","Carga Sugerida: "&amp;INT(BN18)&amp;" kg",TRUE,""))</f>
        <v/>
      </c>
      <c r="BI19" s="66"/>
      <c r="BJ19" s="126">
        <f>BJ18</f>
        <v>1</v>
      </c>
      <c r="BK19" s="120" t="str">
        <f>LEFT(BN19)</f>
        <v/>
      </c>
      <c r="BL19" s="121" t="str">
        <f>MID(BN19,2,1)</f>
        <v/>
      </c>
      <c r="BM19" s="122" t="str">
        <f>RIGHT(BN19)</f>
        <v/>
      </c>
      <c r="BN19" s="123" t="str">
        <f>IF(BL18="","",OFFSET(Biblioteca!$I$2,MATCH(BL18,Biblioteca!$A$3:$A$200,0),0))</f>
        <v/>
      </c>
      <c r="BO19" s="124"/>
      <c r="BP19" s="125"/>
      <c r="BQ19" s="117" t="str">
        <f>IF(BQ18="","",IFS(CB19="A",Montagem!$G$230,CD19="T","Realizar a maior quantidade de repetições por "&amp;BV18&amp;" segundos | ",CD19="I",IF(CC19="U","Manter a posição por "&amp;BV18&amp;" segundos de um lado e trocar para o outro na sequência | ","Manter a posição por "&amp;BV18&amp;" segundos | "),CC19="A","Realizar alternadamente "&amp;BV18&amp;" repetições cada lado | ",CC19="U","Realizar "&amp;BV18&amp;" repetições de um lado e trocar para o outro na sequência | ",CB19="P",OFFSET(Biblioteca!$H$2,MATCH(CC18,Biblioteca!$A$3:$A$200,0),0),TRUE,""))</f>
        <v/>
      </c>
      <c r="BU19" s="118" t="str">
        <f>IF(BQ18="","",IFS(CB19="H","Carga Sugerida: "&amp;ROUNDUP(CE18/2,0)&amp;" kg de cada lado (Total: "&amp;ROUNDUP(CE18/2,0)*2&amp;" kg)",CB19="C","Este exercício usa o Peso Corporal como carga",CB19="E","Este exercício usa a resistência da banda elástica como carga",CB19="O","Carga Sugerida: "&amp;INT(CE18)&amp;" kg",TRUE,""))</f>
        <v/>
      </c>
      <c r="BZ19" s="66"/>
      <c r="CA19" s="126">
        <f>CA18</f>
        <v>1</v>
      </c>
      <c r="CB19" s="120" t="str">
        <f>LEFT(CE19)</f>
        <v/>
      </c>
      <c r="CC19" s="121" t="str">
        <f>MID(CE19,2,1)</f>
        <v/>
      </c>
      <c r="CD19" s="122" t="str">
        <f>RIGHT(CE19)</f>
        <v/>
      </c>
      <c r="CE19" s="123" t="str">
        <f>IF(CC18="","",OFFSET(Biblioteca!$I$2,MATCH(CC18,Biblioteca!$A$3:$A$200,0),0))</f>
        <v/>
      </c>
      <c r="CF19" s="124"/>
      <c r="CG19" s="125"/>
      <c r="CH19" s="117" t="str">
        <f>IF(CH18="","",IFS(CS19="A",Montagem!$H$230,CU19="T","Realizar a maior quantidade de repetições por "&amp;CM18&amp;" segundos | ",CU19="I",IF(CT19="U","Manter a posição por "&amp;CM18&amp;" segundos de um lado e trocar para o outro na sequência | ","Manter a posição por "&amp;CM18&amp;" segundos | "),CT19="A","Realizar alternadamente "&amp;CM18&amp;" repetições cada lado | ",CT19="U","Realizar "&amp;CM18&amp;" repetições de um lado e trocar para o outro na sequência | ",CS19="P",OFFSET(Biblioteca!$H$2,MATCH(CT18,Biblioteca!$A$3:$A$200,0),0),TRUE,""))</f>
        <v/>
      </c>
      <c r="CL19" s="118" t="str">
        <f>IF(CH18="","",IFS(CS19="H","Carga Sugerida: "&amp;ROUNDUP(CV18/2,0)&amp;" kg de cada lado (Total: "&amp;ROUNDUP(CV18/2,0)*2&amp;" kg)",CS19="C","Este exercício usa o Peso Corporal como carga",CS19="E","Este exercício usa a resistência da banda elástica como carga",CS19="O","Carga Sugerida: "&amp;INT(CV18)&amp;" kg",TRUE,""))</f>
        <v/>
      </c>
      <c r="CQ19" s="66"/>
      <c r="CR19" s="126">
        <f>CR18</f>
        <v>1</v>
      </c>
      <c r="CS19" s="120" t="str">
        <f>LEFT(CV19)</f>
        <v/>
      </c>
      <c r="CT19" s="121" t="str">
        <f>MID(CV19,2,1)</f>
        <v/>
      </c>
      <c r="CU19" s="122" t="str">
        <f>RIGHT(CV19)</f>
        <v/>
      </c>
      <c r="CV19" s="123" t="str">
        <f>IF(CT18="","",OFFSET(Biblioteca!$I$2,MATCH(CT18,Biblioteca!$A$3:$A$200,0),0))</f>
        <v/>
      </c>
      <c r="CW19" s="124"/>
      <c r="CX19" s="125"/>
      <c r="CY19" s="117" t="str">
        <f>IF(CY18="","",IFS(DJ19="A",Montagem!$I$230,DL19="T","Realizar a maior quantidade de repetições por "&amp;DD18&amp;" segundos | ",DL19="I",IF(DK19="U","Manter a posição por "&amp;DD18&amp;" segundos de um lado e trocar para o outro na sequência | ","Manter a posição por "&amp;DD18&amp;" segundos | "),DK19="A","Realizar alternadamente "&amp;DD18&amp;" repetições cada lado | ",DK19="U","Realizar "&amp;DD18&amp;" repetições de um lado e trocar para o outro na sequência | ",DJ19="P",OFFSET(Biblioteca!$H$2,MATCH(DK18,Biblioteca!$A$3:$A$200,0),0),TRUE,""))</f>
        <v/>
      </c>
      <c r="DC19" s="118" t="str">
        <f>IF(CY18="","",IFS(DJ19="H","Carga Sugerida: "&amp;ROUNDUP(DM18/2,0)&amp;" kg de cada lado (Total: "&amp;ROUNDUP(DM18/2,0)*2&amp;" kg)",DJ19="C","Este exercício usa o Peso Corporal como carga",DJ19="E","Este exercício usa a resistência da banda elástica como carga",DJ19="O","Carga Sugerida: "&amp;INT(DM18)&amp;" kg",TRUE,""))</f>
        <v/>
      </c>
      <c r="DH19" s="66"/>
      <c r="DI19" s="126">
        <f>DI18</f>
        <v>1</v>
      </c>
      <c r="DJ19" s="120" t="str">
        <f>LEFT(DM19)</f>
        <v/>
      </c>
      <c r="DK19" s="121" t="str">
        <f>MID(DM19,2,1)</f>
        <v/>
      </c>
      <c r="DL19" s="122" t="str">
        <f>RIGHT(DM19)</f>
        <v/>
      </c>
      <c r="DM19" s="123" t="str">
        <f>IF(DK18="","",OFFSET(Biblioteca!$I$2,MATCH(DK18,Biblioteca!$A$3:$A$200,0),0))</f>
        <v/>
      </c>
      <c r="DN19" s="124"/>
      <c r="DO19" s="125"/>
      <c r="DP19" s="73" t="s">
        <v>43</v>
      </c>
      <c r="DQ19" s="56">
        <f>IF(DQ17=0,0,DQ18/DQ17)</f>
        <v>0</v>
      </c>
      <c r="DR19" s="56"/>
      <c r="DS19" s="56"/>
      <c r="DT19" s="56"/>
      <c r="DU19" s="56"/>
      <c r="DV19" s="56"/>
      <c r="DW19" s="56"/>
      <c r="DX19" s="56"/>
      <c r="DY19" s="56"/>
    </row>
    <row r="20">
      <c r="A20" s="115" t="str">
        <f>IF(M20="","",HYPERLINK(OFFSET(Biblioteca!$B$2,MATCH(M20,Biblioteca!$A$3:$A$200,0),0),M20))</f>
        <v/>
      </c>
      <c r="D20" s="132" t="str">
        <f>Montagem!Q218</f>
        <v/>
      </c>
      <c r="E20" s="104" t="str">
        <f>Montagem!R218</f>
        <v/>
      </c>
      <c r="F20" s="104" t="str">
        <f>Montagem!S218</f>
        <v/>
      </c>
      <c r="G20" s="127" t="str">
        <f>Montagem!T218</f>
        <v/>
      </c>
      <c r="H20" s="127" t="str">
        <f>Montagem!U218</f>
        <v/>
      </c>
      <c r="I20" s="104" t="str">
        <f>Montagem!V218</f>
        <v/>
      </c>
      <c r="J20" s="105"/>
      <c r="K20" s="106">
        <f>Montagem!K218</f>
        <v>1</v>
      </c>
      <c r="L20" s="111" t="str">
        <f>Montagem!W218</f>
        <v/>
      </c>
      <c r="M20" s="111" t="str">
        <f>Montagem!L218</f>
        <v/>
      </c>
      <c r="N20" s="111" t="str">
        <f>Montagem!X218</f>
        <v/>
      </c>
      <c r="O20" s="106" t="str">
        <f>IF(N20="",L20,N20)</f>
        <v/>
      </c>
      <c r="P20" s="106" t="str">
        <f>IF(L21="C",'Dados de Base'!$D$5*0.1,IF(L21="E",5,IF(J20="",O20,J20)))</f>
        <v/>
      </c>
      <c r="Q20" s="108"/>
      <c r="R20" s="115" t="str">
        <f>IF(AD20="","",HYPERLINK(OFFSET(Biblioteca!$B$2,MATCH(AD20,Biblioteca!$A$3:$A$200,0),0),AD20))</f>
        <v/>
      </c>
      <c r="U20" s="109" t="str">
        <f>Montagem!AF218</f>
        <v/>
      </c>
      <c r="V20" s="110" t="str">
        <f>Montagem!AG218</f>
        <v/>
      </c>
      <c r="W20" s="110" t="str">
        <f>Montagem!AH218</f>
        <v/>
      </c>
      <c r="X20" s="110" t="str">
        <f>Montagem!AI218</f>
        <v/>
      </c>
      <c r="Y20" s="110" t="str">
        <f>Montagem!AJ218</f>
        <v/>
      </c>
      <c r="Z20" s="110" t="str">
        <f>Montagem!AK218</f>
        <v/>
      </c>
      <c r="AA20" s="105"/>
      <c r="AB20" s="111">
        <f>Montagem!Z218</f>
        <v>1</v>
      </c>
      <c r="AC20" s="111" t="str">
        <f>Montagem!AL218</f>
        <v/>
      </c>
      <c r="AD20" s="129" t="str">
        <f>Montagem!AA218</f>
        <v/>
      </c>
      <c r="AE20" s="111" t="str">
        <f>Montagem!AM218</f>
        <v/>
      </c>
      <c r="AF20" s="106" t="str">
        <f>IF(AE20="",AC20,AE20)</f>
        <v/>
      </c>
      <c r="AG20" s="106" t="str">
        <f>IF(AC21="C",'Dados de Base'!$D$5*0.1,IF(AC21="E",5,IF(AA20="",AF20,AA20)))</f>
        <v/>
      </c>
      <c r="AH20" s="108"/>
      <c r="AI20" s="115" t="str">
        <f>IF(AU20="","",HYPERLINK(OFFSET(Biblioteca!$B$2,MATCH(AU20,Biblioteca!$A$3:$A$200,0),0),AU20))</f>
        <v/>
      </c>
      <c r="AL20" s="109" t="str">
        <f>Montagem!AU218</f>
        <v/>
      </c>
      <c r="AM20" s="110" t="str">
        <f>Montagem!AV218</f>
        <v/>
      </c>
      <c r="AN20" s="110" t="str">
        <f>Montagem!AW218</f>
        <v/>
      </c>
      <c r="AO20" s="110" t="str">
        <f>Montagem!AX218</f>
        <v/>
      </c>
      <c r="AP20" s="110" t="str">
        <f>Montagem!AY218</f>
        <v/>
      </c>
      <c r="AQ20" s="110" t="str">
        <f>Montagem!AZ218</f>
        <v/>
      </c>
      <c r="AR20" s="105"/>
      <c r="AS20" s="111">
        <f>Montagem!AO218</f>
        <v>1</v>
      </c>
      <c r="AT20" s="111" t="str">
        <f>Montagem!BA218</f>
        <v/>
      </c>
      <c r="AU20" s="111" t="str">
        <f>Montagem!AP218</f>
        <v/>
      </c>
      <c r="AV20" s="111" t="str">
        <f>Montagem!BB218</f>
        <v/>
      </c>
      <c r="AW20" s="106" t="str">
        <f>IF(AV20="",AT20,AV20)</f>
        <v/>
      </c>
      <c r="AX20" s="106" t="str">
        <f>IF(AT21="C",'Dados de Base'!$D$5*0.1,IF(AT21="E",5,IF(AR20="",AW20,AR20)))</f>
        <v/>
      </c>
      <c r="AY20" s="108"/>
      <c r="AZ20" s="115" t="str">
        <f>IF(BL20="","",HYPERLINK(OFFSET(Biblioteca!$B$2,MATCH(BL20,Biblioteca!$A$3:$A$200,0),0),BL20))</f>
        <v/>
      </c>
      <c r="BC20" s="109" t="str">
        <f>Montagem!BJ218</f>
        <v/>
      </c>
      <c r="BD20" s="110" t="str">
        <f>Montagem!BK218</f>
        <v/>
      </c>
      <c r="BE20" s="110" t="str">
        <f>Montagem!BL218</f>
        <v/>
      </c>
      <c r="BF20" s="110" t="str">
        <f>Montagem!BM218</f>
        <v/>
      </c>
      <c r="BG20" s="110" t="str">
        <f>Montagem!BN218</f>
        <v/>
      </c>
      <c r="BH20" s="110" t="str">
        <f>Montagem!BO218</f>
        <v/>
      </c>
      <c r="BI20" s="112"/>
      <c r="BJ20" s="111">
        <f>Montagem!BD218</f>
        <v>1</v>
      </c>
      <c r="BK20" s="111" t="str">
        <f>Montagem!BP218</f>
        <v/>
      </c>
      <c r="BL20" s="111" t="str">
        <f>Montagem!BE218</f>
        <v/>
      </c>
      <c r="BM20" s="111" t="str">
        <f>Montagem!BQ218</f>
        <v/>
      </c>
      <c r="BN20" s="106" t="str">
        <f>IF(BM20="",BK20,BM20)</f>
        <v/>
      </c>
      <c r="BO20" s="106" t="str">
        <f>IF(BK21="C",'Dados de Base'!$D$5*0.1,IF(BK21="E",5,IF(BI20="",BN20,BI20)))</f>
        <v/>
      </c>
      <c r="BP20" s="108"/>
      <c r="BQ20" s="115" t="str">
        <f>IF(CC20="","",HYPERLINK(OFFSET(Biblioteca!$B$2,MATCH(CC20,Biblioteca!$A$3:$A$200,0),0),CC20))</f>
        <v/>
      </c>
      <c r="BT20" s="109" t="str">
        <f>Montagem!BY218</f>
        <v/>
      </c>
      <c r="BU20" s="110" t="str">
        <f>Montagem!BZ218</f>
        <v/>
      </c>
      <c r="BV20" s="110" t="str">
        <f>Montagem!CA218</f>
        <v/>
      </c>
      <c r="BW20" s="110" t="str">
        <f>Montagem!CB218</f>
        <v/>
      </c>
      <c r="BX20" s="110" t="str">
        <f>Montagem!CC218</f>
        <v/>
      </c>
      <c r="BY20" s="110" t="str">
        <f>Montagem!CD218</f>
        <v/>
      </c>
      <c r="BZ20" s="113"/>
      <c r="CA20" s="111">
        <f>Montagem!BS218</f>
        <v>1</v>
      </c>
      <c r="CB20" s="111" t="str">
        <f>Montagem!CE218</f>
        <v/>
      </c>
      <c r="CC20" s="111" t="str">
        <f>Montagem!BT218</f>
        <v/>
      </c>
      <c r="CD20" s="111" t="str">
        <f>Montagem!CF218</f>
        <v/>
      </c>
      <c r="CE20" s="106" t="str">
        <f>IF(CD20="",CB20,CD20)</f>
        <v/>
      </c>
      <c r="CF20" s="106" t="str">
        <f>IF(CB21="C",'Dados de Base'!$D$5*0.1,IF(CB21="E",5,IF(BZ20="",CE20,BZ20)))</f>
        <v/>
      </c>
      <c r="CG20" s="108"/>
      <c r="CH20" s="115" t="str">
        <f>IF(CT20="","",HYPERLINK(OFFSET(Biblioteca!$B$2,MATCH(CT20,Biblioteca!$A$3:$A$200,0),0),CT20))</f>
        <v/>
      </c>
      <c r="CK20" s="109" t="str">
        <f>Montagem!CN218</f>
        <v/>
      </c>
      <c r="CL20" s="110" t="str">
        <f>Montagem!CO218</f>
        <v/>
      </c>
      <c r="CM20" s="110" t="str">
        <f>Montagem!CP218</f>
        <v/>
      </c>
      <c r="CN20" s="110" t="str">
        <f>Montagem!CQ218</f>
        <v/>
      </c>
      <c r="CO20" s="110" t="str">
        <f>Montagem!CR218</f>
        <v/>
      </c>
      <c r="CP20" s="110" t="str">
        <f>Montagem!CS218</f>
        <v/>
      </c>
      <c r="CQ20" s="113"/>
      <c r="CR20" s="111">
        <f>Montagem!CH218</f>
        <v>1</v>
      </c>
      <c r="CS20" s="111" t="str">
        <f>Montagem!CT218</f>
        <v/>
      </c>
      <c r="CT20" s="111" t="str">
        <f>Montagem!CI218</f>
        <v/>
      </c>
      <c r="CU20" s="111" t="str">
        <f>Montagem!CU218</f>
        <v/>
      </c>
      <c r="CV20" s="106" t="str">
        <f>IF(CU20="",CS20,CU20)</f>
        <v/>
      </c>
      <c r="CW20" s="106" t="str">
        <f>IF(CS21="C",'Dados de Base'!$D$5*0.1,IF(CS21="E",5,IF(CQ20="",CV20,CQ20)))</f>
        <v/>
      </c>
      <c r="CX20" s="108"/>
      <c r="CY20" s="115" t="str">
        <f>IF(DK20="","",HYPERLINK(OFFSET(Biblioteca!$B$2,MATCH(DK20,Biblioteca!$A$3:$A$200,0),0),DK20))</f>
        <v/>
      </c>
      <c r="DB20" s="130" t="str">
        <f>Montagem!DC218</f>
        <v/>
      </c>
      <c r="DC20" s="131" t="str">
        <f>Montagem!DD218</f>
        <v/>
      </c>
      <c r="DD20" s="131" t="str">
        <f>Montagem!DE218</f>
        <v/>
      </c>
      <c r="DE20" s="131" t="str">
        <f>Montagem!DF218</f>
        <v/>
      </c>
      <c r="DF20" s="131" t="str">
        <f>Montagem!DG218</f>
        <v/>
      </c>
      <c r="DG20" s="131" t="str">
        <f>Montagem!DH218</f>
        <v/>
      </c>
      <c r="DH20" s="114"/>
      <c r="DI20" s="111">
        <f>Montagem!CW218</f>
        <v>1</v>
      </c>
      <c r="DJ20" s="111" t="str">
        <f>Montagem!DI218</f>
        <v/>
      </c>
      <c r="DK20" s="111" t="str">
        <f>Montagem!CX218</f>
        <v/>
      </c>
      <c r="DL20" s="111" t="str">
        <f>Montagem!DJ218</f>
        <v/>
      </c>
      <c r="DM20" s="106" t="str">
        <f>IF(DL20="",DJ20,DL20)</f>
        <v/>
      </c>
      <c r="DN20" s="106" t="str">
        <f>IF(DJ21="C",'Dados de Base'!$D$5*0.1,IF(DJ21="E",5,IF(DH20="",DM20,DH20)))</f>
        <v/>
      </c>
      <c r="DO20" s="108"/>
      <c r="DP20" s="116" t="s">
        <v>44</v>
      </c>
      <c r="DQ20" s="106">
        <f>IF(DQ14=0,0,DQ13/DQ14)</f>
        <v>0</v>
      </c>
      <c r="DR20" s="106"/>
      <c r="DS20" s="106"/>
      <c r="DT20" s="106"/>
      <c r="DU20" s="106"/>
      <c r="DV20" s="106"/>
      <c r="DW20" s="106"/>
      <c r="DX20" s="106"/>
      <c r="DY20" s="106"/>
    </row>
    <row r="21">
      <c r="A21" s="117" t="str">
        <f>IF(A20="","",IFS(L21="A",Montagem!$C$230,N21="T","Realizar a maior quantidade de repetições por "&amp;F20&amp;" segundos | ",N21="I",IF(M21="U","Manter a posição por "&amp;F20&amp;" segundos de um lado e trocar para o outro na sequência | ","Manter a posição por "&amp;F20&amp;" segundos | "),M21="A","Realizar alternadamente "&amp;F20&amp;" repetições cada lado | ",M21="U","Realizar "&amp;F20&amp;" repetições de um lado e trocar para o outro na sequência | ",L21="P",OFFSET(Biblioteca!$H$2,MATCH(M20,Biblioteca!$A$3:$A$200,0),0),TRUE,""))</f>
        <v/>
      </c>
      <c r="E21" s="118" t="str">
        <f>IF(A20="","",IFS(L21="H","Carga Sugerida: "&amp;ROUNDUP(O20/2,0)&amp;" kg de cada lado (Total: "&amp;ROUNDUP(O20/2,0)*2&amp;" kg)",L21="C","Este exercício usa o Peso Corporal como carga",L21="E","Este exercício usa a resistência da banda elástica como carga",L21="O","Carga Sugerida: "&amp;INT(O20)&amp;" kg",TRUE,""))</f>
        <v/>
      </c>
      <c r="J21" s="66"/>
      <c r="K21" s="126">
        <f>K20</f>
        <v>1</v>
      </c>
      <c r="L21" s="120" t="str">
        <f>LEFT(O21)</f>
        <v/>
      </c>
      <c r="M21" s="121" t="str">
        <f>MID(O21,2,1)</f>
        <v/>
      </c>
      <c r="N21" s="122" t="str">
        <f>RIGHT(O21)</f>
        <v/>
      </c>
      <c r="O21" s="123" t="str">
        <f>IF(M20="","",OFFSET(Biblioteca!$I$2,MATCH(M20,Biblioteca!$A$3:$A$200,0),0))</f>
        <v/>
      </c>
      <c r="P21" s="124"/>
      <c r="Q21" s="125"/>
      <c r="R21" s="117" t="str">
        <f>IF(R20="","",IFS(AC21="A",Montagem!$D$230,AE21="T","Realizar a maior quantidade de repetições por "&amp;W20&amp;" segundos | ",AE21="I",IF(AD21="U","Manter a posição por "&amp;W20&amp;" segundos de um lado e trocar para o outro na sequência | ","Manter a posição por "&amp;W20&amp;" segundos | "),AD21="A","Realizar alternadamente "&amp;W20&amp;" repetições cada lado | ",AD21="U","Realizar "&amp;W20&amp;" repetições de um lado e trocar para o outro na sequência | ",AC21="P",OFFSET(Biblioteca!$H$2,MATCH(AD20,Biblioteca!$A$3:$A$200,0),0),TRUE,""))</f>
        <v/>
      </c>
      <c r="V21" s="118" t="str">
        <f>IF(R20="","",IFS(AC21="H","Carga Sugerida: "&amp;ROUNDUP(AF20/2,0)&amp;" kg de cada lado (Total: "&amp;ROUNDUP(AF20/2,0)*2&amp;" kg)",AC21="C","Este exercício usa o Peso Corporal como carga",AC21="E","Este exercício usa a resistência da banda elástica como carga",AC21="O","Carga Sugerida: "&amp;INT(AF20)&amp;" kg",TRUE,""))</f>
        <v/>
      </c>
      <c r="AA21" s="66"/>
      <c r="AB21" s="126">
        <f>AB20</f>
        <v>1</v>
      </c>
      <c r="AC21" s="120" t="str">
        <f>LEFT(AF21)</f>
        <v/>
      </c>
      <c r="AD21" s="121" t="str">
        <f>MID(AF21,2,1)</f>
        <v/>
      </c>
      <c r="AE21" s="122" t="str">
        <f>RIGHT(AF21)</f>
        <v/>
      </c>
      <c r="AF21" s="123" t="str">
        <f>IF(AD20="","",OFFSET(Biblioteca!$I$2,MATCH(AD20,Biblioteca!$A$3:$A$200,0),0))</f>
        <v/>
      </c>
      <c r="AG21" s="124"/>
      <c r="AH21" s="125"/>
      <c r="AI21" s="117" t="str">
        <f>IF(AI20="","",IFS(AT21="A",Montagem!$E$230,AV21="T","Realizar a maior quantidade de repetições por "&amp;AN20&amp;" segundos | ",AV21="I",IF(AU21="U","Manter a posição por "&amp;AN20&amp;" segundos de um lado e trocar para o outro na sequência | ","Manter a posição por "&amp;AN20&amp;" segundos | "),AU21="A","Realizar alternadamente "&amp;AN20&amp;" repetições cada lado | ",AU21="U","Realizar "&amp;AN20&amp;" repetições de um lado e trocar para o outro na sequência | ",AT21="P",OFFSET(Biblioteca!$H$2,MATCH(AU20,Biblioteca!$A$3:$A$200,0),0),TRUE,""))</f>
        <v/>
      </c>
      <c r="AM21" s="118" t="str">
        <f>IF(AI20="","",IFS(AT21="H","Carga Sugerida: "&amp;ROUNDUP(AW20/2,0)&amp;" kg de cada lado (Total: "&amp;ROUNDUP(AW20/2,0)*2&amp;" kg)",AT21="C","Este exercício usa o Peso Corporal como carga",AT21="E","Este exercício usa a resistência da banda elástica como carga",AT21="O","Carga Sugerida: "&amp;INT(AW20)&amp;" kg",TRUE,""))</f>
        <v/>
      </c>
      <c r="AR21" s="66"/>
      <c r="AS21" s="126">
        <f>AS20</f>
        <v>1</v>
      </c>
      <c r="AT21" s="120" t="str">
        <f>LEFT(AW21)</f>
        <v/>
      </c>
      <c r="AU21" s="121" t="str">
        <f>MID(AW21,2,1)</f>
        <v/>
      </c>
      <c r="AV21" s="122" t="str">
        <f>RIGHT(AW21)</f>
        <v/>
      </c>
      <c r="AW21" s="123" t="str">
        <f>IF(AU20="","",OFFSET(Biblioteca!$I$2,MATCH(AU20,Biblioteca!$A$3:$A$200,0),0))</f>
        <v/>
      </c>
      <c r="AX21" s="124"/>
      <c r="AY21" s="125"/>
      <c r="AZ21" s="117" t="str">
        <f>IF(AZ20="","",IFS(BK21="A",Montagem!$F$230,BM21="T","Realizar a maior quantidade de repetições por "&amp;BE20&amp;" segundos | ",BM21="I",IF(BL21="U","Manter a posição por "&amp;BE20&amp;" segundos de um lado e trocar para o outro na sequência | ","Manter a posição por "&amp;BE20&amp;" segundos | "),BL21="A","Realizar alternadamente "&amp;BE20&amp;" repetições cada lado | ",BL21="U","Realizar "&amp;BE20&amp;" repetições de um lado e trocar para o outro na sequência | ",BK21="P",OFFSET(Biblioteca!$H$2,MATCH(BL20,Biblioteca!$A$3:$A$200,0),0),TRUE,""))</f>
        <v/>
      </c>
      <c r="BD21" s="118" t="str">
        <f>IF(AZ20="","",IFS(BK21="H","Carga Sugerida: "&amp;ROUNDUP(BN20/2,0)&amp;" kg de cada lado (Total: "&amp;ROUNDUP(BN20/2,0)*2&amp;" kg)",BK21="C","Este exercício usa o Peso Corporal como carga",BK21="E","Este exercício usa a resistência da banda elástica como carga",BK21="O","Carga Sugerida: "&amp;INT(BN20)&amp;" kg",TRUE,""))</f>
        <v/>
      </c>
      <c r="BI21" s="66"/>
      <c r="BJ21" s="126">
        <f>BJ20</f>
        <v>1</v>
      </c>
      <c r="BK21" s="120" t="str">
        <f>LEFT(BN21)</f>
        <v/>
      </c>
      <c r="BL21" s="121" t="str">
        <f>MID(BN21,2,1)</f>
        <v/>
      </c>
      <c r="BM21" s="122" t="str">
        <f>RIGHT(BN21)</f>
        <v/>
      </c>
      <c r="BN21" s="123" t="str">
        <f>IF(BL20="","",OFFSET(Biblioteca!$I$2,MATCH(BL20,Biblioteca!$A$3:$A$200,0),0))</f>
        <v/>
      </c>
      <c r="BO21" s="124"/>
      <c r="BP21" s="125"/>
      <c r="BQ21" s="117" t="str">
        <f>IF(BQ20="","",IFS(CB21="A",Montagem!$G$230,CD21="T","Realizar a maior quantidade de repetições por "&amp;BV20&amp;" segundos | ",CD21="I",IF(CC21="U","Manter a posição por "&amp;BV20&amp;" segundos de um lado e trocar para o outro na sequência | ","Manter a posição por "&amp;BV20&amp;" segundos | "),CC21="A","Realizar alternadamente "&amp;BV20&amp;" repetições cada lado | ",CC21="U","Realizar "&amp;BV20&amp;" repetições de um lado e trocar para o outro na sequência | ",CB21="P",OFFSET(Biblioteca!$H$2,MATCH(CC20,Biblioteca!$A$3:$A$200,0),0),TRUE,""))</f>
        <v/>
      </c>
      <c r="BU21" s="118" t="str">
        <f>IF(BQ20="","",IFS(CB21="H","Carga Sugerida: "&amp;ROUNDUP(CE20/2,0)&amp;" kg de cada lado (Total: "&amp;ROUNDUP(CE20/2,0)*2&amp;" kg)",CB21="C","Este exercício usa o Peso Corporal como carga",CB21="E","Este exercício usa a resistência da banda elástica como carga",CB21="O","Carga Sugerida: "&amp;INT(CE20)&amp;" kg",TRUE,""))</f>
        <v/>
      </c>
      <c r="BZ21" s="66"/>
      <c r="CA21" s="126">
        <f>CA20</f>
        <v>1</v>
      </c>
      <c r="CB21" s="120" t="str">
        <f>LEFT(CE21)</f>
        <v/>
      </c>
      <c r="CC21" s="121" t="str">
        <f>MID(CE21,2,1)</f>
        <v/>
      </c>
      <c r="CD21" s="122" t="str">
        <f>RIGHT(CE21)</f>
        <v/>
      </c>
      <c r="CE21" s="123" t="str">
        <f>IF(CC20="","",OFFSET(Biblioteca!$I$2,MATCH(CC20,Biblioteca!$A$3:$A$200,0),0))</f>
        <v/>
      </c>
      <c r="CF21" s="124"/>
      <c r="CG21" s="125"/>
      <c r="CH21" s="117" t="str">
        <f>IF(CH20="","",IFS(CS21="A",Montagem!$H$230,CU21="T","Realizar a maior quantidade de repetições por "&amp;CM20&amp;" segundos | ",CU21="I",IF(CT21="U","Manter a posição por "&amp;CM20&amp;" segundos de um lado e trocar para o outro na sequência | ","Manter a posição por "&amp;CM20&amp;" segundos | "),CT21="A","Realizar alternadamente "&amp;CM20&amp;" repetições cada lado | ",CT21="U","Realizar "&amp;CM20&amp;" repetições de um lado e trocar para o outro na sequência | ",CS21="P",OFFSET(Biblioteca!$H$2,MATCH(CT20,Biblioteca!$A$3:$A$200,0),0),TRUE,""))</f>
        <v/>
      </c>
      <c r="CL21" s="118" t="str">
        <f>IF(CH20="","",IFS(CS21="H","Carga Sugerida: "&amp;ROUNDUP(CV20/2,0)&amp;" kg de cada lado (Total: "&amp;ROUNDUP(CV20/2,0)*2&amp;" kg)",CS21="C","Este exercício usa o Peso Corporal como carga",CS21="E","Este exercício usa a resistência da banda elástica como carga",CS21="O","Carga Sugerida: "&amp;INT(CV20)&amp;" kg",TRUE,""))</f>
        <v/>
      </c>
      <c r="CQ21" s="66"/>
      <c r="CR21" s="126">
        <f>CR20</f>
        <v>1</v>
      </c>
      <c r="CS21" s="120" t="str">
        <f>LEFT(CV21)</f>
        <v/>
      </c>
      <c r="CT21" s="121" t="str">
        <f>MID(CV21,2,1)</f>
        <v/>
      </c>
      <c r="CU21" s="122" t="str">
        <f>RIGHT(CV21)</f>
        <v/>
      </c>
      <c r="CV21" s="123" t="str">
        <f>IF(CT20="","",OFFSET(Biblioteca!$I$2,MATCH(CT20,Biblioteca!$A$3:$A$200,0),0))</f>
        <v/>
      </c>
      <c r="CW21" s="124"/>
      <c r="CX21" s="125"/>
      <c r="CY21" s="117" t="str">
        <f>IF(CY20="","",IFS(DJ21="A",Montagem!$I$230,DL21="T","Realizar a maior quantidade de repetições por "&amp;DD20&amp;" segundos | ",DL21="I",IF(DK21="U","Manter a posição por "&amp;DD20&amp;" segundos de um lado e trocar para o outro na sequência | ","Manter a posição por "&amp;DD20&amp;" segundos | "),DK21="A","Realizar alternadamente "&amp;DD20&amp;" repetições cada lado | ",DK21="U","Realizar "&amp;DD20&amp;" repetições de um lado e trocar para o outro na sequência | ",DJ21="P",OFFSET(Biblioteca!$H$2,MATCH(DK20,Biblioteca!$A$3:$A$200,0),0),TRUE,""))</f>
        <v/>
      </c>
      <c r="DC21" s="118" t="str">
        <f>IF(CY20="","",IFS(DJ21="H","Carga Sugerida: "&amp;ROUNDUP(DM20/2,0)&amp;" kg de cada lado (Total: "&amp;ROUNDUP(DM20/2,0)*2&amp;" kg)",DJ21="C","Este exercício usa o Peso Corporal como carga",DJ21="E","Este exercício usa a resistência da banda elástica como carga",DJ21="O","Carga Sugerida: "&amp;INT(DM20)&amp;" kg",TRUE,""))</f>
        <v/>
      </c>
      <c r="DH21" s="66"/>
      <c r="DI21" s="126">
        <f>DI20</f>
        <v>1</v>
      </c>
      <c r="DJ21" s="120" t="str">
        <f>LEFT(DM21)</f>
        <v/>
      </c>
      <c r="DK21" s="121" t="str">
        <f>MID(DM21,2,1)</f>
        <v/>
      </c>
      <c r="DL21" s="122" t="str">
        <f>RIGHT(DM21)</f>
        <v/>
      </c>
      <c r="DM21" s="123" t="str">
        <f>IF(DK20="","",OFFSET(Biblioteca!$I$2,MATCH(DK20,Biblioteca!$A$3:$A$200,0),0))</f>
        <v/>
      </c>
      <c r="DN21" s="124"/>
      <c r="DO21" s="125"/>
      <c r="DP21" s="133" t="s">
        <v>45</v>
      </c>
      <c r="DQ21" s="56">
        <f>DQ20*DQ11</f>
        <v>0</v>
      </c>
      <c r="DR21" s="56"/>
      <c r="DS21" s="56"/>
      <c r="DT21" s="56"/>
      <c r="DU21" s="56"/>
      <c r="DV21" s="56"/>
      <c r="DW21" s="56"/>
      <c r="DX21" s="56"/>
      <c r="DY21" s="56"/>
    </row>
    <row r="22">
      <c r="A22" s="115" t="str">
        <f>IF(M22="","",HYPERLINK(OFFSET(Biblioteca!$B$2,MATCH(M22,Biblioteca!$A$3:$A$200,0),0),M22))</f>
        <v/>
      </c>
      <c r="D22" s="109" t="str">
        <f>Montagem!Q219</f>
        <v/>
      </c>
      <c r="E22" s="104" t="str">
        <f>Montagem!R219</f>
        <v/>
      </c>
      <c r="F22" s="110" t="str">
        <f>Montagem!S219</f>
        <v/>
      </c>
      <c r="G22" s="110" t="str">
        <f>Montagem!T219</f>
        <v/>
      </c>
      <c r="H22" s="110" t="str">
        <f>Montagem!U219</f>
        <v/>
      </c>
      <c r="I22" s="134" t="str">
        <f>Montagem!V219</f>
        <v/>
      </c>
      <c r="J22" s="105"/>
      <c r="K22" s="106">
        <f>Montagem!K219</f>
        <v>1</v>
      </c>
      <c r="L22" s="111" t="str">
        <f>Montagem!W219</f>
        <v/>
      </c>
      <c r="M22" s="111" t="str">
        <f>Montagem!L219</f>
        <v/>
      </c>
      <c r="N22" s="111" t="str">
        <f>Montagem!X219</f>
        <v/>
      </c>
      <c r="O22" s="106" t="str">
        <f>IF(N22="",L22,N22)</f>
        <v/>
      </c>
      <c r="P22" s="106" t="str">
        <f>IF(L23="C",'Dados de Base'!$D$5*0.1,IF(L23="E",5,IF(J22="",O22,J22)))</f>
        <v/>
      </c>
      <c r="Q22" s="108"/>
      <c r="R22" s="115" t="str">
        <f>IF(AD22="","",HYPERLINK(OFFSET(Biblioteca!$B$2,MATCH(AD22,Biblioteca!$A$3:$A$200,0),0),AD22))</f>
        <v/>
      </c>
      <c r="U22" s="109" t="str">
        <f>Montagem!AF219</f>
        <v/>
      </c>
      <c r="V22" s="110" t="str">
        <f>Montagem!AG219</f>
        <v/>
      </c>
      <c r="W22" s="110" t="str">
        <f>Montagem!AH219</f>
        <v/>
      </c>
      <c r="X22" s="110" t="str">
        <f>Montagem!AI219</f>
        <v/>
      </c>
      <c r="Y22" s="135" t="str">
        <f>Montagem!AJ219</f>
        <v/>
      </c>
      <c r="Z22" s="109" t="str">
        <f>Montagem!AK219</f>
        <v/>
      </c>
      <c r="AA22" s="105"/>
      <c r="AB22" s="111">
        <f>Montagem!Z219</f>
        <v>1</v>
      </c>
      <c r="AC22" s="111" t="str">
        <f>Montagem!AL219</f>
        <v/>
      </c>
      <c r="AD22" s="129" t="str">
        <f>Montagem!AA219</f>
        <v/>
      </c>
      <c r="AE22" s="111" t="str">
        <f>Montagem!AM219</f>
        <v/>
      </c>
      <c r="AF22" s="106" t="str">
        <f>IF(AE22="",AC22,AE22)</f>
        <v/>
      </c>
      <c r="AG22" s="106" t="str">
        <f>IF(AC23="C",'Dados de Base'!$D$5*0.1,IF(AC23="E",5,IF(AA22="",AF22,AA22)))</f>
        <v/>
      </c>
      <c r="AH22" s="108"/>
      <c r="AI22" s="115" t="str">
        <f>IF(AU22="","",HYPERLINK(OFFSET(Biblioteca!$B$2,MATCH(AU22,Biblioteca!$A$3:$A$200,0),0),AU22))</f>
        <v/>
      </c>
      <c r="AL22" s="109" t="str">
        <f>Montagem!AU219</f>
        <v/>
      </c>
      <c r="AM22" s="110" t="str">
        <f>Montagem!AV219</f>
        <v/>
      </c>
      <c r="AN22" s="110" t="str">
        <f>Montagem!AW219</f>
        <v/>
      </c>
      <c r="AO22" s="110" t="str">
        <f>Montagem!AX219</f>
        <v/>
      </c>
      <c r="AP22" s="135" t="str">
        <f>Montagem!AY219</f>
        <v/>
      </c>
      <c r="AQ22" s="109" t="str">
        <f>Montagem!AZ219</f>
        <v/>
      </c>
      <c r="AR22" s="105"/>
      <c r="AS22" s="111">
        <f>Montagem!AO219</f>
        <v>1</v>
      </c>
      <c r="AT22" s="111" t="str">
        <f>Montagem!BA219</f>
        <v/>
      </c>
      <c r="AU22" s="111" t="str">
        <f>Montagem!AP219</f>
        <v/>
      </c>
      <c r="AV22" s="111" t="str">
        <f>Montagem!BB219</f>
        <v/>
      </c>
      <c r="AW22" s="106" t="str">
        <f>IF(AV22="",AT22,AV22)</f>
        <v/>
      </c>
      <c r="AX22" s="106" t="str">
        <f>IF(AT23="C",'Dados de Base'!$D$5*0.1,IF(AT23="E",5,IF(AR22="",AW22,AR22)))</f>
        <v/>
      </c>
      <c r="AY22" s="108"/>
      <c r="AZ22" s="115" t="str">
        <f>IF(BL22="","",HYPERLINK(OFFSET(Biblioteca!$B$2,MATCH(BL22,Biblioteca!$A$3:$A$200,0),0),BL22))</f>
        <v/>
      </c>
      <c r="BC22" s="109" t="str">
        <f>Montagem!BJ219</f>
        <v/>
      </c>
      <c r="BD22" s="110" t="str">
        <f>Montagem!BK219</f>
        <v/>
      </c>
      <c r="BE22" s="110" t="str">
        <f>Montagem!BL219</f>
        <v/>
      </c>
      <c r="BF22" s="110" t="str">
        <f>Montagem!BM219</f>
        <v/>
      </c>
      <c r="BG22" s="110" t="str">
        <f>Montagem!BN219</f>
        <v/>
      </c>
      <c r="BH22" s="110" t="str">
        <f>Montagem!BO219</f>
        <v/>
      </c>
      <c r="BI22" s="112"/>
      <c r="BJ22" s="111">
        <f>Montagem!BD219</f>
        <v>1</v>
      </c>
      <c r="BK22" s="111" t="str">
        <f>Montagem!BP219</f>
        <v/>
      </c>
      <c r="BL22" s="111" t="str">
        <f>Montagem!BE219</f>
        <v/>
      </c>
      <c r="BM22" s="111" t="str">
        <f>Montagem!BQ219</f>
        <v/>
      </c>
      <c r="BN22" s="106" t="str">
        <f>IF(BM22="",BK22,BM22)</f>
        <v/>
      </c>
      <c r="BO22" s="106" t="str">
        <f>IF(BK23="C",'Dados de Base'!$D$5*0.1,IF(BK23="E",5,IF(BI22="",BN22,BI22)))</f>
        <v/>
      </c>
      <c r="BP22" s="108"/>
      <c r="BQ22" s="115" t="str">
        <f>IF(CC22="","",HYPERLINK(OFFSET(Biblioteca!$B$2,MATCH(CC22,Biblioteca!$A$3:$A$200,0),0),CC22))</f>
        <v/>
      </c>
      <c r="BT22" s="109" t="str">
        <f>Montagem!BY219</f>
        <v/>
      </c>
      <c r="BU22" s="110" t="str">
        <f>Montagem!BZ219</f>
        <v/>
      </c>
      <c r="BV22" s="110" t="str">
        <f>Montagem!CA219</f>
        <v/>
      </c>
      <c r="BW22" s="110" t="str">
        <f>Montagem!CB219</f>
        <v/>
      </c>
      <c r="BX22" s="135" t="str">
        <f>Montagem!CC219</f>
        <v/>
      </c>
      <c r="BY22" s="109" t="str">
        <f>Montagem!CD219</f>
        <v/>
      </c>
      <c r="BZ22" s="113"/>
      <c r="CA22" s="111">
        <f>Montagem!BS219</f>
        <v>1</v>
      </c>
      <c r="CB22" s="111" t="str">
        <f>Montagem!CE219</f>
        <v/>
      </c>
      <c r="CC22" s="111" t="str">
        <f>Montagem!BT219</f>
        <v/>
      </c>
      <c r="CD22" s="111" t="str">
        <f>Montagem!CF219</f>
        <v/>
      </c>
      <c r="CE22" s="106" t="str">
        <f>IF(CD22="",CB22,CD22)</f>
        <v/>
      </c>
      <c r="CF22" s="106" t="str">
        <f>IF(CB23="C",'Dados de Base'!$D$5*0.1,IF(CB23="E",5,IF(BZ22="",CE22,BZ22)))</f>
        <v/>
      </c>
      <c r="CG22" s="108"/>
      <c r="CH22" s="115" t="str">
        <f>IF(CT22="","",HYPERLINK(OFFSET(Biblioteca!$B$2,MATCH(CT22,Biblioteca!$A$3:$A$200,0),0),CT22))</f>
        <v/>
      </c>
      <c r="CK22" s="109" t="str">
        <f>Montagem!CN219</f>
        <v/>
      </c>
      <c r="CL22" s="110" t="str">
        <f>Montagem!CO219</f>
        <v/>
      </c>
      <c r="CM22" s="110" t="str">
        <f>Montagem!CP219</f>
        <v/>
      </c>
      <c r="CN22" s="110" t="str">
        <f>Montagem!CQ219</f>
        <v/>
      </c>
      <c r="CO22" s="135" t="str">
        <f>Montagem!CR219</f>
        <v/>
      </c>
      <c r="CP22" s="109" t="str">
        <f>Montagem!CS219</f>
        <v/>
      </c>
      <c r="CQ22" s="114"/>
      <c r="CR22" s="111">
        <f>Montagem!CH219</f>
        <v>1</v>
      </c>
      <c r="CS22" s="111" t="str">
        <f>Montagem!CT219</f>
        <v/>
      </c>
      <c r="CT22" s="111" t="str">
        <f>Montagem!CI219</f>
        <v/>
      </c>
      <c r="CU22" s="111" t="str">
        <f>Montagem!CU219</f>
        <v/>
      </c>
      <c r="CV22" s="106" t="str">
        <f>IF(CU22="",CS22,CU22)</f>
        <v/>
      </c>
      <c r="CW22" s="106" t="str">
        <f>IF(CS23="C",'Dados de Base'!$D$5*0.1,IF(CS23="E",5,IF(CQ22="",CV22,CQ22)))</f>
        <v/>
      </c>
      <c r="CX22" s="108"/>
      <c r="CY22" s="115" t="str">
        <f>IF(DK22="","",HYPERLINK(OFFSET(Biblioteca!$B$2,MATCH(DK22,Biblioteca!$A$3:$A$200,0),0),DK22))</f>
        <v/>
      </c>
      <c r="DB22" s="130" t="str">
        <f>Montagem!DC219</f>
        <v/>
      </c>
      <c r="DC22" s="131" t="str">
        <f>Montagem!DD219</f>
        <v/>
      </c>
      <c r="DD22" s="131" t="str">
        <f>Montagem!DE219</f>
        <v/>
      </c>
      <c r="DE22" s="131" t="str">
        <f>Montagem!DF219</f>
        <v/>
      </c>
      <c r="DF22" s="136" t="str">
        <f>Montagem!DG219</f>
        <v/>
      </c>
      <c r="DG22" s="130" t="str">
        <f>Montagem!DH219</f>
        <v/>
      </c>
      <c r="DH22" s="114"/>
      <c r="DI22" s="111">
        <f>Montagem!CW219</f>
        <v>1</v>
      </c>
      <c r="DJ22" s="111" t="str">
        <f>Montagem!DI219</f>
        <v/>
      </c>
      <c r="DK22" s="111" t="str">
        <f>Montagem!CX219</f>
        <v/>
      </c>
      <c r="DL22" s="111" t="str">
        <f>Montagem!DJ219</f>
        <v/>
      </c>
      <c r="DM22" s="106" t="str">
        <f>IF(DL22="",DJ22,DL22)</f>
        <v/>
      </c>
      <c r="DN22" s="106" t="str">
        <f>IF(DJ23="C",'Dados de Base'!$D$5*0.1,IF(DJ23="E",5,IF(DH22="",DM22,DH22)))</f>
        <v/>
      </c>
      <c r="DO22" s="108"/>
      <c r="DP22" s="116" t="s">
        <v>46</v>
      </c>
      <c r="DQ22" s="106">
        <f>COUNTA(A75,R75,AI75,AZ75,BQ75,CH75,CY75)</f>
        <v>0</v>
      </c>
      <c r="DR22" s="106"/>
      <c r="DS22" s="106"/>
      <c r="DT22" s="106"/>
      <c r="DU22" s="106"/>
      <c r="DV22" s="106"/>
      <c r="DW22" s="106"/>
      <c r="DX22" s="106"/>
      <c r="DY22" s="106"/>
    </row>
    <row r="23">
      <c r="A23" s="117" t="str">
        <f>IF(A22="","",IFS(L23="A",Montagem!$C$230,N23="T","Realizar a maior quantidade de repetições por "&amp;F22&amp;" segundos | ",N23="I",IF(M23="U","Manter a posição por "&amp;F22&amp;" segundos de um lado e trocar para o outro na sequência | ","Manter a posição por "&amp;F22&amp;" segundos | "),M23="A","Realizar alternadamente "&amp;F22&amp;" repetições cada lado | ",M23="U","Realizar "&amp;F22&amp;" repetições de um lado e trocar para o outro na sequência | ",L23="P",OFFSET(Biblioteca!$H$2,MATCH(M22,Biblioteca!$A$3:$A$200,0),0),TRUE,""))</f>
        <v/>
      </c>
      <c r="E23" s="118" t="str">
        <f>IF(A22="","",IFS(L23="H","Carga Sugerida: "&amp;ROUNDUP(O22/2,0)&amp;" kg de cada lado (Total: "&amp;ROUNDUP(O22/2,0)*2&amp;" kg)",L23="C","Este exercício usa o Peso Corporal como carga",L23="E","Este exercício usa a resistência da banda elástica como carga",L23="O","Carga Sugerida: "&amp;INT(O22)&amp;" kg",TRUE,""))</f>
        <v/>
      </c>
      <c r="J23" s="66"/>
      <c r="K23" s="126">
        <f>K22</f>
        <v>1</v>
      </c>
      <c r="L23" s="120" t="str">
        <f>LEFT(O23)</f>
        <v/>
      </c>
      <c r="M23" s="121" t="str">
        <f>MID(O23,2,1)</f>
        <v/>
      </c>
      <c r="N23" s="122" t="str">
        <f>RIGHT(O23)</f>
        <v/>
      </c>
      <c r="O23" s="123" t="str">
        <f>IF(M22="","",OFFSET(Biblioteca!$I$2,MATCH(M22,Biblioteca!$A$3:$A$200,0),0))</f>
        <v/>
      </c>
      <c r="P23" s="124"/>
      <c r="Q23" s="125"/>
      <c r="R23" s="117" t="str">
        <f>IF(R22="","",IFS(AC23="A",Montagem!$D$230,AE23="T","Realizar a maior quantidade de repetições por "&amp;W22&amp;" segundos | ",AE23="I",IF(AD23="U","Manter a posição por "&amp;W22&amp;" segundos de um lado e trocar para o outro na sequência | ","Manter a posição por "&amp;W22&amp;" segundos | "),AD23="A","Realizar alternadamente "&amp;W22&amp;" repetições cada lado | ",AD23="U","Realizar "&amp;W22&amp;" repetições de um lado e trocar para o outro na sequência | ",AC23="P",OFFSET(Biblioteca!$H$2,MATCH(AD22,Biblioteca!$A$3:$A$200,0),0),TRUE,""))</f>
        <v/>
      </c>
      <c r="V23" s="118" t="str">
        <f>IF(R22="","",IFS(AC23="H","Carga Sugerida: "&amp;ROUNDUP(AF22/2,0)&amp;" kg de cada lado (Total: "&amp;ROUNDUP(AF22/2,0)*2&amp;" kg)",AC23="C","Este exercício usa o Peso Corporal como carga",AC23="E","Este exercício usa a resistência da banda elástica como carga",AC23="O","Carga Sugerida: "&amp;INT(AF22)&amp;" kg",TRUE,""))</f>
        <v/>
      </c>
      <c r="AA23" s="66"/>
      <c r="AB23" s="126">
        <f>AB22</f>
        <v>1</v>
      </c>
      <c r="AC23" s="120" t="str">
        <f>LEFT(AF23)</f>
        <v/>
      </c>
      <c r="AD23" s="121" t="str">
        <f>MID(AF23,2,1)</f>
        <v/>
      </c>
      <c r="AE23" s="122" t="str">
        <f>RIGHT(AF23)</f>
        <v/>
      </c>
      <c r="AF23" s="123" t="str">
        <f>IF(AD22="","",OFFSET(Biblioteca!$I$2,MATCH(AD22,Biblioteca!$A$3:$A$200,0),0))</f>
        <v/>
      </c>
      <c r="AG23" s="124"/>
      <c r="AH23" s="125"/>
      <c r="AI23" s="117" t="str">
        <f>IF(AI22="","",IFS(AT23="A",Montagem!$E$230,AV23="T","Realizar a maior quantidade de repetições por "&amp;AN22&amp;" segundos | ",AV23="I",IF(AU23="U","Manter a posição por "&amp;AN22&amp;" segundos de um lado e trocar para o outro na sequência | ","Manter a posição por "&amp;AN22&amp;" segundos | "),AU23="A","Realizar alternadamente "&amp;AN22&amp;" repetições cada lado | ",AU23="U","Realizar "&amp;AN22&amp;" repetições de um lado e trocar para o outro na sequência | ",AT23="P",OFFSET(Biblioteca!$H$2,MATCH(AU22,Biblioteca!$A$3:$A$200,0),0),TRUE,""))</f>
        <v/>
      </c>
      <c r="AM23" s="118" t="str">
        <f>IF(AI22="","",IFS(AT23="H","Carga Sugerida: "&amp;ROUNDUP(AW22/2,0)&amp;" kg de cada lado (Total: "&amp;ROUNDUP(AW22/2,0)*2&amp;" kg)",AT23="C","Este exercício usa o Peso Corporal como carga",AT23="E","Este exercício usa a resistência da banda elástica como carga",AT23="O","Carga Sugerida: "&amp;INT(AW22)&amp;" kg",TRUE,""))</f>
        <v/>
      </c>
      <c r="AR23" s="66"/>
      <c r="AS23" s="126">
        <f>AS22</f>
        <v>1</v>
      </c>
      <c r="AT23" s="120" t="str">
        <f>LEFT(AW23)</f>
        <v/>
      </c>
      <c r="AU23" s="121" t="str">
        <f>MID(AW23,2,1)</f>
        <v/>
      </c>
      <c r="AV23" s="122" t="str">
        <f>RIGHT(AW23)</f>
        <v/>
      </c>
      <c r="AW23" s="123" t="str">
        <f>IF(AU22="","",OFFSET(Biblioteca!$I$2,MATCH(AU22,Biblioteca!$A$3:$A$200,0),0))</f>
        <v/>
      </c>
      <c r="AX23" s="124"/>
      <c r="AY23" s="125"/>
      <c r="AZ23" s="117" t="str">
        <f>IF(AZ22="","",IFS(BK23="A",Montagem!$F$230,BM23="T","Realizar a maior quantidade de repetições por "&amp;BE22&amp;" segundos | ",BM23="I",IF(BL23="U","Manter a posição por "&amp;BE22&amp;" segundos de um lado e trocar para o outro na sequência | ","Manter a posição por "&amp;BE22&amp;" segundos | "),BL23="A","Realizar alternadamente "&amp;BE22&amp;" repetições cada lado | ",BL23="U","Realizar "&amp;BE22&amp;" repetições de um lado e trocar para o outro na sequência | ",BK23="P",OFFSET(Biblioteca!$H$2,MATCH(BL22,Biblioteca!$A$3:$A$200,0),0),TRUE,""))</f>
        <v/>
      </c>
      <c r="BD23" s="118" t="str">
        <f>IF(AZ22="","",IFS(BK23="H","Carga Sugerida: "&amp;ROUNDUP(BN22/2,0)&amp;" kg de cada lado (Total: "&amp;ROUNDUP(BN22/2,0)*2&amp;" kg)",BK23="C","Este exercício usa o Peso Corporal como carga",BK23="E","Este exercício usa a resistência da banda elástica como carga",BK23="O","Carga Sugerida: "&amp;INT(BN22)&amp;" kg",TRUE,""))</f>
        <v/>
      </c>
      <c r="BI23" s="66"/>
      <c r="BJ23" s="126">
        <f>BJ22</f>
        <v>1</v>
      </c>
      <c r="BK23" s="120" t="str">
        <f>LEFT(BN23)</f>
        <v/>
      </c>
      <c r="BL23" s="121" t="str">
        <f>MID(BN23,2,1)</f>
        <v/>
      </c>
      <c r="BM23" s="122" t="str">
        <f>RIGHT(BN23)</f>
        <v/>
      </c>
      <c r="BN23" s="123" t="str">
        <f>IF(BL22="","",OFFSET(Biblioteca!$I$2,MATCH(BL22,Biblioteca!$A$3:$A$200,0),0))</f>
        <v/>
      </c>
      <c r="BO23" s="124"/>
      <c r="BP23" s="125"/>
      <c r="BQ23" s="117" t="str">
        <f>IF(BQ22="","",IFS(CB23="A",Montagem!$G$230,CD23="T","Realizar a maior quantidade de repetições por "&amp;BV22&amp;" segundos | ",CD23="I",IF(CC23="U","Manter a posição por "&amp;BV22&amp;" segundos de um lado e trocar para o outro na sequência | ","Manter a posição por "&amp;BV22&amp;" segundos | "),CC23="A","Realizar alternadamente "&amp;BV22&amp;" repetições cada lado | ",CC23="U","Realizar "&amp;BV22&amp;" repetições de um lado e trocar para o outro na sequência | ",CB23="P",OFFSET(Biblioteca!$H$2,MATCH(CC22,Biblioteca!$A$3:$A$200,0),0),TRUE,""))</f>
        <v/>
      </c>
      <c r="BU23" s="118" t="str">
        <f>IF(BQ22="","",IFS(CB23="H","Carga Sugerida: "&amp;ROUNDUP(CE22/2,0)&amp;" kg de cada lado (Total: "&amp;ROUNDUP(CE22/2,0)*2&amp;" kg)",CB23="C","Este exercício usa o Peso Corporal como carga",CB23="E","Este exercício usa a resistência da banda elástica como carga",CB23="O","Carga Sugerida: "&amp;INT(CE22)&amp;" kg",TRUE,""))</f>
        <v/>
      </c>
      <c r="BZ23" s="66"/>
      <c r="CA23" s="126">
        <f>CA22</f>
        <v>1</v>
      </c>
      <c r="CB23" s="120" t="str">
        <f>LEFT(CE23)</f>
        <v/>
      </c>
      <c r="CC23" s="121" t="str">
        <f>MID(CE23,2,1)</f>
        <v/>
      </c>
      <c r="CD23" s="122" t="str">
        <f>RIGHT(CE23)</f>
        <v/>
      </c>
      <c r="CE23" s="123" t="str">
        <f>IF(CC22="","",OFFSET(Biblioteca!$I$2,MATCH(CC22,Biblioteca!$A$3:$A$200,0),0))</f>
        <v/>
      </c>
      <c r="CF23" s="124"/>
      <c r="CG23" s="125"/>
      <c r="CH23" s="117" t="str">
        <f>IF(CH22="","",IFS(CS23="A",Montagem!$H$230,CU23="T","Realizar a maior quantidade de repetições por "&amp;CM22&amp;" segundos | ",CU23="I",IF(CT23="U","Manter a posição por "&amp;CM22&amp;" segundos de um lado e trocar para o outro na sequência | ","Manter a posição por "&amp;CM22&amp;" segundos | "),CT23="A","Realizar alternadamente "&amp;CM22&amp;" repetições cada lado | ",CT23="U","Realizar "&amp;CM22&amp;" repetições de um lado e trocar para o outro na sequência | ",CS23="P",OFFSET(Biblioteca!$H$2,MATCH(CT22,Biblioteca!$A$3:$A$200,0),0),TRUE,""))</f>
        <v/>
      </c>
      <c r="CL23" s="118" t="str">
        <f>IF(CH22="","",IFS(CS23="H","Carga Sugerida: "&amp;ROUNDUP(CV22/2,0)&amp;" kg de cada lado (Total: "&amp;ROUNDUP(CV22/2,0)*2&amp;" kg)",CS23="C","Este exercício usa o Peso Corporal como carga",CS23="E","Este exercício usa a resistência da banda elástica como carga",CS23="O","Carga Sugerida: "&amp;INT(CV22)&amp;" kg",TRUE,""))</f>
        <v/>
      </c>
      <c r="CQ23" s="66"/>
      <c r="CR23" s="126">
        <f>CR22</f>
        <v>1</v>
      </c>
      <c r="CS23" s="120" t="str">
        <f>LEFT(CV23)</f>
        <v/>
      </c>
      <c r="CT23" s="121" t="str">
        <f>MID(CV23,2,1)</f>
        <v/>
      </c>
      <c r="CU23" s="122" t="str">
        <f>RIGHT(CV23)</f>
        <v/>
      </c>
      <c r="CV23" s="123" t="str">
        <f>IF(CT22="","",OFFSET(Biblioteca!$I$2,MATCH(CT22,Biblioteca!$A$3:$A$200,0),0))</f>
        <v/>
      </c>
      <c r="CW23" s="124"/>
      <c r="CX23" s="125"/>
      <c r="CY23" s="117" t="str">
        <f>IF(CY22="","",IFS(DJ23="A",Montagem!$I$230,DL23="T","Realizar a maior quantidade de repetições por "&amp;DD22&amp;" segundos | ",DL23="I",IF(DK23="U","Manter a posição por "&amp;DD22&amp;" segundos de um lado e trocar para o outro na sequência | ","Manter a posição por "&amp;DD22&amp;" segundos | "),DK23="A","Realizar alternadamente "&amp;DD22&amp;" repetições cada lado | ",DK23="U","Realizar "&amp;DD22&amp;" repetições de um lado e trocar para o outro na sequência | ",DJ23="P",OFFSET(Biblioteca!$H$2,MATCH(DK22,Biblioteca!$A$3:$A$200,0),0),TRUE,""))</f>
        <v/>
      </c>
      <c r="DC23" s="118" t="str">
        <f>IF(CY22="","",IFS(DJ23="H","Carga Sugerida: "&amp;ROUNDUP(DM22/2,0)&amp;" kg de cada lado (Total: "&amp;ROUNDUP(DM22/2,0)*2&amp;" kg)",DJ23="C","Este exercício usa o Peso Corporal como carga",DJ23="E","Este exercício usa a resistência da banda elástica como carga",DJ23="O","Carga Sugerida: "&amp;INT(DM22)&amp;" kg",TRUE,""))</f>
        <v/>
      </c>
      <c r="DH23" s="66"/>
      <c r="DI23" s="126">
        <f>DI22</f>
        <v>1</v>
      </c>
      <c r="DJ23" s="120" t="str">
        <f>LEFT(DM23)</f>
        <v/>
      </c>
      <c r="DK23" s="121" t="str">
        <f>MID(DM23,2,1)</f>
        <v/>
      </c>
      <c r="DL23" s="122" t="str">
        <f>RIGHT(DM23)</f>
        <v/>
      </c>
      <c r="DM23" s="123" t="str">
        <f>IF(DK22="","",OFFSET(Biblioteca!$I$2,MATCH(DK22,Biblioteca!$A$3:$A$200,0),0))</f>
        <v/>
      </c>
      <c r="DN23" s="124"/>
      <c r="DO23" s="125"/>
      <c r="DP23" s="57"/>
      <c r="DQ23" s="56"/>
      <c r="DR23" s="56"/>
      <c r="DS23" s="56"/>
      <c r="DT23" s="56"/>
      <c r="DU23" s="56"/>
      <c r="DV23" s="56"/>
      <c r="DW23" s="56"/>
      <c r="DX23" s="56"/>
      <c r="DY23" s="56"/>
    </row>
    <row r="24">
      <c r="A24" s="90" t="s">
        <v>47</v>
      </c>
      <c r="J24" s="66"/>
      <c r="K24" s="57"/>
      <c r="L24" s="57"/>
      <c r="M24" s="57"/>
      <c r="N24" s="57"/>
      <c r="O24" s="57"/>
      <c r="P24" s="57"/>
      <c r="Q24" s="58"/>
      <c r="R24" s="90" t="s">
        <v>47</v>
      </c>
      <c r="AA24" s="66"/>
      <c r="AB24" s="138"/>
      <c r="AC24" s="57"/>
      <c r="AD24" s="138"/>
      <c r="AE24" s="138"/>
      <c r="AF24" s="57"/>
      <c r="AG24" s="57"/>
      <c r="AH24" s="58"/>
      <c r="AI24" s="90" t="s">
        <v>47</v>
      </c>
      <c r="AR24" s="66"/>
      <c r="AS24" s="138"/>
      <c r="AT24" s="57"/>
      <c r="AU24" s="138"/>
      <c r="AV24" s="138"/>
      <c r="AW24" s="57"/>
      <c r="AX24" s="57"/>
      <c r="AY24" s="58"/>
      <c r="AZ24" s="90" t="s">
        <v>47</v>
      </c>
      <c r="BI24" s="66"/>
      <c r="BJ24" s="138"/>
      <c r="BK24" s="57"/>
      <c r="BL24" s="138"/>
      <c r="BM24" s="138"/>
      <c r="BN24" s="57"/>
      <c r="BO24" s="57"/>
      <c r="BP24" s="58"/>
      <c r="BQ24" s="90" t="s">
        <v>47</v>
      </c>
      <c r="BZ24" s="66"/>
      <c r="CA24" s="138"/>
      <c r="CB24" s="57"/>
      <c r="CC24" s="138"/>
      <c r="CD24" s="138"/>
      <c r="CE24" s="57"/>
      <c r="CF24" s="57"/>
      <c r="CG24" s="58"/>
      <c r="CH24" s="90" t="s">
        <v>47</v>
      </c>
      <c r="CQ24" s="66"/>
      <c r="CR24" s="138"/>
      <c r="CS24" s="57"/>
      <c r="CT24" s="138"/>
      <c r="CU24" s="138"/>
      <c r="CV24" s="57"/>
      <c r="CW24" s="57"/>
      <c r="CX24" s="58"/>
      <c r="CY24" s="90" t="s">
        <v>47</v>
      </c>
      <c r="DH24" s="66"/>
      <c r="DI24" s="138"/>
      <c r="DJ24" s="57"/>
      <c r="DK24" s="138"/>
      <c r="DL24" s="138"/>
      <c r="DM24" s="57"/>
      <c r="DN24" s="57"/>
      <c r="DO24" s="58"/>
      <c r="DP24" s="57"/>
      <c r="DQ24" s="56"/>
      <c r="DR24" s="56"/>
      <c r="DS24" s="56"/>
      <c r="DT24" s="56"/>
      <c r="DU24" s="56"/>
      <c r="DV24" s="56"/>
      <c r="DW24" s="56"/>
      <c r="DX24" s="56"/>
      <c r="DY24" s="56"/>
    </row>
    <row r="25">
      <c r="A25" s="96" t="s">
        <v>31</v>
      </c>
      <c r="D25" s="97" t="s">
        <v>32</v>
      </c>
      <c r="E25" s="98" t="s">
        <v>33</v>
      </c>
      <c r="F25" s="98" t="s">
        <v>34</v>
      </c>
      <c r="G25" s="98" t="s">
        <v>35</v>
      </c>
      <c r="H25" s="98" t="s">
        <v>36</v>
      </c>
      <c r="I25" s="98" t="s">
        <v>37</v>
      </c>
      <c r="J25" s="99" t="s">
        <v>38</v>
      </c>
      <c r="K25" s="57"/>
      <c r="L25" s="57"/>
      <c r="M25" s="57"/>
      <c r="N25" s="57"/>
      <c r="O25" s="57"/>
      <c r="P25" s="57"/>
      <c r="Q25" s="58"/>
      <c r="R25" s="96" t="s">
        <v>31</v>
      </c>
      <c r="U25" s="139" t="s">
        <v>32</v>
      </c>
      <c r="V25" s="140" t="s">
        <v>33</v>
      </c>
      <c r="W25" s="140" t="s">
        <v>34</v>
      </c>
      <c r="X25" s="140" t="s">
        <v>35</v>
      </c>
      <c r="Y25" s="140" t="s">
        <v>36</v>
      </c>
      <c r="Z25" s="140" t="s">
        <v>37</v>
      </c>
      <c r="AA25" s="141" t="s">
        <v>38</v>
      </c>
      <c r="AB25" s="138"/>
      <c r="AC25" s="57"/>
      <c r="AD25" s="138"/>
      <c r="AE25" s="138"/>
      <c r="AF25" s="57"/>
      <c r="AG25" s="57"/>
      <c r="AH25" s="58"/>
      <c r="AI25" s="96" t="s">
        <v>31</v>
      </c>
      <c r="AL25" s="139" t="s">
        <v>32</v>
      </c>
      <c r="AM25" s="140" t="s">
        <v>33</v>
      </c>
      <c r="AN25" s="140" t="s">
        <v>34</v>
      </c>
      <c r="AO25" s="140" t="s">
        <v>35</v>
      </c>
      <c r="AP25" s="140" t="s">
        <v>36</v>
      </c>
      <c r="AQ25" s="140" t="s">
        <v>37</v>
      </c>
      <c r="AR25" s="141" t="s">
        <v>38</v>
      </c>
      <c r="AS25" s="138"/>
      <c r="AT25" s="57"/>
      <c r="AU25" s="138"/>
      <c r="AV25" s="138"/>
      <c r="AW25" s="57"/>
      <c r="AX25" s="57"/>
      <c r="AY25" s="58"/>
      <c r="AZ25" s="96" t="s">
        <v>31</v>
      </c>
      <c r="BC25" s="139" t="s">
        <v>32</v>
      </c>
      <c r="BD25" s="140" t="s">
        <v>33</v>
      </c>
      <c r="BE25" s="140" t="s">
        <v>34</v>
      </c>
      <c r="BF25" s="140" t="s">
        <v>35</v>
      </c>
      <c r="BG25" s="140" t="s">
        <v>36</v>
      </c>
      <c r="BH25" s="140" t="s">
        <v>37</v>
      </c>
      <c r="BI25" s="141" t="s">
        <v>38</v>
      </c>
      <c r="BJ25" s="138"/>
      <c r="BK25" s="57"/>
      <c r="BL25" s="138"/>
      <c r="BM25" s="138"/>
      <c r="BN25" s="57"/>
      <c r="BO25" s="57"/>
      <c r="BP25" s="58"/>
      <c r="BQ25" s="96" t="s">
        <v>31</v>
      </c>
      <c r="BT25" s="139" t="s">
        <v>32</v>
      </c>
      <c r="BU25" s="140" t="s">
        <v>33</v>
      </c>
      <c r="BV25" s="140" t="s">
        <v>34</v>
      </c>
      <c r="BW25" s="140" t="s">
        <v>35</v>
      </c>
      <c r="BX25" s="140" t="s">
        <v>36</v>
      </c>
      <c r="BY25" s="140" t="s">
        <v>37</v>
      </c>
      <c r="BZ25" s="141" t="s">
        <v>38</v>
      </c>
      <c r="CA25" s="138"/>
      <c r="CB25" s="57"/>
      <c r="CC25" s="138"/>
      <c r="CD25" s="138"/>
      <c r="CE25" s="57"/>
      <c r="CF25" s="57"/>
      <c r="CG25" s="58"/>
      <c r="CH25" s="96" t="s">
        <v>31</v>
      </c>
      <c r="CK25" s="139" t="s">
        <v>32</v>
      </c>
      <c r="CL25" s="140" t="s">
        <v>33</v>
      </c>
      <c r="CM25" s="140" t="s">
        <v>34</v>
      </c>
      <c r="CN25" s="140" t="s">
        <v>35</v>
      </c>
      <c r="CO25" s="140" t="s">
        <v>36</v>
      </c>
      <c r="CP25" s="140" t="s">
        <v>37</v>
      </c>
      <c r="CQ25" s="141" t="s">
        <v>38</v>
      </c>
      <c r="CR25" s="138"/>
      <c r="CS25" s="57"/>
      <c r="CT25" s="138"/>
      <c r="CU25" s="138"/>
      <c r="CV25" s="57"/>
      <c r="CW25" s="57"/>
      <c r="CX25" s="58"/>
      <c r="CY25" s="96" t="s">
        <v>31</v>
      </c>
      <c r="DB25" s="139" t="s">
        <v>32</v>
      </c>
      <c r="DC25" s="140" t="s">
        <v>33</v>
      </c>
      <c r="DD25" s="140" t="s">
        <v>34</v>
      </c>
      <c r="DE25" s="140" t="s">
        <v>35</v>
      </c>
      <c r="DF25" s="140" t="s">
        <v>36</v>
      </c>
      <c r="DG25" s="140" t="s">
        <v>37</v>
      </c>
      <c r="DH25" s="141" t="s">
        <v>38</v>
      </c>
      <c r="DI25" s="138"/>
      <c r="DJ25" s="57"/>
      <c r="DK25" s="138"/>
      <c r="DL25" s="138"/>
      <c r="DM25" s="57"/>
      <c r="DN25" s="57"/>
      <c r="DO25" s="58"/>
      <c r="DP25" s="142"/>
      <c r="DQ25" s="56"/>
      <c r="DR25" s="56"/>
      <c r="DS25" s="56"/>
      <c r="DT25" s="56"/>
      <c r="DU25" s="56"/>
      <c r="DV25" s="56"/>
      <c r="DW25" s="56"/>
      <c r="DX25" s="56"/>
      <c r="DY25" s="56"/>
    </row>
    <row r="26">
      <c r="A26" s="213" t="str">
        <f>IF(M26="","",HYPERLINK(OFFSET(Biblioteca!$B$2,MATCH(M26,Biblioteca!$A$3:$A$200,0),0),M26))</f>
        <v/>
      </c>
      <c r="D26" s="103" t="str">
        <f>Montagem!Q221</f>
        <v/>
      </c>
      <c r="E26" s="104" t="str">
        <f>Montagem!R221</f>
        <v/>
      </c>
      <c r="F26" s="104" t="str">
        <f>Montagem!S221</f>
        <v/>
      </c>
      <c r="G26" s="104" t="str">
        <f>Montagem!T221</f>
        <v/>
      </c>
      <c r="H26" s="104" t="str">
        <f>Montagem!U221</f>
        <v/>
      </c>
      <c r="I26" s="132" t="str">
        <f>Montagem!V221</f>
        <v/>
      </c>
      <c r="J26" s="105"/>
      <c r="K26" s="106">
        <f>Montagem!K221</f>
        <v>1</v>
      </c>
      <c r="L26" s="111" t="str">
        <f>Montagem!W221</f>
        <v/>
      </c>
      <c r="M26" s="111" t="str">
        <f>Montagem!L221</f>
        <v/>
      </c>
      <c r="N26" s="111" t="str">
        <f>Montagem!X221</f>
        <v/>
      </c>
      <c r="O26" s="106" t="str">
        <f>IF(N26="",L26,N26)</f>
        <v/>
      </c>
      <c r="P26" s="106" t="str">
        <f>IF(L27="C",'Dados de Base'!$D$5*0.1,IF(L27="E",5,IF(J26="",O26,J26)))</f>
        <v/>
      </c>
      <c r="Q26" s="108"/>
      <c r="R26" s="115" t="str">
        <f>IF(AD26="","",HYPERLINK(OFFSET(Biblioteca!$B$2,MATCH(AD26,Biblioteca!$A$3:$A$200,0),0),AD26))</f>
        <v/>
      </c>
      <c r="U26" s="109" t="str">
        <f>Montagem!AF221</f>
        <v/>
      </c>
      <c r="V26" s="110" t="str">
        <f>Montagem!AG221</f>
        <v/>
      </c>
      <c r="W26" s="110" t="str">
        <f>Montagem!AH221</f>
        <v/>
      </c>
      <c r="X26" s="110" t="str">
        <f>Montagem!AI221</f>
        <v/>
      </c>
      <c r="Y26" s="135" t="str">
        <f>Montagem!AJ221</f>
        <v/>
      </c>
      <c r="Z26" s="109" t="str">
        <f>Montagem!AK221</f>
        <v/>
      </c>
      <c r="AA26" s="113"/>
      <c r="AB26" s="111">
        <f>Montagem!Z221</f>
        <v>1</v>
      </c>
      <c r="AC26" s="111" t="str">
        <f>Montagem!AL221</f>
        <v/>
      </c>
      <c r="AD26" s="129" t="str">
        <f>Montagem!AA221</f>
        <v/>
      </c>
      <c r="AE26" s="111" t="str">
        <f>Montagem!AM221</f>
        <v/>
      </c>
      <c r="AF26" s="106" t="str">
        <f>IF(AE26="",AC26,AE26)</f>
        <v/>
      </c>
      <c r="AG26" s="106" t="str">
        <f>IF(AC27="C",'Dados de Base'!$D$5*0.1,IF(AC27="E",5,IF(AA26="",AF26,AA26)))</f>
        <v/>
      </c>
      <c r="AH26" s="108"/>
      <c r="AI26" s="115" t="str">
        <f>IF(AU26="","",HYPERLINK(OFFSET(Biblioteca!$B$2,MATCH(AU26,Biblioteca!$A$3:$A$200,0),0),AU26))</f>
        <v/>
      </c>
      <c r="AL26" s="109" t="str">
        <f>Montagem!AU221</f>
        <v/>
      </c>
      <c r="AM26" s="110" t="str">
        <f>Montagem!AV221</f>
        <v/>
      </c>
      <c r="AN26" s="110" t="str">
        <f>Montagem!AW221</f>
        <v/>
      </c>
      <c r="AO26" s="110" t="str">
        <f>Montagem!AX221</f>
        <v/>
      </c>
      <c r="AP26" s="135" t="str">
        <f>Montagem!AY221</f>
        <v/>
      </c>
      <c r="AQ26" s="109" t="str">
        <f>Montagem!AZ221</f>
        <v/>
      </c>
      <c r="AR26" s="114"/>
      <c r="AS26" s="111">
        <f>Montagem!AO221</f>
        <v>1</v>
      </c>
      <c r="AT26" s="111" t="str">
        <f>Montagem!BA221</f>
        <v/>
      </c>
      <c r="AU26" s="111" t="str">
        <f>Montagem!AP221</f>
        <v/>
      </c>
      <c r="AV26" s="111" t="str">
        <f>Montagem!BB221</f>
        <v/>
      </c>
      <c r="AW26" s="106" t="str">
        <f>IF(AV26="",AT26,AV26)</f>
        <v/>
      </c>
      <c r="AX26" s="106" t="str">
        <f>IF(AT27="C",'Dados de Base'!$D$5*0.1,IF(AT27="E",5,IF(AR26="",AW26,AR26)))</f>
        <v/>
      </c>
      <c r="AY26" s="108"/>
      <c r="AZ26" s="115" t="str">
        <f>IF(BL26="","",HYPERLINK(OFFSET(Biblioteca!$B$2,MATCH(BL26,Biblioteca!$A$3:$A$200,0),0),BL26))</f>
        <v/>
      </c>
      <c r="BC26" s="109" t="str">
        <f>Montagem!BJ221</f>
        <v/>
      </c>
      <c r="BD26" s="110" t="str">
        <f>Montagem!BK221</f>
        <v/>
      </c>
      <c r="BE26" s="110" t="str">
        <f>Montagem!BL221</f>
        <v/>
      </c>
      <c r="BF26" s="110" t="str">
        <f>Montagem!BM221</f>
        <v/>
      </c>
      <c r="BG26" s="110" t="str">
        <f>Montagem!BN221</f>
        <v/>
      </c>
      <c r="BH26" s="110" t="str">
        <f>Montagem!BO221</f>
        <v/>
      </c>
      <c r="BI26" s="113"/>
      <c r="BJ26" s="111">
        <f>Montagem!BD221</f>
        <v>1</v>
      </c>
      <c r="BK26" s="111" t="str">
        <f>Montagem!BP221</f>
        <v/>
      </c>
      <c r="BL26" s="111" t="str">
        <f>Montagem!BE221</f>
        <v/>
      </c>
      <c r="BM26" s="111" t="str">
        <f>Montagem!BQ221</f>
        <v/>
      </c>
      <c r="BN26" s="106" t="str">
        <f>IF(BM26="",BK26,BM26)</f>
        <v/>
      </c>
      <c r="BO26" s="106" t="str">
        <f>IF(BK27="C",'Dados de Base'!$D$5*0.1,IF(BK27="E",5,IF(BI26="",BN26,BI26)))</f>
        <v/>
      </c>
      <c r="BP26" s="108"/>
      <c r="BQ26" s="115" t="str">
        <f>IF(CC26="","",HYPERLINK(OFFSET(Biblioteca!$B$2,MATCH(CC26,Biblioteca!$A$3:$A$200,0),0),CC26))</f>
        <v/>
      </c>
      <c r="BT26" s="109" t="str">
        <f>Montagem!BY221</f>
        <v/>
      </c>
      <c r="BU26" s="110" t="str">
        <f>Montagem!BZ221</f>
        <v/>
      </c>
      <c r="BV26" s="110" t="str">
        <f>Montagem!CA221</f>
        <v/>
      </c>
      <c r="BW26" s="110" t="str">
        <f>Montagem!CB221</f>
        <v/>
      </c>
      <c r="BX26" s="135" t="str">
        <f>Montagem!CC221</f>
        <v/>
      </c>
      <c r="BY26" s="109" t="str">
        <f>Montagem!CD221</f>
        <v/>
      </c>
      <c r="BZ26" s="113"/>
      <c r="CA26" s="111">
        <f>Montagem!BS221</f>
        <v>1</v>
      </c>
      <c r="CB26" s="111" t="str">
        <f>Montagem!CE221</f>
        <v/>
      </c>
      <c r="CC26" s="111" t="str">
        <f>Montagem!BT221</f>
        <v/>
      </c>
      <c r="CD26" s="111" t="str">
        <f>Montagem!CF221</f>
        <v/>
      </c>
      <c r="CE26" s="106" t="str">
        <f>IF(CD26="",CB26,CD26)</f>
        <v/>
      </c>
      <c r="CF26" s="106" t="str">
        <f>IF(CB27="C",'Dados de Base'!$D$5*0.1,IF(CB27="E",5,IF(BZ26="",CE26,BZ26)))</f>
        <v/>
      </c>
      <c r="CG26" s="108"/>
      <c r="CH26" s="115" t="str">
        <f>IF(CT26="","",HYPERLINK(OFFSET(Biblioteca!$B$2,MATCH(CT26,Biblioteca!$A$3:$A$200,0),0),CT26))</f>
        <v/>
      </c>
      <c r="CK26" s="109" t="str">
        <f>Montagem!CN221</f>
        <v/>
      </c>
      <c r="CL26" s="110" t="str">
        <f>Montagem!CO221</f>
        <v/>
      </c>
      <c r="CM26" s="110" t="str">
        <f>Montagem!CP221</f>
        <v/>
      </c>
      <c r="CN26" s="110" t="str">
        <f>Montagem!CQ221</f>
        <v/>
      </c>
      <c r="CO26" s="135" t="str">
        <f>Montagem!CR221</f>
        <v/>
      </c>
      <c r="CP26" s="109" t="str">
        <f>Montagem!CS221</f>
        <v/>
      </c>
      <c r="CQ26" s="114"/>
      <c r="CR26" s="111">
        <f>Montagem!CH221</f>
        <v>1</v>
      </c>
      <c r="CS26" s="111" t="str">
        <f>Montagem!CT221</f>
        <v/>
      </c>
      <c r="CT26" s="111" t="str">
        <f>Montagem!CI221</f>
        <v/>
      </c>
      <c r="CU26" s="111" t="str">
        <f>Montagem!CU221</f>
        <v/>
      </c>
      <c r="CV26" s="106" t="str">
        <f>IF(CU26="",CS26,CU26)</f>
        <v/>
      </c>
      <c r="CW26" s="106" t="str">
        <f>IF(CS27="C",'Dados de Base'!$D$5*0.1,IF(CS27="E",5,IF(CQ26="",CV26,CQ26)))</f>
        <v/>
      </c>
      <c r="CX26" s="108"/>
      <c r="CY26" s="115" t="str">
        <f>IF(DK26="","",HYPERLINK(OFFSET(Biblioteca!$B$2,MATCH(DK26,Biblioteca!$A$3:$A$200,0),0),DK26))</f>
        <v/>
      </c>
      <c r="DB26" s="130" t="str">
        <f>Montagem!DC221</f>
        <v/>
      </c>
      <c r="DC26" s="131" t="str">
        <f>Montagem!DD221</f>
        <v/>
      </c>
      <c r="DD26" s="131" t="str">
        <f>Montagem!DE221</f>
        <v/>
      </c>
      <c r="DE26" s="131" t="str">
        <f>Montagem!DF221</f>
        <v/>
      </c>
      <c r="DF26" s="136" t="str">
        <f>Montagem!DG221</f>
        <v/>
      </c>
      <c r="DG26" s="130" t="str">
        <f>Montagem!DH221</f>
        <v/>
      </c>
      <c r="DH26" s="113"/>
      <c r="DI26" s="111">
        <f>Montagem!CW221</f>
        <v>1</v>
      </c>
      <c r="DJ26" s="111" t="str">
        <f>Montagem!DI221</f>
        <v/>
      </c>
      <c r="DK26" s="111" t="str">
        <f>Montagem!CX221</f>
        <v/>
      </c>
      <c r="DL26" s="111" t="str">
        <f>Montagem!DJ221</f>
        <v/>
      </c>
      <c r="DM26" s="106" t="str">
        <f>IF(DL26="",DJ26,DL26)</f>
        <v/>
      </c>
      <c r="DN26" s="106" t="str">
        <f>IF(DJ27="C",'Dados de Base'!$D$5*0.1,IF(DJ27="E",5,IF(DH26="",DM26,DH26)))</f>
        <v/>
      </c>
      <c r="DO26" s="108"/>
      <c r="DP26" s="106"/>
      <c r="DQ26" s="106"/>
      <c r="DR26" s="106"/>
      <c r="DS26" s="106"/>
      <c r="DT26" s="106"/>
      <c r="DU26" s="106"/>
      <c r="DV26" s="106"/>
      <c r="DW26" s="106"/>
      <c r="DX26" s="106"/>
      <c r="DY26" s="106"/>
    </row>
    <row r="27">
      <c r="A27" s="117" t="str">
        <f>IF(A26="","",IFS(L27="A",Montagem!$C$230,N27="T","Realizar a maior quantidade de repetições por "&amp;F26&amp;" segundos | ",N27="I",IF(M27="U","Manter a posição por "&amp;F26&amp;" segundos de um lado e trocar para o outro na sequência | ","Manter a posição por "&amp;F26&amp;" segundos | "),M27="A","Realizar alternadamente "&amp;F26&amp;" repetições cada lado | ",M27="U","Realizar "&amp;F26&amp;" repetições de um lado e trocar para o outro na sequência | ",L27="P",OFFSET(Biblioteca!$H$2,MATCH(M26,Biblioteca!$A$3:$A$200,0),0),TRUE,"")&amp;IF(N27="R","Ajuste a carga para que tenha "&amp;$K$2&amp;" repetições de reserva",""))</f>
        <v/>
      </c>
      <c r="E27" s="118" t="str">
        <f>IF(A26="","",IFS(L27="H","Carga Sugerida: "&amp;ROUNDUP(O26/2,0)&amp;" kg de cada lado (Total: "&amp;ROUNDUP(O26/2,0)*2&amp;" kg)",L27="C","Este exercício usa o Peso Corporal como carga",L27="E","Este exercício usa a resistência da banda elástica como carga",L27="O","Carga Sugerida: "&amp;INT(O26)&amp;" kg",TRUE,""))</f>
        <v/>
      </c>
      <c r="J27" s="66"/>
      <c r="K27" s="126">
        <f>K26</f>
        <v>1</v>
      </c>
      <c r="L27" s="120" t="str">
        <f>LEFT(O27)</f>
        <v/>
      </c>
      <c r="M27" s="121" t="str">
        <f>MID(O27,2,1)</f>
        <v/>
      </c>
      <c r="N27" s="122" t="str">
        <f>RIGHT(O27)</f>
        <v/>
      </c>
      <c r="O27" s="123" t="str">
        <f>IF(M26="","",OFFSET(Biblioteca!$I$2,MATCH(M26,Biblioteca!$A$3:$A$200,0),0))</f>
        <v/>
      </c>
      <c r="P27" s="124"/>
      <c r="Q27" s="125"/>
      <c r="R27" s="117" t="str">
        <f>IF(R26="","",IFS(AC27="A",Montagem!$D$230,AE27="T","Realizar a maior quantidade de repetições por "&amp;W26&amp;" segundos | ",AE27="I",IF(AD27="U","Manter a posição por "&amp;W26&amp;" segundos de um lado e trocar para o outro na sequência | ","Manter a posição por "&amp;W26&amp;" segundos | "),AD27="A","Realizar alternadamente "&amp;W26&amp;" repetições cada lado | ",AD27="U","Realizar "&amp;W26&amp;" repetições de um lado e trocar para o outro na sequência | ",AC27="P",OFFSET(Biblioteca!$H$2,MATCH(AD26,Biblioteca!$A$3:$A$200,0),0),TRUE,"")&amp;IF(AE27="R","Ajuste a carga para que tenha "&amp;$K$2&amp;" repetições de reserva",""))</f>
        <v/>
      </c>
      <c r="V27" s="118" t="str">
        <f>IF(R26="","",IFS(AC27="H","Carga Sugerida: "&amp;ROUNDUP(AF26/2,0)&amp;" kg de cada lado (Total: "&amp;ROUNDUP(AF26/2,0)*2&amp;" kg)",AC27="C","Este exercício usa o Peso Corporal como carga",AC27="E","Este exercício usa a resistência da banda elástica como carga",AC27="O","Carga Sugerida: "&amp;INT(AF26)&amp;" kg",TRUE,""))</f>
        <v/>
      </c>
      <c r="AA27" s="66"/>
      <c r="AB27" s="126">
        <f>AB26</f>
        <v>1</v>
      </c>
      <c r="AC27" s="120" t="str">
        <f>LEFT(AF27)</f>
        <v/>
      </c>
      <c r="AD27" s="121" t="str">
        <f>MID(AF27,2,1)</f>
        <v/>
      </c>
      <c r="AE27" s="122" t="str">
        <f>RIGHT(AF27)</f>
        <v/>
      </c>
      <c r="AF27" s="123" t="str">
        <f>IF(AD26="","",OFFSET(Biblioteca!$I$2,MATCH(AD26,Biblioteca!$A$3:$A$200,0),0))</f>
        <v/>
      </c>
      <c r="AG27" s="124"/>
      <c r="AH27" s="125"/>
      <c r="AI27" s="117" t="str">
        <f>IF(AI26="","",IFS(AT27="A",Montagem!$E$230,AV27="T","Realizar a maior quantidade de repetições por "&amp;AN26&amp;" segundos | ",AV27="I",IF(AU27="U","Manter a posição por "&amp;AN26&amp;" segundos de um lado e trocar para o outro na sequência | ","Manter a posição por "&amp;AN26&amp;" segundos | "),AU27="A","Realizar alternadamente "&amp;AN26&amp;" repetições cada lado | ",AU27="U","Realizar "&amp;AN26&amp;" repetições de um lado e trocar para o outro na sequência | ",AT27="P",OFFSET(Biblioteca!$H$2,MATCH(AU26,Biblioteca!$A$3:$A$200,0),0),TRUE,"")&amp;IF(AV27="R","Ajuste a carga para que tenha "&amp;$K$2&amp;" repetições de reserva",""))</f>
        <v/>
      </c>
      <c r="AM27" s="118" t="str">
        <f>IF(AI26="","",IFS(AT27="H","Carga Sugerida: "&amp;ROUNDUP(AW26/2,0)&amp;" kg de cada lado (Total: "&amp;ROUNDUP(AW26/2,0)*2&amp;" kg)",AT27="C","Este exercício usa o Peso Corporal como carga",AT27="E","Este exercício usa a resistência da banda elástica como carga",AT27="O","Carga Sugerida: "&amp;INT(AW26)&amp;" kg",TRUE,""))</f>
        <v/>
      </c>
      <c r="AR27" s="66"/>
      <c r="AS27" s="126">
        <f>AS26</f>
        <v>1</v>
      </c>
      <c r="AT27" s="120" t="str">
        <f>LEFT(AW27)</f>
        <v/>
      </c>
      <c r="AU27" s="121" t="str">
        <f>MID(AW27,2,1)</f>
        <v/>
      </c>
      <c r="AV27" s="122" t="str">
        <f>RIGHT(AW27)</f>
        <v/>
      </c>
      <c r="AW27" s="123" t="str">
        <f>IF(AU26="","",OFFSET(Biblioteca!$I$2,MATCH(AU26,Biblioteca!$A$3:$A$200,0),0))</f>
        <v/>
      </c>
      <c r="AX27" s="124"/>
      <c r="AY27" s="125"/>
      <c r="AZ27" s="117" t="str">
        <f>IF(AZ26="","",IFS(BK27="A",Montagem!$F$230,BM27="T","Realizar a maior quantidade de repetições por "&amp;BE26&amp;" segundos | ",BM27="I",IF(BL27="U","Manter a posição por "&amp;BE26&amp;" segundos de um lado e trocar para o outro na sequência | ","Manter a posição por "&amp;BE26&amp;" segundos | "),BL27="A","Realizar alternadamente "&amp;BE26&amp;" repetições cada lado | ",BL27="U","Realizar "&amp;BE26&amp;" repetições de um lado e trocar para o outro na sequência | ",BK27="P",OFFSET(Biblioteca!$H$2,MATCH(BL26,Biblioteca!$A$3:$A$200,0),0),TRUE,"")&amp;IF(BM27="R","Ajuste a carga para que tenha "&amp;$K$2&amp;" repetições de reserva",""))</f>
        <v/>
      </c>
      <c r="BD27" s="118" t="str">
        <f>IF(AZ26="","",IFS(BK27="H","Carga Sugerida: "&amp;ROUNDUP(BN26/2,0)&amp;" kg de cada lado (Total: "&amp;ROUNDUP(BN26/2,0)*2&amp;" kg)",BK27="C","Este exercício usa o Peso Corporal como carga",BK27="E","Este exercício usa a resistência da banda elástica como carga",BK27="O","Carga Sugerida: "&amp;INT(BN26)&amp;" kg",TRUE,""))</f>
        <v/>
      </c>
      <c r="BI27" s="66"/>
      <c r="BJ27" s="126">
        <f>BJ26</f>
        <v>1</v>
      </c>
      <c r="BK27" s="120" t="str">
        <f>LEFT(BN27)</f>
        <v/>
      </c>
      <c r="BL27" s="121" t="str">
        <f>MID(BN27,2,1)</f>
        <v/>
      </c>
      <c r="BM27" s="122" t="str">
        <f>RIGHT(BN27)</f>
        <v/>
      </c>
      <c r="BN27" s="123" t="str">
        <f>IF(BL26="","",OFFSET(Biblioteca!$I$2,MATCH(BL26,Biblioteca!$A$3:$A$200,0),0))</f>
        <v/>
      </c>
      <c r="BO27" s="124"/>
      <c r="BP27" s="125"/>
      <c r="BQ27" s="117" t="str">
        <f>IF(BQ26="","",IFS(CB27="A",Montagem!$G$230,CD27="T","Realizar a maior quantidade de repetições por "&amp;BV26&amp;" segundos | ",CD27="I",IF(CC27="U","Manter a posição por "&amp;BV26&amp;" segundos de um lado e trocar para o outro na sequência | ","Manter a posição por "&amp;BV26&amp;" segundos | "),CC27="A","Realizar alternadamente "&amp;BV26&amp;" repetições cada lado | ",CC27="U","Realizar "&amp;BV26&amp;" repetições de um lado e trocar para o outro na sequência | ",CB27="P",OFFSET(Biblioteca!$H$2,MATCH(CC26,Biblioteca!$A$3:$A$200,0),0),TRUE,"")&amp;IF(CD27="R","Ajuste a carga para que tenha "&amp;$K$2&amp;" repetições de reserva",""))</f>
        <v/>
      </c>
      <c r="BU27" s="118" t="str">
        <f>IF(BQ26="","",IFS(CB27="H","Carga Sugerida: "&amp;ROUNDUP(CE26/2,0)&amp;" kg de cada lado (Total: "&amp;ROUNDUP(CE26/2,0)*2&amp;" kg)",CB27="C","Este exercício usa o Peso Corporal como carga",CB27="E","Este exercício usa a resistência da banda elástica como carga",CB27="O","Carga Sugerida: "&amp;INT(CE26)&amp;" kg",TRUE,""))</f>
        <v/>
      </c>
      <c r="BZ27" s="66"/>
      <c r="CA27" s="126">
        <f>CA26</f>
        <v>1</v>
      </c>
      <c r="CB27" s="120" t="str">
        <f>LEFT(CE27)</f>
        <v/>
      </c>
      <c r="CC27" s="121" t="str">
        <f>MID(CE27,2,1)</f>
        <v/>
      </c>
      <c r="CD27" s="122" t="str">
        <f>RIGHT(CE27)</f>
        <v/>
      </c>
      <c r="CE27" s="123" t="str">
        <f>IF(CC26="","",OFFSET(Biblioteca!$I$2,MATCH(CC26,Biblioteca!$A$3:$A$200,0),0))</f>
        <v/>
      </c>
      <c r="CF27" s="124"/>
      <c r="CG27" s="125"/>
      <c r="CH27" s="117" t="str">
        <f>IF(CH26="","",IFS(CS27="A",Montagem!$H$230,CU27="T","Realizar a maior quantidade de repetições por "&amp;CM26&amp;" segundos | ",CU27="I",IF(CT27="U","Manter a posição por "&amp;CM26&amp;" segundos de um lado e trocar para o outro na sequência | ","Manter a posição por "&amp;CM26&amp;" segundos | "),CT27="A","Realizar alternadamente "&amp;CM26&amp;" repetições cada lado | ",CT27="U","Realizar "&amp;CM26&amp;" repetições de um lado e trocar para o outro na sequência | ",CS27="P",OFFSET(Biblioteca!$H$2,MATCH(CT26,Biblioteca!$A$3:$A$200,0),0),TRUE,"")&amp;IF(CU27="R","Ajuste a carga para que tenha "&amp;$K$2&amp;" repetições de reserva",""))</f>
        <v/>
      </c>
      <c r="CL27" s="118" t="str">
        <f>IF(CH26="","",IFS(CS27="H","Carga Sugerida: "&amp;ROUNDUP(CV26/2,0)&amp;" kg de cada lado (Total: "&amp;ROUNDUP(CV26/2,0)*2&amp;" kg)",CS27="C","Este exercício usa o Peso Corporal como carga",CS27="E","Este exercício usa a resistência da banda elástica como carga",CS27="O","Carga Sugerida: "&amp;INT(CV26)&amp;" kg",TRUE,""))</f>
        <v/>
      </c>
      <c r="CQ27" s="66"/>
      <c r="CR27" s="126">
        <f>CR26</f>
        <v>1</v>
      </c>
      <c r="CS27" s="120" t="str">
        <f>LEFT(CV27)</f>
        <v/>
      </c>
      <c r="CT27" s="121" t="str">
        <f>MID(CV27,2,1)</f>
        <v/>
      </c>
      <c r="CU27" s="122" t="str">
        <f>RIGHT(CV27)</f>
        <v/>
      </c>
      <c r="CV27" s="123" t="str">
        <f>IF(CT26="","",OFFSET(Biblioteca!$I$2,MATCH(CT26,Biblioteca!$A$3:$A$200,0),0))</f>
        <v/>
      </c>
      <c r="CW27" s="124"/>
      <c r="CX27" s="125"/>
      <c r="CY27" s="117" t="str">
        <f>IF(CY26="","",IFS(DJ27="A",Montagem!$I$230,DL27="T","Realizar a maior quantidade de repetições por "&amp;DD26&amp;" segundos | ",DL27="I",IF(DK27="U","Manter a posição por "&amp;DD26&amp;" segundos de um lado e trocar para o outro na sequência | ","Manter a posição por "&amp;DD26&amp;" segundos | "),DK27="A","Realizar alternadamente "&amp;DD26&amp;" repetições cada lado | ",DK27="U","Realizar "&amp;DD26&amp;" repetições de um lado e trocar para o outro na sequência | ",DJ27="P",OFFSET(Biblioteca!$H$2,MATCH(DK26,Biblioteca!$A$3:$A$200,0),0),TRUE,"")&amp;IF(DL27="R","Ajuste a carga para que tenha "&amp;$K$2&amp;" repetições de reserva",""))</f>
        <v/>
      </c>
      <c r="DC27" s="118" t="str">
        <f>IF(CY26="","",IFS(DJ27="H","Carga Sugerida: "&amp;ROUNDUP(DM26/2,0)&amp;" kg de cada lado (Total: "&amp;ROUNDUP(DM26/2,0)*2&amp;" kg)",DJ27="C","Este exercício usa o Peso Corporal como carga",DJ27="E","Este exercício usa a resistência da banda elástica como carga",DJ27="O","Carga Sugerida: "&amp;INT(DM26)&amp;" kg",TRUE,""))</f>
        <v/>
      </c>
      <c r="DH27" s="66"/>
      <c r="DI27" s="126">
        <f>DI26</f>
        <v>1</v>
      </c>
      <c r="DJ27" s="120" t="str">
        <f>LEFT(DM27)</f>
        <v/>
      </c>
      <c r="DK27" s="121" t="str">
        <f>MID(DM27,2,1)</f>
        <v/>
      </c>
      <c r="DL27" s="122" t="str">
        <f>RIGHT(DM27)</f>
        <v/>
      </c>
      <c r="DM27" s="123" t="str">
        <f>IF(DK26="","",OFFSET(Biblioteca!$I$2,MATCH(DK26,Biblioteca!$A$3:$A$200,0),0))</f>
        <v/>
      </c>
      <c r="DN27" s="124"/>
      <c r="DO27" s="125"/>
      <c r="DP27" s="57"/>
      <c r="DQ27" s="56"/>
      <c r="DR27" s="56"/>
      <c r="DS27" s="56"/>
      <c r="DT27" s="56"/>
      <c r="DU27" s="56"/>
      <c r="DV27" s="56"/>
      <c r="DW27" s="56"/>
      <c r="DX27" s="56"/>
      <c r="DY27" s="56"/>
    </row>
    <row r="28">
      <c r="A28" s="115" t="str">
        <f>IF(M28="","",HYPERLINK(OFFSET(Biblioteca!$B$2,MATCH(M28,Biblioteca!$A$3:$A$200,0),0),M28))</f>
        <v/>
      </c>
      <c r="D28" s="103" t="str">
        <f>Montagem!Q222</f>
        <v/>
      </c>
      <c r="E28" s="104" t="str">
        <f>Montagem!R222</f>
        <v/>
      </c>
      <c r="F28" s="104" t="str">
        <f>Montagem!S222</f>
        <v/>
      </c>
      <c r="G28" s="104" t="str">
        <f>Montagem!T222</f>
        <v/>
      </c>
      <c r="H28" s="104" t="str">
        <f>Montagem!U222</f>
        <v/>
      </c>
      <c r="I28" s="127" t="str">
        <f>Montagem!V222</f>
        <v/>
      </c>
      <c r="J28" s="105"/>
      <c r="K28" s="106">
        <f>Montagem!K222</f>
        <v>1</v>
      </c>
      <c r="L28" s="111" t="str">
        <f>Montagem!W222</f>
        <v/>
      </c>
      <c r="M28" s="111" t="str">
        <f>Montagem!L222</f>
        <v/>
      </c>
      <c r="N28" s="111" t="str">
        <f>Montagem!X222</f>
        <v/>
      </c>
      <c r="O28" s="106" t="str">
        <f>IF(N28="",L28,N28)</f>
        <v/>
      </c>
      <c r="P28" s="106" t="str">
        <f>IF(L29="C",'Dados de Base'!$D$5*0.1,IF(L29="E",5,IF(J28="",O28,J28)))</f>
        <v/>
      </c>
      <c r="Q28" s="108"/>
      <c r="R28" s="115" t="str">
        <f>IF(AD28="","",HYPERLINK(OFFSET(Biblioteca!$B$2,MATCH(AD28,Biblioteca!$A$3:$A$200,0),0),AD28))</f>
        <v/>
      </c>
      <c r="U28" s="109" t="str">
        <f>Montagem!AF222</f>
        <v/>
      </c>
      <c r="V28" s="110" t="str">
        <f>Montagem!AG222</f>
        <v/>
      </c>
      <c r="W28" s="110" t="str">
        <f>Montagem!AH222</f>
        <v/>
      </c>
      <c r="X28" s="110" t="str">
        <f>Montagem!AI222</f>
        <v/>
      </c>
      <c r="Y28" s="110" t="str">
        <f>Montagem!AJ222</f>
        <v/>
      </c>
      <c r="Z28" s="110" t="str">
        <f>Montagem!AK222</f>
        <v/>
      </c>
      <c r="AA28" s="113"/>
      <c r="AB28" s="111">
        <f>Montagem!Z222</f>
        <v>1</v>
      </c>
      <c r="AC28" s="111" t="str">
        <f>Montagem!AL222</f>
        <v/>
      </c>
      <c r="AD28" s="129" t="str">
        <f>Montagem!AA222</f>
        <v/>
      </c>
      <c r="AE28" s="111" t="str">
        <f>Montagem!AM222</f>
        <v/>
      </c>
      <c r="AF28" s="106" t="str">
        <f>IF(AE28="",AC28,AE28)</f>
        <v/>
      </c>
      <c r="AG28" s="106" t="str">
        <f>IF(AC29="C",'Dados de Base'!$D$5*0.1,IF(AC29="E",5,IF(AA28="",AF28,AA28)))</f>
        <v/>
      </c>
      <c r="AH28" s="108"/>
      <c r="AI28" s="115" t="str">
        <f>IF(AU28="","",HYPERLINK(OFFSET(Biblioteca!$B$2,MATCH(AU28,Biblioteca!$A$3:$A$200,0),0),AU28))</f>
        <v/>
      </c>
      <c r="AL28" s="109" t="str">
        <f>Montagem!AU222</f>
        <v/>
      </c>
      <c r="AM28" s="110" t="str">
        <f>Montagem!AV222</f>
        <v/>
      </c>
      <c r="AN28" s="110" t="str">
        <f>Montagem!AW222</f>
        <v/>
      </c>
      <c r="AO28" s="110" t="str">
        <f>Montagem!AX222</f>
        <v/>
      </c>
      <c r="AP28" s="110" t="str">
        <f>Montagem!AY222</f>
        <v/>
      </c>
      <c r="AQ28" s="110" t="str">
        <f>Montagem!AZ222</f>
        <v/>
      </c>
      <c r="AR28" s="114"/>
      <c r="AS28" s="111">
        <f>Montagem!AO222</f>
        <v>1</v>
      </c>
      <c r="AT28" s="111" t="str">
        <f>Montagem!BA222</f>
        <v/>
      </c>
      <c r="AU28" s="111" t="str">
        <f>Montagem!AP222</f>
        <v/>
      </c>
      <c r="AV28" s="111" t="str">
        <f>Montagem!BB222</f>
        <v/>
      </c>
      <c r="AW28" s="106" t="str">
        <f>IF(AV28="",AT28,AV28)</f>
        <v/>
      </c>
      <c r="AX28" s="106" t="str">
        <f>IF(AT29="C",'Dados de Base'!$D$5*0.1,IF(AT29="E",5,IF(AR28="",AW28,AR28)))</f>
        <v/>
      </c>
      <c r="AY28" s="108"/>
      <c r="AZ28" s="115" t="str">
        <f>IF(BL28="","",HYPERLINK(OFFSET(Biblioteca!$B$2,MATCH(BL28,Biblioteca!$A$3:$A$200,0),0),BL28))</f>
        <v/>
      </c>
      <c r="BC28" s="109" t="str">
        <f>Montagem!BJ222</f>
        <v/>
      </c>
      <c r="BD28" s="110" t="str">
        <f>Montagem!BK222</f>
        <v/>
      </c>
      <c r="BE28" s="110" t="str">
        <f>Montagem!BL222</f>
        <v/>
      </c>
      <c r="BF28" s="110" t="str">
        <f>Montagem!BM222</f>
        <v/>
      </c>
      <c r="BG28" s="110" t="str">
        <f>Montagem!BN222</f>
        <v/>
      </c>
      <c r="BH28" s="110" t="str">
        <f>Montagem!BO222</f>
        <v/>
      </c>
      <c r="BI28" s="113"/>
      <c r="BJ28" s="111">
        <f>Montagem!BD222</f>
        <v>1</v>
      </c>
      <c r="BK28" s="111" t="str">
        <f>Montagem!BP222</f>
        <v/>
      </c>
      <c r="BL28" s="111" t="str">
        <f>Montagem!BE222</f>
        <v/>
      </c>
      <c r="BM28" s="111" t="str">
        <f>Montagem!BQ222</f>
        <v/>
      </c>
      <c r="BN28" s="106" t="str">
        <f>IF(BM28="",BK28,BM28)</f>
        <v/>
      </c>
      <c r="BO28" s="106" t="str">
        <f>IF(BK29="C",'Dados de Base'!$D$5*0.1,IF(BK29="E",5,IF(BI28="",BN28,BI28)))</f>
        <v/>
      </c>
      <c r="BP28" s="108"/>
      <c r="BQ28" s="115" t="str">
        <f>IF(CC28="","",HYPERLINK(OFFSET(Biblioteca!$B$2,MATCH(CC28,Biblioteca!$A$3:$A$200,0),0),CC28))</f>
        <v/>
      </c>
      <c r="BT28" s="109" t="str">
        <f>Montagem!BY222</f>
        <v/>
      </c>
      <c r="BU28" s="110" t="str">
        <f>Montagem!BZ222</f>
        <v/>
      </c>
      <c r="BV28" s="110" t="str">
        <f>Montagem!CA222</f>
        <v/>
      </c>
      <c r="BW28" s="110" t="str">
        <f>Montagem!CB222</f>
        <v/>
      </c>
      <c r="BX28" s="110" t="str">
        <f>Montagem!CC222</f>
        <v/>
      </c>
      <c r="BY28" s="110" t="str">
        <f>Montagem!CD222</f>
        <v/>
      </c>
      <c r="BZ28" s="113"/>
      <c r="CA28" s="111">
        <f>Montagem!BS222</f>
        <v>1</v>
      </c>
      <c r="CB28" s="111" t="str">
        <f>Montagem!CE222</f>
        <v/>
      </c>
      <c r="CC28" s="111" t="str">
        <f>Montagem!BT222</f>
        <v/>
      </c>
      <c r="CD28" s="111" t="str">
        <f>Montagem!CF222</f>
        <v/>
      </c>
      <c r="CE28" s="106" t="str">
        <f>IF(CD28="",CB28,CD28)</f>
        <v/>
      </c>
      <c r="CF28" s="106" t="str">
        <f>IF(CB29="C",'Dados de Base'!$D$5*0.1,IF(CB29="E",5,IF(BZ28="",CE28,BZ28)))</f>
        <v/>
      </c>
      <c r="CG28" s="108"/>
      <c r="CH28" s="115" t="str">
        <f>IF(CT28="","",HYPERLINK(OFFSET(Biblioteca!$B$2,MATCH(CT28,Biblioteca!$A$3:$A$200,0),0),CT28))</f>
        <v/>
      </c>
      <c r="CK28" s="109" t="str">
        <f>Montagem!CN222</f>
        <v/>
      </c>
      <c r="CL28" s="110" t="str">
        <f>Montagem!CO222</f>
        <v/>
      </c>
      <c r="CM28" s="110" t="str">
        <f>Montagem!CP222</f>
        <v/>
      </c>
      <c r="CN28" s="110" t="str">
        <f>Montagem!CQ222</f>
        <v/>
      </c>
      <c r="CO28" s="110" t="str">
        <f>Montagem!CR222</f>
        <v/>
      </c>
      <c r="CP28" s="110" t="str">
        <f>Montagem!CS222</f>
        <v/>
      </c>
      <c r="CQ28" s="114"/>
      <c r="CR28" s="111">
        <f>Montagem!CH222</f>
        <v>1</v>
      </c>
      <c r="CS28" s="111" t="str">
        <f>Montagem!CT222</f>
        <v/>
      </c>
      <c r="CT28" s="111" t="str">
        <f>Montagem!CI222</f>
        <v/>
      </c>
      <c r="CU28" s="111" t="str">
        <f>Montagem!CU222</f>
        <v/>
      </c>
      <c r="CV28" s="106" t="str">
        <f>IF(CU28="",CS28,CU28)</f>
        <v/>
      </c>
      <c r="CW28" s="106" t="str">
        <f>IF(CS29="C",'Dados de Base'!$D$5*0.1,IF(CS29="E",5,IF(CQ28="",CV28,CQ28)))</f>
        <v/>
      </c>
      <c r="CX28" s="108"/>
      <c r="CY28" s="115" t="str">
        <f>IF(DK28="","",HYPERLINK(OFFSET(Biblioteca!$B$2,MATCH(DK28,Biblioteca!$A$3:$A$200,0),0),DK28))</f>
        <v/>
      </c>
      <c r="DB28" s="130" t="str">
        <f>Montagem!DC222</f>
        <v/>
      </c>
      <c r="DC28" s="131" t="str">
        <f>Montagem!DD222</f>
        <v/>
      </c>
      <c r="DD28" s="131" t="str">
        <f>Montagem!DE222</f>
        <v/>
      </c>
      <c r="DE28" s="131" t="str">
        <f>Montagem!DF222</f>
        <v/>
      </c>
      <c r="DF28" s="131" t="str">
        <f>Montagem!DG222</f>
        <v/>
      </c>
      <c r="DG28" s="131" t="str">
        <f>Montagem!DH222</f>
        <v/>
      </c>
      <c r="DH28" s="114"/>
      <c r="DI28" s="111">
        <f>Montagem!CW222</f>
        <v>1</v>
      </c>
      <c r="DJ28" s="111" t="str">
        <f>Montagem!DI222</f>
        <v/>
      </c>
      <c r="DK28" s="111" t="str">
        <f>Montagem!CX222</f>
        <v/>
      </c>
      <c r="DL28" s="111" t="str">
        <f>Montagem!DJ222</f>
        <v/>
      </c>
      <c r="DM28" s="106" t="str">
        <f>IF(DL28="",DJ28,DL28)</f>
        <v/>
      </c>
      <c r="DN28" s="106" t="str">
        <f>IF(DJ29="C",'Dados de Base'!$D$5*0.1,IF(DJ29="E",5,IF(DH28="",DM28,DH28)))</f>
        <v/>
      </c>
      <c r="DO28" s="108"/>
      <c r="DP28" s="106"/>
      <c r="DQ28" s="106"/>
      <c r="DR28" s="106"/>
      <c r="DS28" s="106"/>
      <c r="DT28" s="106"/>
      <c r="DU28" s="106"/>
      <c r="DV28" s="106"/>
      <c r="DW28" s="106"/>
      <c r="DX28" s="106"/>
      <c r="DY28" s="106"/>
    </row>
    <row r="29">
      <c r="A29" s="117" t="str">
        <f>IF(A28="","",IFS(L29="A",Montagem!$C$230,N29="T","Realizar a maior quantidade de repetições por "&amp;F28&amp;" segundos | ",N29="I",IF(M29="U","Manter a posição por "&amp;F28&amp;" segundos de um lado e trocar para o outro na sequência | ","Manter a posição por "&amp;F28&amp;" segundos | "),M29="A","Realizar alternadamente "&amp;F28&amp;" repetições cada lado | ",M29="U","Realizar "&amp;F28&amp;" repetições de um lado e trocar para o outro na sequência | ",L29="P",OFFSET(Biblioteca!$H$2,MATCH(M28,Biblioteca!$A$3:$A$200,0),0),TRUE,"")&amp;IF(N29="R","Ajuste a carga para que tenha "&amp;$K$2&amp;" repetições de reserva",""))</f>
        <v/>
      </c>
      <c r="E29" s="118" t="str">
        <f>IF(A28="","",IFS(L29="H","Carga Sugerida: "&amp;ROUNDUP(O28/2,0)&amp;" kg de cada lado (Total: "&amp;ROUNDUP(O28/2,0)*2&amp;" kg)",L29="C","Este exercício usa o Peso Corporal como carga",L29="E","Este exercício usa a resistência da banda elástica como carga",L29="O","Carga Sugerida: "&amp;INT(O28)&amp;" kg",TRUE,""))</f>
        <v/>
      </c>
      <c r="J29" s="66"/>
      <c r="K29" s="126">
        <f>K28</f>
        <v>1</v>
      </c>
      <c r="L29" s="120" t="str">
        <f>LEFT(O29)</f>
        <v/>
      </c>
      <c r="M29" s="121" t="str">
        <f>MID(O29,2,1)</f>
        <v/>
      </c>
      <c r="N29" s="122" t="str">
        <f>RIGHT(O29)</f>
        <v/>
      </c>
      <c r="O29" s="123" t="str">
        <f>IF(M28="","",OFFSET(Biblioteca!$I$2,MATCH(M28,Biblioteca!$A$3:$A$200,0),0))</f>
        <v/>
      </c>
      <c r="P29" s="124"/>
      <c r="Q29" s="125"/>
      <c r="R29" s="117" t="str">
        <f>IF(R28="","",IFS(AC29="A",Montagem!$D$230,AE29="T","Realizar a maior quantidade de repetições por "&amp;W28&amp;" segundos | ",AE29="I",IF(AD29="U","Manter a posição por "&amp;W28&amp;" segundos de um lado e trocar para o outro na sequência | ","Manter a posição por "&amp;W28&amp;" segundos | "),AD29="A","Realizar alternadamente "&amp;W28&amp;" repetições cada lado | ",AD29="U","Realizar "&amp;W28&amp;" repetições de um lado e trocar para o outro na sequência | ",AC29="P",OFFSET(Biblioteca!$H$2,MATCH(AD28,Biblioteca!$A$3:$A$200,0),0),TRUE,"")&amp;IF(AE29="R","Ajuste a carga para que tenha "&amp;$K$2&amp;" repetições de reserva",""))</f>
        <v/>
      </c>
      <c r="V29" s="118" t="str">
        <f>IF(R28="","",IFS(AC29="H","Carga Sugerida: "&amp;ROUNDUP(AF28/2,0)&amp;" kg de cada lado (Total: "&amp;ROUNDUP(AF28/2,0)*2&amp;" kg)",AC29="C","Este exercício usa o Peso Corporal como carga",AC29="E","Este exercício usa a resistência da banda elástica como carga",AC29="O","Carga Sugerida: "&amp;INT(AF28)&amp;" kg",TRUE,""))</f>
        <v/>
      </c>
      <c r="AA29" s="66"/>
      <c r="AB29" s="126">
        <f>AB28</f>
        <v>1</v>
      </c>
      <c r="AC29" s="120" t="str">
        <f>LEFT(AF29)</f>
        <v/>
      </c>
      <c r="AD29" s="121" t="str">
        <f>MID(AF29,2,1)</f>
        <v/>
      </c>
      <c r="AE29" s="122" t="str">
        <f>RIGHT(AF29)</f>
        <v/>
      </c>
      <c r="AF29" s="123" t="str">
        <f>IF(AD28="","",OFFSET(Biblioteca!$I$2,MATCH(AD28,Biblioteca!$A$3:$A$200,0),0))</f>
        <v/>
      </c>
      <c r="AG29" s="124"/>
      <c r="AH29" s="125"/>
      <c r="AI29" s="117" t="str">
        <f>IF(AI28="","",IFS(AT29="A",Montagem!$E$230,AV29="T","Realizar a maior quantidade de repetições por "&amp;AN28&amp;" segundos | ",AV29="I",IF(AU29="U","Manter a posição por "&amp;AN28&amp;" segundos de um lado e trocar para o outro na sequência | ","Manter a posição por "&amp;AN28&amp;" segundos | "),AU29="A","Realizar alternadamente "&amp;AN28&amp;" repetições cada lado | ",AU29="U","Realizar "&amp;AN28&amp;" repetições de um lado e trocar para o outro na sequência | ",AT29="P",OFFSET(Biblioteca!$H$2,MATCH(AU28,Biblioteca!$A$3:$A$200,0),0),TRUE,"")&amp;IF(AV29="R","Ajuste a carga para que tenha "&amp;$K$2&amp;" repetições de reserva",""))</f>
        <v/>
      </c>
      <c r="AM29" s="118" t="str">
        <f>IF(AI28="","",IFS(AT29="H","Carga Sugerida: "&amp;ROUNDUP(AW28/2,0)&amp;" kg de cada lado (Total: "&amp;ROUNDUP(AW28/2,0)*2&amp;" kg)",AT29="C","Este exercício usa o Peso Corporal como carga",AT29="E","Este exercício usa a resistência da banda elástica como carga",AT29="O","Carga Sugerida: "&amp;INT(AW28)&amp;" kg",TRUE,""))</f>
        <v/>
      </c>
      <c r="AR29" s="66"/>
      <c r="AS29" s="126">
        <f>AS28</f>
        <v>1</v>
      </c>
      <c r="AT29" s="120" t="str">
        <f>LEFT(AW29)</f>
        <v/>
      </c>
      <c r="AU29" s="121" t="str">
        <f>MID(AW29,2,1)</f>
        <v/>
      </c>
      <c r="AV29" s="122" t="str">
        <f>RIGHT(AW29)</f>
        <v/>
      </c>
      <c r="AW29" s="123" t="str">
        <f>IF(AU28="","",OFFSET(Biblioteca!$I$2,MATCH(AU28,Biblioteca!$A$3:$A$200,0),0))</f>
        <v/>
      </c>
      <c r="AX29" s="124"/>
      <c r="AY29" s="125"/>
      <c r="AZ29" s="117" t="str">
        <f>IF(AZ28="","",IFS(BK29="A",Montagem!$F$230,BM29="T","Realizar a maior quantidade de repetições por "&amp;BE28&amp;" segundos | ",BM29="I",IF(BL29="U","Manter a posição por "&amp;BE28&amp;" segundos de um lado e trocar para o outro na sequência | ","Manter a posição por "&amp;BE28&amp;" segundos | "),BL29="A","Realizar alternadamente "&amp;BE28&amp;" repetições cada lado | ",BL29="U","Realizar "&amp;BE28&amp;" repetições de um lado e trocar para o outro na sequência | ",BK29="P",OFFSET(Biblioteca!$H$2,MATCH(BL28,Biblioteca!$A$3:$A$200,0),0),TRUE,"")&amp;IF(BM29="R","Ajuste a carga para que tenha "&amp;$K$2&amp;" repetições de reserva",""))</f>
        <v/>
      </c>
      <c r="BD29" s="118" t="str">
        <f>IF(AZ28="","",IFS(BK29="H","Carga Sugerida: "&amp;ROUNDUP(BN28/2,0)&amp;" kg de cada lado (Total: "&amp;ROUNDUP(BN28/2,0)*2&amp;" kg)",BK29="C","Este exercício usa o Peso Corporal como carga",BK29="E","Este exercício usa a resistência da banda elástica como carga",BK29="O","Carga Sugerida: "&amp;INT(BN28)&amp;" kg",TRUE,""))</f>
        <v/>
      </c>
      <c r="BI29" s="66"/>
      <c r="BJ29" s="126">
        <f>BJ28</f>
        <v>1</v>
      </c>
      <c r="BK29" s="120" t="str">
        <f>LEFT(BN29)</f>
        <v/>
      </c>
      <c r="BL29" s="121" t="str">
        <f>MID(BN29,2,1)</f>
        <v/>
      </c>
      <c r="BM29" s="122" t="str">
        <f>RIGHT(BN29)</f>
        <v/>
      </c>
      <c r="BN29" s="123" t="str">
        <f>IF(BL28="","",OFFSET(Biblioteca!$I$2,MATCH(BL28,Biblioteca!$A$3:$A$200,0),0))</f>
        <v/>
      </c>
      <c r="BO29" s="124"/>
      <c r="BP29" s="125"/>
      <c r="BQ29" s="117" t="str">
        <f>IF(BQ28="","",IFS(CB29="A",Montagem!$G$230,CD29="T","Realizar a maior quantidade de repetições por "&amp;BV28&amp;" segundos | ",CD29="I",IF(CC29="U","Manter a posição por "&amp;BV28&amp;" segundos de um lado e trocar para o outro na sequência | ","Manter a posição por "&amp;BV28&amp;" segundos | "),CC29="A","Realizar alternadamente "&amp;BV28&amp;" repetições cada lado | ",CC29="U","Realizar "&amp;BV28&amp;" repetições de um lado e trocar para o outro na sequência | ",CB29="P",OFFSET(Biblioteca!$H$2,MATCH(CC28,Biblioteca!$A$3:$A$200,0),0),TRUE,"")&amp;IF(CD29="R","Ajuste a carga para que tenha "&amp;$K$2&amp;" repetições de reserva",""))</f>
        <v/>
      </c>
      <c r="BU29" s="118" t="str">
        <f>IF(BQ28="","",IFS(CB29="H","Carga Sugerida: "&amp;ROUNDUP(CE28/2,0)&amp;" kg de cada lado (Total: "&amp;ROUNDUP(CE28/2,0)*2&amp;" kg)",CB29="C","Este exercício usa o Peso Corporal como carga",CB29="E","Este exercício usa a resistência da banda elástica como carga",CB29="O","Carga Sugerida: "&amp;INT(CE28)&amp;" kg",TRUE,""))</f>
        <v/>
      </c>
      <c r="BZ29" s="66"/>
      <c r="CA29" s="126">
        <f>CA28</f>
        <v>1</v>
      </c>
      <c r="CB29" s="120" t="str">
        <f>LEFT(CE29)</f>
        <v/>
      </c>
      <c r="CC29" s="121" t="str">
        <f>MID(CE29,2,1)</f>
        <v/>
      </c>
      <c r="CD29" s="122" t="str">
        <f>RIGHT(CE29)</f>
        <v/>
      </c>
      <c r="CE29" s="123" t="str">
        <f>IF(CC28="","",OFFSET(Biblioteca!$I$2,MATCH(CC28,Biblioteca!$A$3:$A$200,0),0))</f>
        <v/>
      </c>
      <c r="CF29" s="124"/>
      <c r="CG29" s="125"/>
      <c r="CH29" s="117" t="str">
        <f>IF(CH28="","",IFS(CS29="A",Montagem!$H$230,CU29="T","Realizar a maior quantidade de repetições por "&amp;CM28&amp;" segundos | ",CU29="I",IF(CT29="U","Manter a posição por "&amp;CM28&amp;" segundos de um lado e trocar para o outro na sequência | ","Manter a posição por "&amp;CM28&amp;" segundos | "),CT29="A","Realizar alternadamente "&amp;CM28&amp;" repetições cada lado | ",CT29="U","Realizar "&amp;CM28&amp;" repetições de um lado e trocar para o outro na sequência | ",CS29="P",OFFSET(Biblioteca!$H$2,MATCH(CT28,Biblioteca!$A$3:$A$200,0),0),TRUE,"")&amp;IF(CU29="R","Ajuste a carga para que tenha "&amp;$K$2&amp;" repetições de reserva",""))</f>
        <v/>
      </c>
      <c r="CL29" s="118" t="str">
        <f>IF(CH28="","",IFS(CS29="H","Carga Sugerida: "&amp;ROUNDUP(CV28/2,0)&amp;" kg de cada lado (Total: "&amp;ROUNDUP(CV28/2,0)*2&amp;" kg)",CS29="C","Este exercício usa o Peso Corporal como carga",CS29="E","Este exercício usa a resistência da banda elástica como carga",CS29="O","Carga Sugerida: "&amp;INT(CV28)&amp;" kg",TRUE,""))</f>
        <v/>
      </c>
      <c r="CQ29" s="66"/>
      <c r="CR29" s="126">
        <f>CR28</f>
        <v>1</v>
      </c>
      <c r="CS29" s="120" t="str">
        <f>LEFT(CV29)</f>
        <v/>
      </c>
      <c r="CT29" s="121" t="str">
        <f>MID(CV29,2,1)</f>
        <v/>
      </c>
      <c r="CU29" s="122" t="str">
        <f>RIGHT(CV29)</f>
        <v/>
      </c>
      <c r="CV29" s="123" t="str">
        <f>IF(CT28="","",OFFSET(Biblioteca!$I$2,MATCH(CT28,Biblioteca!$A$3:$A$200,0),0))</f>
        <v/>
      </c>
      <c r="CW29" s="124"/>
      <c r="CX29" s="125"/>
      <c r="CY29" s="117" t="str">
        <f>IF(CY28="","",IFS(DJ29="A",Montagem!$I$230,DL29="T","Realizar a maior quantidade de repetições por "&amp;DD28&amp;" segundos | ",DL29="I",IF(DK29="U","Manter a posição por "&amp;DD28&amp;" segundos de um lado e trocar para o outro na sequência | ","Manter a posição por "&amp;DD28&amp;" segundos | "),DK29="A","Realizar alternadamente "&amp;DD28&amp;" repetições cada lado | ",DK29="U","Realizar "&amp;DD28&amp;" repetições de um lado e trocar para o outro na sequência | ",DJ29="P",OFFSET(Biblioteca!$H$2,MATCH(DK28,Biblioteca!$A$3:$A$200,0),0),TRUE,"")&amp;IF(DL29="R","Ajuste a carga para que tenha "&amp;$K$2&amp;" repetições de reserva",""))</f>
        <v/>
      </c>
      <c r="DC29" s="118" t="str">
        <f>IF(CY28="","",IFS(DJ29="H","Carga Sugerida: "&amp;ROUNDUP(DM28/2,0)&amp;" kg de cada lado (Total: "&amp;ROUNDUP(DM28/2,0)*2&amp;" kg)",DJ29="C","Este exercício usa o Peso Corporal como carga",DJ29="E","Este exercício usa a resistência da banda elástica como carga",DJ29="O","Carga Sugerida: "&amp;INT(DM28)&amp;" kg",TRUE,""))</f>
        <v/>
      </c>
      <c r="DH29" s="66"/>
      <c r="DI29" s="126">
        <f>DI28</f>
        <v>1</v>
      </c>
      <c r="DJ29" s="120" t="str">
        <f>LEFT(DM29)</f>
        <v/>
      </c>
      <c r="DK29" s="121" t="str">
        <f>MID(DM29,2,1)</f>
        <v/>
      </c>
      <c r="DL29" s="122" t="str">
        <f>RIGHT(DM29)</f>
        <v/>
      </c>
      <c r="DM29" s="123" t="str">
        <f>IF(DK28="","",OFFSET(Biblioteca!$I$2,MATCH(DK28,Biblioteca!$A$3:$A$200,0),0))</f>
        <v/>
      </c>
      <c r="DN29" s="124"/>
      <c r="DO29" s="125"/>
      <c r="DP29" s="57"/>
      <c r="DQ29" s="56"/>
      <c r="DR29" s="56"/>
      <c r="DS29" s="56"/>
      <c r="DT29" s="56"/>
      <c r="DU29" s="56"/>
      <c r="DV29" s="56"/>
      <c r="DW29" s="56"/>
      <c r="DX29" s="56"/>
      <c r="DY29" s="56"/>
    </row>
    <row r="30">
      <c r="A30" s="115" t="str">
        <f>IF(M30="","",HYPERLINK(OFFSET(Biblioteca!$B$2,MATCH(M30,Biblioteca!$A$3:$A$200,0),0),M30))</f>
        <v/>
      </c>
      <c r="D30" s="103" t="str">
        <f>Montagem!Q223</f>
        <v/>
      </c>
      <c r="E30" s="104" t="str">
        <f>Montagem!R223</f>
        <v/>
      </c>
      <c r="F30" s="104" t="str">
        <f>Montagem!S223</f>
        <v/>
      </c>
      <c r="G30" s="104" t="str">
        <f>Montagem!T223</f>
        <v/>
      </c>
      <c r="H30" s="104" t="str">
        <f>Montagem!U223</f>
        <v/>
      </c>
      <c r="I30" s="127" t="str">
        <f>Montagem!V223</f>
        <v/>
      </c>
      <c r="J30" s="105"/>
      <c r="K30" s="106">
        <f>Montagem!K223</f>
        <v>1</v>
      </c>
      <c r="L30" s="111" t="str">
        <f>Montagem!W223</f>
        <v/>
      </c>
      <c r="M30" s="111" t="str">
        <f>Montagem!L223</f>
        <v/>
      </c>
      <c r="N30" s="111" t="str">
        <f>Montagem!X223</f>
        <v/>
      </c>
      <c r="O30" s="106" t="str">
        <f>IF(N30="",L30,N30)</f>
        <v/>
      </c>
      <c r="P30" s="106" t="str">
        <f>IF(L31="C",'Dados de Base'!$D$5*0.1,IF(L31="E",5,IF(J30="",O30,J30)))</f>
        <v/>
      </c>
      <c r="Q30" s="108"/>
      <c r="R30" s="115" t="str">
        <f>IF(AD30="","",HYPERLINK(OFFSET(Biblioteca!$B$2,MATCH(AD30,Biblioteca!$A$3:$A$200,0),0),AD30))</f>
        <v/>
      </c>
      <c r="U30" s="109" t="str">
        <f>Montagem!AF223</f>
        <v/>
      </c>
      <c r="V30" s="110" t="str">
        <f>Montagem!AG223</f>
        <v/>
      </c>
      <c r="W30" s="110" t="str">
        <f>Montagem!AH223</f>
        <v/>
      </c>
      <c r="X30" s="110" t="str">
        <f>Montagem!AI223</f>
        <v/>
      </c>
      <c r="Y30" s="110" t="str">
        <f>Montagem!AJ223</f>
        <v/>
      </c>
      <c r="Z30" s="110" t="str">
        <f>Montagem!AK223</f>
        <v/>
      </c>
      <c r="AA30" s="113"/>
      <c r="AB30" s="111">
        <f>Montagem!Z223</f>
        <v>1</v>
      </c>
      <c r="AC30" s="111" t="str">
        <f>Montagem!AL223</f>
        <v/>
      </c>
      <c r="AD30" s="129" t="str">
        <f>Montagem!AA223</f>
        <v/>
      </c>
      <c r="AE30" s="111" t="str">
        <f>Montagem!AM223</f>
        <v/>
      </c>
      <c r="AF30" s="106" t="str">
        <f>IF(AE30="",AC30,AE30)</f>
        <v/>
      </c>
      <c r="AG30" s="106" t="str">
        <f>IF(AC31="C",'Dados de Base'!$D$5*0.1,IF(AC31="E",5,IF(AA30="",AF30,AA30)))</f>
        <v/>
      </c>
      <c r="AH30" s="108"/>
      <c r="AI30" s="115" t="str">
        <f>IF(AU30="","",HYPERLINK(OFFSET(Biblioteca!$B$2,MATCH(AU30,Biblioteca!$A$3:$A$200,0),0),AU30))</f>
        <v/>
      </c>
      <c r="AL30" s="109" t="str">
        <f>Montagem!AU223</f>
        <v/>
      </c>
      <c r="AM30" s="110" t="str">
        <f>Montagem!AV223</f>
        <v/>
      </c>
      <c r="AN30" s="110" t="str">
        <f>Montagem!AW223</f>
        <v/>
      </c>
      <c r="AO30" s="110" t="str">
        <f>Montagem!AX223</f>
        <v/>
      </c>
      <c r="AP30" s="110" t="str">
        <f>Montagem!AY223</f>
        <v/>
      </c>
      <c r="AQ30" s="110" t="str">
        <f>Montagem!AZ223</f>
        <v/>
      </c>
      <c r="AR30" s="114"/>
      <c r="AS30" s="111">
        <f>Montagem!AO223</f>
        <v>1</v>
      </c>
      <c r="AT30" s="111" t="str">
        <f>Montagem!BA223</f>
        <v/>
      </c>
      <c r="AU30" s="111" t="str">
        <f>Montagem!AP223</f>
        <v/>
      </c>
      <c r="AV30" s="111" t="str">
        <f>Montagem!BB223</f>
        <v/>
      </c>
      <c r="AW30" s="106" t="str">
        <f>IF(AV30="",AT30,AV30)</f>
        <v/>
      </c>
      <c r="AX30" s="106" t="str">
        <f>IF(AT31="C",'Dados de Base'!$D$5*0.1,IF(AT31="E",5,IF(AR30="",AW30,AR30)))</f>
        <v/>
      </c>
      <c r="AY30" s="108"/>
      <c r="AZ30" s="115" t="str">
        <f>IF(BL30="","",HYPERLINK(OFFSET(Biblioteca!$B$2,MATCH(BL30,Biblioteca!$A$3:$A$200,0),0),BL30))</f>
        <v/>
      </c>
      <c r="BC30" s="109" t="str">
        <f>Montagem!BJ223</f>
        <v/>
      </c>
      <c r="BD30" s="110" t="str">
        <f>Montagem!BK223</f>
        <v/>
      </c>
      <c r="BE30" s="110" t="str">
        <f>Montagem!BL223</f>
        <v/>
      </c>
      <c r="BF30" s="110" t="str">
        <f>Montagem!BM223</f>
        <v/>
      </c>
      <c r="BG30" s="110" t="str">
        <f>Montagem!BN223</f>
        <v/>
      </c>
      <c r="BH30" s="110" t="str">
        <f>Montagem!BO223</f>
        <v/>
      </c>
      <c r="BI30" s="113"/>
      <c r="BJ30" s="111">
        <f>Montagem!BD223</f>
        <v>1</v>
      </c>
      <c r="BK30" s="111" t="str">
        <f>Montagem!BP223</f>
        <v/>
      </c>
      <c r="BL30" s="111" t="str">
        <f>Montagem!BE223</f>
        <v/>
      </c>
      <c r="BM30" s="111" t="str">
        <f>Montagem!BQ223</f>
        <v/>
      </c>
      <c r="BN30" s="106" t="str">
        <f>IF(BM30="",BK30,BM30)</f>
        <v/>
      </c>
      <c r="BO30" s="106" t="str">
        <f>IF(BK31="C",'Dados de Base'!$D$5*0.1,IF(BK31="E",5,IF(BI30="",BN30,BI30)))</f>
        <v/>
      </c>
      <c r="BP30" s="108"/>
      <c r="BQ30" s="115" t="str">
        <f>IF(CC30="","",HYPERLINK(OFFSET(Biblioteca!$B$2,MATCH(CC30,Biblioteca!$A$3:$A$200,0),0),CC30))</f>
        <v/>
      </c>
      <c r="BT30" s="109" t="str">
        <f>Montagem!BY223</f>
        <v/>
      </c>
      <c r="BU30" s="110" t="str">
        <f>Montagem!BZ223</f>
        <v/>
      </c>
      <c r="BV30" s="110" t="str">
        <f>Montagem!CA223</f>
        <v/>
      </c>
      <c r="BW30" s="110" t="str">
        <f>Montagem!CB223</f>
        <v/>
      </c>
      <c r="BX30" s="110" t="str">
        <f>Montagem!CC223</f>
        <v/>
      </c>
      <c r="BY30" s="110" t="str">
        <f>Montagem!CD223</f>
        <v/>
      </c>
      <c r="BZ30" s="113"/>
      <c r="CA30" s="111">
        <f>Montagem!BS223</f>
        <v>1</v>
      </c>
      <c r="CB30" s="111" t="str">
        <f>Montagem!CE223</f>
        <v/>
      </c>
      <c r="CC30" s="111" t="str">
        <f>Montagem!BT223</f>
        <v/>
      </c>
      <c r="CD30" s="111" t="str">
        <f>Montagem!CF223</f>
        <v/>
      </c>
      <c r="CE30" s="106" t="str">
        <f>IF(CD30="",CB30,CD30)</f>
        <v/>
      </c>
      <c r="CF30" s="106" t="str">
        <f>IF(CB31="C",'Dados de Base'!$D$5*0.1,IF(CB31="E",5,IF(BZ30="",CE30,BZ30)))</f>
        <v/>
      </c>
      <c r="CG30" s="108"/>
      <c r="CH30" s="115" t="str">
        <f>IF(CT30="","",HYPERLINK(OFFSET(Biblioteca!$B$2,MATCH(CT30,Biblioteca!$A$3:$A$200,0),0),CT30))</f>
        <v/>
      </c>
      <c r="CK30" s="109" t="str">
        <f>Montagem!CN223</f>
        <v/>
      </c>
      <c r="CL30" s="110" t="str">
        <f>Montagem!CO223</f>
        <v/>
      </c>
      <c r="CM30" s="110" t="str">
        <f>Montagem!CP223</f>
        <v/>
      </c>
      <c r="CN30" s="110" t="str">
        <f>Montagem!CQ223</f>
        <v/>
      </c>
      <c r="CO30" s="110" t="str">
        <f>Montagem!CR223</f>
        <v/>
      </c>
      <c r="CP30" s="110" t="str">
        <f>Montagem!CS223</f>
        <v/>
      </c>
      <c r="CQ30" s="114"/>
      <c r="CR30" s="111">
        <f>Montagem!CH223</f>
        <v>1</v>
      </c>
      <c r="CS30" s="111" t="str">
        <f>Montagem!CT223</f>
        <v/>
      </c>
      <c r="CT30" s="111" t="str">
        <f>Montagem!CI223</f>
        <v/>
      </c>
      <c r="CU30" s="111" t="str">
        <f>Montagem!CU223</f>
        <v/>
      </c>
      <c r="CV30" s="106" t="str">
        <f>IF(CU30="",CS30,CU30)</f>
        <v/>
      </c>
      <c r="CW30" s="106" t="str">
        <f>IF(CS31="C",'Dados de Base'!$D$5*0.1,IF(CS31="E",5,IF(CQ30="",CV30,CQ30)))</f>
        <v/>
      </c>
      <c r="CX30" s="108"/>
      <c r="CY30" s="115" t="str">
        <f>IF(DK30="","",HYPERLINK(OFFSET(Biblioteca!$B$2,MATCH(DK30,Biblioteca!$A$3:$A$200,0),0),DK30))</f>
        <v/>
      </c>
      <c r="DB30" s="130" t="str">
        <f>Montagem!DC223</f>
        <v/>
      </c>
      <c r="DC30" s="131" t="str">
        <f>Montagem!DD223</f>
        <v/>
      </c>
      <c r="DD30" s="131" t="str">
        <f>Montagem!DE223</f>
        <v/>
      </c>
      <c r="DE30" s="131" t="str">
        <f>Montagem!DF223</f>
        <v/>
      </c>
      <c r="DF30" s="131" t="str">
        <f>Montagem!DG223</f>
        <v/>
      </c>
      <c r="DG30" s="131" t="str">
        <f>Montagem!DH223</f>
        <v/>
      </c>
      <c r="DH30" s="114"/>
      <c r="DI30" s="111">
        <f>Montagem!CW223</f>
        <v>1</v>
      </c>
      <c r="DJ30" s="111" t="str">
        <f>Montagem!DI223</f>
        <v/>
      </c>
      <c r="DK30" s="111" t="str">
        <f>Montagem!CX223</f>
        <v/>
      </c>
      <c r="DL30" s="111" t="str">
        <f>Montagem!DJ223</f>
        <v/>
      </c>
      <c r="DM30" s="106" t="str">
        <f>IF(DL30="",DJ30,DL30)</f>
        <v/>
      </c>
      <c r="DN30" s="106" t="str">
        <f>IF(DJ31="C",'Dados de Base'!$D$5*0.1,IF(DJ31="E",5,IF(DH30="",DM30,DH30)))</f>
        <v/>
      </c>
      <c r="DO30" s="108"/>
      <c r="DP30" s="106"/>
      <c r="DQ30" s="106"/>
      <c r="DR30" s="106"/>
      <c r="DS30" s="106"/>
      <c r="DT30" s="106"/>
      <c r="DU30" s="106"/>
      <c r="DV30" s="106"/>
      <c r="DW30" s="106"/>
      <c r="DX30" s="106"/>
      <c r="DY30" s="106"/>
    </row>
    <row r="31">
      <c r="A31" s="117" t="str">
        <f>IF(A30="","",IFS(L31="A",Montagem!$C$230,N31="T","Realizar a maior quantidade de repetições por "&amp;F30&amp;" segundos | ",N31="I",IF(M31="U","Manter a posição por "&amp;F30&amp;" segundos de um lado e trocar para o outro na sequência | ","Manter a posição por "&amp;F30&amp;" segundos | "),M31="A","Realizar alternadamente "&amp;F30&amp;" repetições cada lado | ",M31="U","Realizar "&amp;F30&amp;" repetições de um lado e trocar para o outro na sequência | ",L31="P",OFFSET(Biblioteca!$H$2,MATCH(M30,Biblioteca!$A$3:$A$200,0),0),TRUE,"")&amp;IF(N31="R","Ajuste a carga para que tenha "&amp;$K$2&amp;" repetições de reserva",""))</f>
        <v/>
      </c>
      <c r="E31" s="118" t="str">
        <f>IF(A30="","",IFS(L31="H","Carga Sugerida: "&amp;ROUNDUP(O30/2,0)&amp;" kg de cada lado (Total: "&amp;ROUNDUP(O30/2,0)*2&amp;" kg)",L31="C","Este exercício usa o Peso Corporal como carga",L31="E","Este exercício usa a resistência da banda elástica como carga",L31="O","Carga Sugerida: "&amp;INT(O30)&amp;" kg",TRUE,""))</f>
        <v/>
      </c>
      <c r="J31" s="66"/>
      <c r="K31" s="126">
        <f>K30</f>
        <v>1</v>
      </c>
      <c r="L31" s="120" t="str">
        <f>LEFT(O31)</f>
        <v/>
      </c>
      <c r="M31" s="121" t="str">
        <f>MID(O31,2,1)</f>
        <v/>
      </c>
      <c r="N31" s="122" t="str">
        <f>RIGHT(O31)</f>
        <v/>
      </c>
      <c r="O31" s="123" t="str">
        <f>IF(M30="","",OFFSET(Biblioteca!$I$2,MATCH(M30,Biblioteca!$A$3:$A$200,0),0))</f>
        <v/>
      </c>
      <c r="P31" s="124"/>
      <c r="Q31" s="125"/>
      <c r="R31" s="117" t="str">
        <f>IF(R30="","",IFS(AC31="A",Montagem!$D$230,AE31="T","Realizar a maior quantidade de repetições por "&amp;W30&amp;" segundos | ",AE31="I",IF(AD31="U","Manter a posição por "&amp;W30&amp;" segundos de um lado e trocar para o outro na sequência | ","Manter a posição por "&amp;W30&amp;" segundos | "),AD31="A","Realizar alternadamente "&amp;W30&amp;" repetições cada lado | ",AD31="U","Realizar "&amp;W30&amp;" repetições de um lado e trocar para o outro na sequência | ",AC31="P",OFFSET(Biblioteca!$H$2,MATCH(AD30,Biblioteca!$A$3:$A$200,0),0),TRUE,"")&amp;IF(AE31="R","Ajuste a carga para que tenha "&amp;$K$2&amp;" repetições de reserva",""))</f>
        <v/>
      </c>
      <c r="V31" s="118" t="str">
        <f>IF(R30="","",IFS(AC31="H","Carga Sugerida: "&amp;ROUNDUP(AF30/2,0)&amp;" kg de cada lado (Total: "&amp;ROUNDUP(AF30/2,0)*2&amp;" kg)",AC31="C","Este exercício usa o Peso Corporal como carga",AC31="E","Este exercício usa a resistência da banda elástica como carga",AC31="O","Carga Sugerida: "&amp;INT(AF30)&amp;" kg",TRUE,""))</f>
        <v/>
      </c>
      <c r="AA31" s="66"/>
      <c r="AB31" s="126">
        <f>AB30</f>
        <v>1</v>
      </c>
      <c r="AC31" s="120" t="str">
        <f>LEFT(AF31)</f>
        <v/>
      </c>
      <c r="AD31" s="121" t="str">
        <f>MID(AF31,2,1)</f>
        <v/>
      </c>
      <c r="AE31" s="122" t="str">
        <f>RIGHT(AF31)</f>
        <v/>
      </c>
      <c r="AF31" s="123" t="str">
        <f>IF(AD30="","",OFFSET(Biblioteca!$I$2,MATCH(AD30,Biblioteca!$A$3:$A$200,0),0))</f>
        <v/>
      </c>
      <c r="AG31" s="124"/>
      <c r="AH31" s="125"/>
      <c r="AI31" s="117" t="str">
        <f>IF(AI30="","",IFS(AT31="A",Montagem!$E$230,AV31="T","Realizar a maior quantidade de repetições por "&amp;AN30&amp;" segundos | ",AV31="I",IF(AU31="U","Manter a posição por "&amp;AN30&amp;" segundos de um lado e trocar para o outro na sequência | ","Manter a posição por "&amp;AN30&amp;" segundos | "),AU31="A","Realizar alternadamente "&amp;AN30&amp;" repetições cada lado | ",AU31="U","Realizar "&amp;AN30&amp;" repetições de um lado e trocar para o outro na sequência | ",AT31="P",OFFSET(Biblioteca!$H$2,MATCH(AU30,Biblioteca!$A$3:$A$200,0),0),TRUE,"")&amp;IF(AV31="R","Ajuste a carga para que tenha "&amp;$K$2&amp;" repetições de reserva",""))</f>
        <v/>
      </c>
      <c r="AM31" s="118" t="str">
        <f>IF(AI30="","",IFS(AT31="H","Carga Sugerida: "&amp;ROUNDUP(AW30/2,0)&amp;" kg de cada lado (Total: "&amp;ROUNDUP(AW30/2,0)*2&amp;" kg)",AT31="C","Este exercício usa o Peso Corporal como carga",AT31="E","Este exercício usa a resistência da banda elástica como carga",AT31="O","Carga Sugerida: "&amp;INT(AW30)&amp;" kg",TRUE,""))</f>
        <v/>
      </c>
      <c r="AR31" s="66"/>
      <c r="AS31" s="126">
        <f>AS30</f>
        <v>1</v>
      </c>
      <c r="AT31" s="120" t="str">
        <f>LEFT(AW31)</f>
        <v/>
      </c>
      <c r="AU31" s="121" t="str">
        <f>MID(AW31,2,1)</f>
        <v/>
      </c>
      <c r="AV31" s="122" t="str">
        <f>RIGHT(AW31)</f>
        <v/>
      </c>
      <c r="AW31" s="123" t="str">
        <f>IF(AU30="","",OFFSET(Biblioteca!$I$2,MATCH(AU30,Biblioteca!$A$3:$A$200,0),0))</f>
        <v/>
      </c>
      <c r="AX31" s="124"/>
      <c r="AY31" s="125"/>
      <c r="AZ31" s="117" t="str">
        <f>IF(AZ30="","",IFS(BK31="A",Montagem!$F$230,BM31="T","Realizar a maior quantidade de repetições por "&amp;BE30&amp;" segundos | ",BM31="I",IF(BL31="U","Manter a posição por "&amp;BE30&amp;" segundos de um lado e trocar para o outro na sequência | ","Manter a posição por "&amp;BE30&amp;" segundos | "),BL31="A","Realizar alternadamente "&amp;BE30&amp;" repetições cada lado | ",BL31="U","Realizar "&amp;BE30&amp;" repetições de um lado e trocar para o outro na sequência | ",BK31="P",OFFSET(Biblioteca!$H$2,MATCH(BL30,Biblioteca!$A$3:$A$200,0),0),TRUE,"")&amp;IF(BM31="R","Ajuste a carga para que tenha "&amp;$K$2&amp;" repetições de reserva",""))</f>
        <v/>
      </c>
      <c r="BD31" s="118" t="str">
        <f>IF(AZ30="","",IFS(BK31="H","Carga Sugerida: "&amp;ROUNDUP(BN30/2,0)&amp;" kg de cada lado (Total: "&amp;ROUNDUP(BN30/2,0)*2&amp;" kg)",BK31="C","Este exercício usa o Peso Corporal como carga",BK31="E","Este exercício usa a resistência da banda elástica como carga",BK31="O","Carga Sugerida: "&amp;INT(BN30)&amp;" kg",TRUE,""))</f>
        <v/>
      </c>
      <c r="BI31" s="66"/>
      <c r="BJ31" s="126">
        <f>BJ30</f>
        <v>1</v>
      </c>
      <c r="BK31" s="120" t="str">
        <f>LEFT(BN31)</f>
        <v/>
      </c>
      <c r="BL31" s="121" t="str">
        <f>MID(BN31,2,1)</f>
        <v/>
      </c>
      <c r="BM31" s="122" t="str">
        <f>RIGHT(BN31)</f>
        <v/>
      </c>
      <c r="BN31" s="123" t="str">
        <f>IF(BL30="","",OFFSET(Biblioteca!$I$2,MATCH(BL30,Biblioteca!$A$3:$A$200,0),0))</f>
        <v/>
      </c>
      <c r="BO31" s="124"/>
      <c r="BP31" s="125"/>
      <c r="BQ31" s="117" t="str">
        <f>IF(BQ30="","",IFS(CB31="A",Montagem!$G$230,CD31="T","Realizar a maior quantidade de repetições por "&amp;BV30&amp;" segundos | ",CD31="I",IF(CC31="U","Manter a posição por "&amp;BV30&amp;" segundos de um lado e trocar para o outro na sequência | ","Manter a posição por "&amp;BV30&amp;" segundos | "),CC31="A","Realizar alternadamente "&amp;BV30&amp;" repetições cada lado | ",CC31="U","Realizar "&amp;BV30&amp;" repetições de um lado e trocar para o outro na sequência | ",CB31="P",OFFSET(Biblioteca!$H$2,MATCH(CC30,Biblioteca!$A$3:$A$200,0),0),TRUE,"")&amp;IF(CD31="R","Ajuste a carga para que tenha "&amp;$K$2&amp;" repetições de reserva",""))</f>
        <v/>
      </c>
      <c r="BU31" s="118" t="str">
        <f>IF(BQ30="","",IFS(CB31="H","Carga Sugerida: "&amp;ROUNDUP(CE30/2,0)&amp;" kg de cada lado (Total: "&amp;ROUNDUP(CE30/2,0)*2&amp;" kg)",CB31="C","Este exercício usa o Peso Corporal como carga",CB31="E","Este exercício usa a resistência da banda elástica como carga",CB31="O","Carga Sugerida: "&amp;INT(CE30)&amp;" kg",TRUE,""))</f>
        <v/>
      </c>
      <c r="BZ31" s="66"/>
      <c r="CA31" s="126">
        <f>CA30</f>
        <v>1</v>
      </c>
      <c r="CB31" s="120" t="str">
        <f>LEFT(CE31)</f>
        <v/>
      </c>
      <c r="CC31" s="121" t="str">
        <f>MID(CE31,2,1)</f>
        <v/>
      </c>
      <c r="CD31" s="122" t="str">
        <f>RIGHT(CE31)</f>
        <v/>
      </c>
      <c r="CE31" s="123" t="str">
        <f>IF(CC30="","",OFFSET(Biblioteca!$I$2,MATCH(CC30,Biblioteca!$A$3:$A$200,0),0))</f>
        <v/>
      </c>
      <c r="CF31" s="124"/>
      <c r="CG31" s="125"/>
      <c r="CH31" s="117" t="str">
        <f>IF(CH30="","",IFS(CS31="A",Montagem!$H$230,CU31="T","Realizar a maior quantidade de repetições por "&amp;CM30&amp;" segundos | ",CU31="I",IF(CT31="U","Manter a posição por "&amp;CM30&amp;" segundos de um lado e trocar para o outro na sequência | ","Manter a posição por "&amp;CM30&amp;" segundos | "),CT31="A","Realizar alternadamente "&amp;CM30&amp;" repetições cada lado | ",CT31="U","Realizar "&amp;CM30&amp;" repetições de um lado e trocar para o outro na sequência | ",CS31="P",OFFSET(Biblioteca!$H$2,MATCH(CT30,Biblioteca!$A$3:$A$200,0),0),TRUE,"")&amp;IF(CU31="R","Ajuste a carga para que tenha "&amp;$K$2&amp;" repetições de reserva",""))</f>
        <v/>
      </c>
      <c r="CL31" s="118" t="str">
        <f>IF(CH30="","",IFS(CS31="H","Carga Sugerida: "&amp;ROUNDUP(CV30/2,0)&amp;" kg de cada lado (Total: "&amp;ROUNDUP(CV30/2,0)*2&amp;" kg)",CS31="C","Este exercício usa o Peso Corporal como carga",CS31="E","Este exercício usa a resistência da banda elástica como carga",CS31="O","Carga Sugerida: "&amp;INT(CV30)&amp;" kg",TRUE,""))</f>
        <v/>
      </c>
      <c r="CQ31" s="66"/>
      <c r="CR31" s="126">
        <f>CR30</f>
        <v>1</v>
      </c>
      <c r="CS31" s="120" t="str">
        <f>LEFT(CV31)</f>
        <v/>
      </c>
      <c r="CT31" s="121" t="str">
        <f>MID(CV31,2,1)</f>
        <v/>
      </c>
      <c r="CU31" s="122" t="str">
        <f>RIGHT(CV31)</f>
        <v/>
      </c>
      <c r="CV31" s="123" t="str">
        <f>IF(CT30="","",OFFSET(Biblioteca!$I$2,MATCH(CT30,Biblioteca!$A$3:$A$200,0),0))</f>
        <v/>
      </c>
      <c r="CW31" s="124"/>
      <c r="CX31" s="125"/>
      <c r="CY31" s="117" t="str">
        <f>IF(CY30="","",IFS(DJ31="A",Montagem!$I$230,DL31="T","Realizar a maior quantidade de repetições por "&amp;DD30&amp;" segundos | ",DL31="I",IF(DK31="U","Manter a posição por "&amp;DD30&amp;" segundos de um lado e trocar para o outro na sequência | ","Manter a posição por "&amp;DD30&amp;" segundos | "),DK31="A","Realizar alternadamente "&amp;DD30&amp;" repetições cada lado | ",DK31="U","Realizar "&amp;DD30&amp;" repetições de um lado e trocar para o outro na sequência | ",DJ31="P",OFFSET(Biblioteca!$H$2,MATCH(DK30,Biblioteca!$A$3:$A$200,0),0),TRUE,"")&amp;IF(DL31="R","Ajuste a carga para que tenha "&amp;$K$2&amp;" repetições de reserva",""))</f>
        <v/>
      </c>
      <c r="DC31" s="118" t="str">
        <f>IF(CY30="","",IFS(DJ31="H","Carga Sugerida: "&amp;ROUNDUP(DM30/2,0)&amp;" kg de cada lado (Total: "&amp;ROUNDUP(DM30/2,0)*2&amp;" kg)",DJ31="C","Este exercício usa o Peso Corporal como carga",DJ31="E","Este exercício usa a resistência da banda elástica como carga",DJ31="O","Carga Sugerida: "&amp;INT(DM30)&amp;" kg",TRUE,""))</f>
        <v/>
      </c>
      <c r="DH31" s="66"/>
      <c r="DI31" s="126">
        <f>DI30</f>
        <v>1</v>
      </c>
      <c r="DJ31" s="120" t="str">
        <f>LEFT(DM31)</f>
        <v/>
      </c>
      <c r="DK31" s="121" t="str">
        <f>MID(DM31,2,1)</f>
        <v/>
      </c>
      <c r="DL31" s="122" t="str">
        <f>RIGHT(DM31)</f>
        <v/>
      </c>
      <c r="DM31" s="123" t="str">
        <f>IF(DK30="","",OFFSET(Biblioteca!$I$2,MATCH(DK30,Biblioteca!$A$3:$A$200,0),0))</f>
        <v/>
      </c>
      <c r="DN31" s="124"/>
      <c r="DO31" s="125"/>
      <c r="DP31" s="57"/>
      <c r="DQ31" s="56"/>
      <c r="DR31" s="56"/>
      <c r="DS31" s="56"/>
      <c r="DT31" s="56"/>
      <c r="DU31" s="56"/>
      <c r="DV31" s="56"/>
      <c r="DW31" s="56"/>
      <c r="DX31" s="56"/>
      <c r="DY31" s="56"/>
    </row>
    <row r="32">
      <c r="A32" s="115" t="str">
        <f>IF(M32="","",HYPERLINK(OFFSET(Biblioteca!$B$2,MATCH(M32,Biblioteca!$A$3:$A$200,0),0),M32))</f>
        <v/>
      </c>
      <c r="D32" s="103" t="str">
        <f>Montagem!Q224</f>
        <v/>
      </c>
      <c r="E32" s="104" t="str">
        <f>Montagem!R224</f>
        <v/>
      </c>
      <c r="F32" s="104" t="str">
        <f>Montagem!S224</f>
        <v/>
      </c>
      <c r="G32" s="104" t="str">
        <f>Montagem!T224</f>
        <v/>
      </c>
      <c r="H32" s="104" t="str">
        <f>Montagem!U224</f>
        <v/>
      </c>
      <c r="I32" s="132" t="str">
        <f>Montagem!V224</f>
        <v/>
      </c>
      <c r="J32" s="105"/>
      <c r="K32" s="106">
        <f>Montagem!K224</f>
        <v>1</v>
      </c>
      <c r="L32" s="111" t="str">
        <f>Montagem!W224</f>
        <v/>
      </c>
      <c r="M32" s="111" t="str">
        <f>Montagem!L224</f>
        <v/>
      </c>
      <c r="N32" s="111" t="str">
        <f>Montagem!X224</f>
        <v/>
      </c>
      <c r="O32" s="106" t="str">
        <f>IF(N32="",L32,N32)</f>
        <v/>
      </c>
      <c r="P32" s="106" t="str">
        <f>IF(L33="C",'Dados de Base'!$D$5*0.1,IF(L33="E",5,IF(J32="",O32,J32)))</f>
        <v/>
      </c>
      <c r="Q32" s="108"/>
      <c r="R32" s="115" t="str">
        <f>IF(AD32="","",HYPERLINK(OFFSET(Biblioteca!$B$2,MATCH(AD32,Biblioteca!$A$3:$A$200,0),0),AD32))</f>
        <v/>
      </c>
      <c r="U32" s="109" t="str">
        <f>Montagem!AF224</f>
        <v/>
      </c>
      <c r="V32" s="110" t="str">
        <f>Montagem!AG224</f>
        <v/>
      </c>
      <c r="W32" s="110" t="str">
        <f>Montagem!AH224</f>
        <v/>
      </c>
      <c r="X32" s="110" t="str">
        <f>Montagem!AI224</f>
        <v/>
      </c>
      <c r="Y32" s="110" t="str">
        <f>Montagem!AJ224</f>
        <v/>
      </c>
      <c r="Z32" s="110" t="str">
        <f>Montagem!AK224</f>
        <v/>
      </c>
      <c r="AA32" s="113"/>
      <c r="AB32" s="111">
        <f>Montagem!Z224</f>
        <v>1</v>
      </c>
      <c r="AC32" s="111" t="str">
        <f>Montagem!AL224</f>
        <v/>
      </c>
      <c r="AD32" s="129" t="str">
        <f>Montagem!AA224</f>
        <v/>
      </c>
      <c r="AE32" s="111" t="str">
        <f>Montagem!AM224</f>
        <v/>
      </c>
      <c r="AF32" s="106" t="str">
        <f>IF(AE32="",AC32,AE32)</f>
        <v/>
      </c>
      <c r="AG32" s="106" t="str">
        <f>IF(AC33="C",'Dados de Base'!$D$5*0.1,IF(AC33="E",5,IF(AA32="",AF32,AA32)))</f>
        <v/>
      </c>
      <c r="AH32" s="108"/>
      <c r="AI32" s="115" t="str">
        <f>IF(AU32="","",HYPERLINK(OFFSET(Biblioteca!$B$2,MATCH(AU32,Biblioteca!$A$3:$A$200,0),0),AU32))</f>
        <v/>
      </c>
      <c r="AL32" s="109" t="str">
        <f>Montagem!AU224</f>
        <v/>
      </c>
      <c r="AM32" s="110" t="str">
        <f>Montagem!AV224</f>
        <v/>
      </c>
      <c r="AN32" s="110" t="str">
        <f>Montagem!AW224</f>
        <v/>
      </c>
      <c r="AO32" s="110" t="str">
        <f>Montagem!AX224</f>
        <v/>
      </c>
      <c r="AP32" s="110" t="str">
        <f>Montagem!AY224</f>
        <v/>
      </c>
      <c r="AQ32" s="110" t="str">
        <f>Montagem!AZ224</f>
        <v/>
      </c>
      <c r="AR32" s="114"/>
      <c r="AS32" s="111">
        <f>Montagem!AO224</f>
        <v>1</v>
      </c>
      <c r="AT32" s="111" t="str">
        <f>Montagem!BA224</f>
        <v/>
      </c>
      <c r="AU32" s="111" t="str">
        <f>Montagem!AP224</f>
        <v/>
      </c>
      <c r="AV32" s="111" t="str">
        <f>Montagem!BB224</f>
        <v/>
      </c>
      <c r="AW32" s="106" t="str">
        <f>IF(AV32="",AT32,AV32)</f>
        <v/>
      </c>
      <c r="AX32" s="106" t="str">
        <f>IF(AT33="C",'Dados de Base'!$D$5*0.1,IF(AT33="E",5,IF(AR32="",AW32,AR32)))</f>
        <v/>
      </c>
      <c r="AY32" s="108"/>
      <c r="AZ32" s="115" t="str">
        <f>IF(BL32="","",HYPERLINK(OFFSET(Biblioteca!$B$2,MATCH(BL32,Biblioteca!$A$3:$A$200,0),0),BL32))</f>
        <v/>
      </c>
      <c r="BC32" s="109" t="str">
        <f>Montagem!BJ224</f>
        <v/>
      </c>
      <c r="BD32" s="110" t="str">
        <f>Montagem!BK224</f>
        <v/>
      </c>
      <c r="BE32" s="110" t="str">
        <f>Montagem!BL224</f>
        <v/>
      </c>
      <c r="BF32" s="110" t="str">
        <f>Montagem!BM224</f>
        <v/>
      </c>
      <c r="BG32" s="110" t="str">
        <f>Montagem!BN224</f>
        <v/>
      </c>
      <c r="BH32" s="110" t="str">
        <f>Montagem!BO224</f>
        <v/>
      </c>
      <c r="BI32" s="113"/>
      <c r="BJ32" s="111">
        <f>Montagem!BD224</f>
        <v>1</v>
      </c>
      <c r="BK32" s="111" t="str">
        <f>Montagem!BP224</f>
        <v/>
      </c>
      <c r="BL32" s="111" t="str">
        <f>Montagem!BE224</f>
        <v/>
      </c>
      <c r="BM32" s="111" t="str">
        <f>Montagem!BQ224</f>
        <v/>
      </c>
      <c r="BN32" s="106" t="str">
        <f>IF(BM32="",BK32,BM32)</f>
        <v/>
      </c>
      <c r="BO32" s="106" t="str">
        <f>IF(BK33="C",'Dados de Base'!$D$5*0.1,IF(BK33="E",5,IF(BI32="",BN32,BI32)))</f>
        <v/>
      </c>
      <c r="BP32" s="108"/>
      <c r="BQ32" s="115" t="str">
        <f>IF(CC32="","",HYPERLINK(OFFSET(Biblioteca!$B$2,MATCH(CC32,Biblioteca!$A$3:$A$200,0),0),CC32))</f>
        <v/>
      </c>
      <c r="BT32" s="109" t="str">
        <f>Montagem!BY224</f>
        <v/>
      </c>
      <c r="BU32" s="110" t="str">
        <f>Montagem!BZ224</f>
        <v/>
      </c>
      <c r="BV32" s="110" t="str">
        <f>Montagem!CA224</f>
        <v/>
      </c>
      <c r="BW32" s="110" t="str">
        <f>Montagem!CB224</f>
        <v/>
      </c>
      <c r="BX32" s="110" t="str">
        <f>Montagem!CC224</f>
        <v/>
      </c>
      <c r="BY32" s="110" t="str">
        <f>Montagem!CD224</f>
        <v/>
      </c>
      <c r="BZ32" s="113"/>
      <c r="CA32" s="111">
        <f>Montagem!BS224</f>
        <v>1</v>
      </c>
      <c r="CB32" s="111" t="str">
        <f>Montagem!CE224</f>
        <v/>
      </c>
      <c r="CC32" s="111" t="str">
        <f>Montagem!BT224</f>
        <v/>
      </c>
      <c r="CD32" s="111" t="str">
        <f>Montagem!CF224</f>
        <v/>
      </c>
      <c r="CE32" s="106" t="str">
        <f>IF(CD32="",CB32,CD32)</f>
        <v/>
      </c>
      <c r="CF32" s="106" t="str">
        <f>IF(CB33="C",'Dados de Base'!$D$5*0.1,IF(CB33="E",5,IF(BZ32="",CE32,BZ32)))</f>
        <v/>
      </c>
      <c r="CG32" s="108"/>
      <c r="CH32" s="115" t="str">
        <f>IF(CT32="","",HYPERLINK(OFFSET(Biblioteca!$B$2,MATCH(CT32,Biblioteca!$A$3:$A$200,0),0),CT32))</f>
        <v/>
      </c>
      <c r="CK32" s="109" t="str">
        <f>Montagem!CN224</f>
        <v/>
      </c>
      <c r="CL32" s="110" t="str">
        <f>Montagem!CO224</f>
        <v/>
      </c>
      <c r="CM32" s="110" t="str">
        <f>Montagem!CP224</f>
        <v/>
      </c>
      <c r="CN32" s="110" t="str">
        <f>Montagem!CQ224</f>
        <v/>
      </c>
      <c r="CO32" s="110" t="str">
        <f>Montagem!CR224</f>
        <v/>
      </c>
      <c r="CP32" s="110" t="str">
        <f>Montagem!CS224</f>
        <v/>
      </c>
      <c r="CQ32" s="114"/>
      <c r="CR32" s="111">
        <f>Montagem!CH224</f>
        <v>1</v>
      </c>
      <c r="CS32" s="111" t="str">
        <f>Montagem!CT224</f>
        <v/>
      </c>
      <c r="CT32" s="111" t="str">
        <f>Montagem!CI224</f>
        <v/>
      </c>
      <c r="CU32" s="111" t="str">
        <f>Montagem!CU224</f>
        <v/>
      </c>
      <c r="CV32" s="106" t="str">
        <f>IF(CU32="",CS32,CU32)</f>
        <v/>
      </c>
      <c r="CW32" s="106" t="str">
        <f>IF(CS33="C",'Dados de Base'!$D$5*0.1,IF(CS33="E",5,IF(CQ32="",CV32,CQ32)))</f>
        <v/>
      </c>
      <c r="CX32" s="108"/>
      <c r="CY32" s="115" t="str">
        <f>IF(DK32="","",HYPERLINK(OFFSET(Biblioteca!$B$2,MATCH(DK32,Biblioteca!$A$3:$A$200,0),0),DK32))</f>
        <v/>
      </c>
      <c r="DB32" s="130" t="str">
        <f>Montagem!DC224</f>
        <v/>
      </c>
      <c r="DC32" s="131" t="str">
        <f>Montagem!DD224</f>
        <v/>
      </c>
      <c r="DD32" s="131" t="str">
        <f>Montagem!DE224</f>
        <v/>
      </c>
      <c r="DE32" s="131" t="str">
        <f>Montagem!DF224</f>
        <v/>
      </c>
      <c r="DF32" s="131" t="str">
        <f>Montagem!DG224</f>
        <v/>
      </c>
      <c r="DG32" s="131" t="str">
        <f>Montagem!DH224</f>
        <v/>
      </c>
      <c r="DH32" s="114"/>
      <c r="DI32" s="111">
        <f>Montagem!CW224</f>
        <v>1</v>
      </c>
      <c r="DJ32" s="111" t="str">
        <f>Montagem!DI224</f>
        <v/>
      </c>
      <c r="DK32" s="111" t="str">
        <f>Montagem!CX224</f>
        <v/>
      </c>
      <c r="DL32" s="111" t="str">
        <f>Montagem!DJ224</f>
        <v/>
      </c>
      <c r="DM32" s="106" t="str">
        <f>IF(DL32="",DJ32,DL32)</f>
        <v/>
      </c>
      <c r="DN32" s="106" t="str">
        <f>IF(DJ33="C",'Dados de Base'!$D$5*0.1,IF(DJ33="E",5,IF(DH32="",DM32,DH32)))</f>
        <v/>
      </c>
      <c r="DO32" s="108"/>
      <c r="DP32" s="106"/>
      <c r="DQ32" s="106"/>
      <c r="DR32" s="106"/>
      <c r="DS32" s="106"/>
      <c r="DT32" s="106"/>
      <c r="DU32" s="106"/>
      <c r="DV32" s="106"/>
      <c r="DW32" s="106"/>
      <c r="DX32" s="106"/>
      <c r="DY32" s="106"/>
    </row>
    <row r="33">
      <c r="A33" s="117" t="str">
        <f>IF(A32="","",IFS(L33="A",Montagem!$C$230,N33="T","Realizar a maior quantidade de repetições por "&amp;F32&amp;" segundos | ",N33="I",IF(M33="U","Manter a posição por "&amp;F32&amp;" segundos de um lado e trocar para o outro na sequência | ","Manter a posição por "&amp;F32&amp;" segundos | "),M33="A","Realizar alternadamente "&amp;F32&amp;" repetições cada lado | ",M33="U","Realizar "&amp;F32&amp;" repetições de um lado e trocar para o outro na sequência | ",L33="P",OFFSET(Biblioteca!$H$2,MATCH(M32,Biblioteca!$A$3:$A$200,0),0),TRUE,"")&amp;IF(N33="R","Ajuste a carga para que tenha "&amp;$K$2&amp;" repetições de reserva",""))</f>
        <v/>
      </c>
      <c r="E33" s="118" t="str">
        <f>IF(A32="","",IFS(L33="H","Carga Sugerida: "&amp;ROUNDUP(O32/2,0)&amp;" kg de cada lado (Total: "&amp;ROUNDUP(O32/2,0)*2&amp;" kg)",L33="C","Este exercício usa o Peso Corporal como carga",L33="E","Este exercício usa a resistência da banda elástica como carga",L33="O","Carga Sugerida: "&amp;INT(O32)&amp;" kg",TRUE,""))</f>
        <v/>
      </c>
      <c r="J33" s="66"/>
      <c r="K33" s="126">
        <f>K32</f>
        <v>1</v>
      </c>
      <c r="L33" s="120" t="str">
        <f>LEFT(O33)</f>
        <v/>
      </c>
      <c r="M33" s="121" t="str">
        <f>MID(O33,2,1)</f>
        <v/>
      </c>
      <c r="N33" s="122" t="str">
        <f>RIGHT(O33)</f>
        <v/>
      </c>
      <c r="O33" s="123" t="str">
        <f>IF(M32="","",OFFSET(Biblioteca!$I$2,MATCH(M32,Biblioteca!$A$3:$A$200,0),0))</f>
        <v/>
      </c>
      <c r="P33" s="124"/>
      <c r="Q33" s="125"/>
      <c r="R33" s="117" t="str">
        <f>IF(R32="","",IFS(AC33="A",Montagem!$D$230,AE33="T","Realizar a maior quantidade de repetições por "&amp;W32&amp;" segundos | ",AE33="I",IF(AD33="U","Manter a posição por "&amp;W32&amp;" segundos de um lado e trocar para o outro na sequência | ","Manter a posição por "&amp;W32&amp;" segundos | "),AD33="A","Realizar alternadamente "&amp;W32&amp;" repetições cada lado | ",AD33="U","Realizar "&amp;W32&amp;" repetições de um lado e trocar para o outro na sequência | ",AC33="P",OFFSET(Biblioteca!$H$2,MATCH(AD32,Biblioteca!$A$3:$A$200,0),0),TRUE,"")&amp;IF(AE33="R","Ajuste a carga para que tenha "&amp;$K$2&amp;" repetições de reserva",""))</f>
        <v/>
      </c>
      <c r="V33" s="118" t="str">
        <f>IF(R32="","",IFS(AC33="H","Carga Sugerida: "&amp;ROUNDUP(AF32/2,0)&amp;" kg de cada lado (Total: "&amp;ROUNDUP(AF32/2,0)*2&amp;" kg)",AC33="C","Este exercício usa o Peso Corporal como carga",AC33="E","Este exercício usa a resistência da banda elástica como carga",AC33="O","Carga Sugerida: "&amp;INT(AF32)&amp;" kg",TRUE,""))</f>
        <v/>
      </c>
      <c r="AA33" s="66"/>
      <c r="AB33" s="126">
        <f>AB32</f>
        <v>1</v>
      </c>
      <c r="AC33" s="120" t="str">
        <f>LEFT(AF33)</f>
        <v/>
      </c>
      <c r="AD33" s="121" t="str">
        <f>MID(AF33,2,1)</f>
        <v/>
      </c>
      <c r="AE33" s="122" t="str">
        <f>RIGHT(AF33)</f>
        <v/>
      </c>
      <c r="AF33" s="123" t="str">
        <f>IF(AD32="","",OFFSET(Biblioteca!$I$2,MATCH(AD32,Biblioteca!$A$3:$A$200,0),0))</f>
        <v/>
      </c>
      <c r="AG33" s="124"/>
      <c r="AH33" s="125"/>
      <c r="AI33" s="117" t="str">
        <f>IF(AI32="","",IFS(AT33="A",Montagem!$E$230,AV33="T","Realizar a maior quantidade de repetições por "&amp;AN32&amp;" segundos | ",AV33="I",IF(AU33="U","Manter a posição por "&amp;AN32&amp;" segundos de um lado e trocar para o outro na sequência | ","Manter a posição por "&amp;AN32&amp;" segundos | "),AU33="A","Realizar alternadamente "&amp;AN32&amp;" repetições cada lado | ",AU33="U","Realizar "&amp;AN32&amp;" repetições de um lado e trocar para o outro na sequência | ",AT33="P",OFFSET(Biblioteca!$H$2,MATCH(AU32,Biblioteca!$A$3:$A$200,0),0),TRUE,"")&amp;IF(AV33="R","Ajuste a carga para que tenha "&amp;$K$2&amp;" repetições de reserva",""))</f>
        <v/>
      </c>
      <c r="AM33" s="118" t="str">
        <f>IF(AI32="","",IFS(AT33="H","Carga Sugerida: "&amp;ROUNDUP(AW32/2,0)&amp;" kg de cada lado (Total: "&amp;ROUNDUP(AW32/2,0)*2&amp;" kg)",AT33="C","Este exercício usa o Peso Corporal como carga",AT33="E","Este exercício usa a resistência da banda elástica como carga",AT33="O","Carga Sugerida: "&amp;INT(AW32)&amp;" kg",TRUE,""))</f>
        <v/>
      </c>
      <c r="AR33" s="66"/>
      <c r="AS33" s="126">
        <f>AS32</f>
        <v>1</v>
      </c>
      <c r="AT33" s="120" t="str">
        <f>LEFT(AW33)</f>
        <v/>
      </c>
      <c r="AU33" s="121" t="str">
        <f>MID(AW33,2,1)</f>
        <v/>
      </c>
      <c r="AV33" s="122" t="str">
        <f>RIGHT(AW33)</f>
        <v/>
      </c>
      <c r="AW33" s="123" t="str">
        <f>IF(AU32="","",OFFSET(Biblioteca!$I$2,MATCH(AU32,Biblioteca!$A$3:$A$200,0),0))</f>
        <v/>
      </c>
      <c r="AX33" s="124"/>
      <c r="AY33" s="125"/>
      <c r="AZ33" s="117" t="str">
        <f>IF(AZ32="","",IFS(BK33="A",Montagem!$F$230,BM33="T","Realizar a maior quantidade de repetições por "&amp;BE32&amp;" segundos | ",BM33="I",IF(BL33="U","Manter a posição por "&amp;BE32&amp;" segundos de um lado e trocar para o outro na sequência | ","Manter a posição por "&amp;BE32&amp;" segundos | "),BL33="A","Realizar alternadamente "&amp;BE32&amp;" repetições cada lado | ",BL33="U","Realizar "&amp;BE32&amp;" repetições de um lado e trocar para o outro na sequência | ",BK33="P",OFFSET(Biblioteca!$H$2,MATCH(BL32,Biblioteca!$A$3:$A$200,0),0),TRUE,"")&amp;IF(BM33="R","Ajuste a carga para que tenha "&amp;$K$2&amp;" repetições de reserva",""))</f>
        <v/>
      </c>
      <c r="BD33" s="118" t="str">
        <f>IF(AZ32="","",IFS(BK33="H","Carga Sugerida: "&amp;ROUNDUP(BN32/2,0)&amp;" kg de cada lado (Total: "&amp;ROUNDUP(BN32/2,0)*2&amp;" kg)",BK33="C","Este exercício usa o Peso Corporal como carga",BK33="E","Este exercício usa a resistência da banda elástica como carga",BK33="O","Carga Sugerida: "&amp;INT(BN32)&amp;" kg",TRUE,""))</f>
        <v/>
      </c>
      <c r="BI33" s="66"/>
      <c r="BJ33" s="126">
        <f>BJ32</f>
        <v>1</v>
      </c>
      <c r="BK33" s="120" t="str">
        <f>LEFT(BN33)</f>
        <v/>
      </c>
      <c r="BL33" s="121" t="str">
        <f>MID(BN33,2,1)</f>
        <v/>
      </c>
      <c r="BM33" s="122" t="str">
        <f>RIGHT(BN33)</f>
        <v/>
      </c>
      <c r="BN33" s="123" t="str">
        <f>IF(BL32="","",OFFSET(Biblioteca!$I$2,MATCH(BL32,Biblioteca!$A$3:$A$200,0),0))</f>
        <v/>
      </c>
      <c r="BO33" s="124"/>
      <c r="BP33" s="125"/>
      <c r="BQ33" s="117" t="str">
        <f>IF(BQ32="","",IFS(CB33="A",Montagem!$G$230,CD33="T","Realizar a maior quantidade de repetições por "&amp;BV32&amp;" segundos | ",CD33="I",IF(CC33="U","Manter a posição por "&amp;BV32&amp;" segundos de um lado e trocar para o outro na sequência | ","Manter a posição por "&amp;BV32&amp;" segundos | "),CC33="A","Realizar alternadamente "&amp;BV32&amp;" repetições cada lado | ",CC33="U","Realizar "&amp;BV32&amp;" repetições de um lado e trocar para o outro na sequência | ",CB33="P",OFFSET(Biblioteca!$H$2,MATCH(CC32,Biblioteca!$A$3:$A$200,0),0),TRUE,"")&amp;IF(CD33="R","Ajuste a carga para que tenha "&amp;$K$2&amp;" repetições de reserva",""))</f>
        <v/>
      </c>
      <c r="BU33" s="118" t="str">
        <f>IF(BQ32="","",IFS(CB33="H","Carga Sugerida: "&amp;ROUNDUP(CE32/2,0)&amp;" kg de cada lado (Total: "&amp;ROUNDUP(CE32/2,0)*2&amp;" kg)",CB33="C","Este exercício usa o Peso Corporal como carga",CB33="E","Este exercício usa a resistência da banda elástica como carga",CB33="O","Carga Sugerida: "&amp;INT(CE32)&amp;" kg",TRUE,""))</f>
        <v/>
      </c>
      <c r="BZ33" s="66"/>
      <c r="CA33" s="126">
        <f>CA32</f>
        <v>1</v>
      </c>
      <c r="CB33" s="120" t="str">
        <f>LEFT(CE33)</f>
        <v/>
      </c>
      <c r="CC33" s="121" t="str">
        <f>MID(CE33,2,1)</f>
        <v/>
      </c>
      <c r="CD33" s="122" t="str">
        <f>RIGHT(CE33)</f>
        <v/>
      </c>
      <c r="CE33" s="123" t="str">
        <f>IF(CC32="","",OFFSET(Biblioteca!$I$2,MATCH(CC32,Biblioteca!$A$3:$A$200,0),0))</f>
        <v/>
      </c>
      <c r="CF33" s="124"/>
      <c r="CG33" s="125"/>
      <c r="CH33" s="117" t="str">
        <f>IF(CH32="","",IFS(CS33="A",Montagem!$H$230,CU33="T","Realizar a maior quantidade de repetições por "&amp;CM32&amp;" segundos | ",CU33="I",IF(CT33="U","Manter a posição por "&amp;CM32&amp;" segundos de um lado e trocar para o outro na sequência | ","Manter a posição por "&amp;CM32&amp;" segundos | "),CT33="A","Realizar alternadamente "&amp;CM32&amp;" repetições cada lado | ",CT33="U","Realizar "&amp;CM32&amp;" repetições de um lado e trocar para o outro na sequência | ",CS33="P",OFFSET(Biblioteca!$H$2,MATCH(CT32,Biblioteca!$A$3:$A$200,0),0),TRUE,"")&amp;IF(CU33="R","Ajuste a carga para que tenha "&amp;$K$2&amp;" repetições de reserva",""))</f>
        <v/>
      </c>
      <c r="CL33" s="118" t="str">
        <f>IF(CH32="","",IFS(CS33="H","Carga Sugerida: "&amp;ROUNDUP(CV32/2,0)&amp;" kg de cada lado (Total: "&amp;ROUNDUP(CV32/2,0)*2&amp;" kg)",CS33="C","Este exercício usa o Peso Corporal como carga",CS33="E","Este exercício usa a resistência da banda elástica como carga",CS33="O","Carga Sugerida: "&amp;INT(CV32)&amp;" kg",TRUE,""))</f>
        <v/>
      </c>
      <c r="CQ33" s="66"/>
      <c r="CR33" s="126">
        <f>CR32</f>
        <v>1</v>
      </c>
      <c r="CS33" s="120" t="str">
        <f>LEFT(CV33)</f>
        <v/>
      </c>
      <c r="CT33" s="121" t="str">
        <f>MID(CV33,2,1)</f>
        <v/>
      </c>
      <c r="CU33" s="122" t="str">
        <f>RIGHT(CV33)</f>
        <v/>
      </c>
      <c r="CV33" s="123" t="str">
        <f>IF(CT32="","",OFFSET(Biblioteca!$I$2,MATCH(CT32,Biblioteca!$A$3:$A$200,0),0))</f>
        <v/>
      </c>
      <c r="CW33" s="124"/>
      <c r="CX33" s="125"/>
      <c r="CY33" s="117" t="str">
        <f>IF(CY32="","",IFS(DJ33="A",Montagem!$I$230,DL33="T","Realizar a maior quantidade de repetições por "&amp;DD32&amp;" segundos | ",DL33="I",IF(DK33="U","Manter a posição por "&amp;DD32&amp;" segundos de um lado e trocar para o outro na sequência | ","Manter a posição por "&amp;DD32&amp;" segundos | "),DK33="A","Realizar alternadamente "&amp;DD32&amp;" repetições cada lado | ",DK33="U","Realizar "&amp;DD32&amp;" repetições de um lado e trocar para o outro na sequência | ",DJ33="P",OFFSET(Biblioteca!$H$2,MATCH(DK32,Biblioteca!$A$3:$A$200,0),0),TRUE,"")&amp;IF(DL33="R","Ajuste a carga para que tenha "&amp;$K$2&amp;" repetições de reserva",""))</f>
        <v/>
      </c>
      <c r="DC33" s="118" t="str">
        <f>IF(CY32="","",IFS(DJ33="H","Carga Sugerida: "&amp;ROUNDUP(DM32/2,0)&amp;" kg de cada lado (Total: "&amp;ROUNDUP(DM32/2,0)*2&amp;" kg)",DJ33="C","Este exercício usa o Peso Corporal como carga",DJ33="E","Este exercício usa a resistência da banda elástica como carga",DJ33="O","Carga Sugerida: "&amp;INT(DM32)&amp;" kg",TRUE,""))</f>
        <v/>
      </c>
      <c r="DH33" s="66"/>
      <c r="DI33" s="126">
        <f>DI32</f>
        <v>1</v>
      </c>
      <c r="DJ33" s="120" t="str">
        <f>LEFT(DM33)</f>
        <v/>
      </c>
      <c r="DK33" s="121" t="str">
        <f>MID(DM33,2,1)</f>
        <v/>
      </c>
      <c r="DL33" s="122" t="str">
        <f>RIGHT(DM33)</f>
        <v/>
      </c>
      <c r="DM33" s="123" t="str">
        <f>IF(DK32="","",OFFSET(Biblioteca!$I$2,MATCH(DK32,Biblioteca!$A$3:$A$200,0),0))</f>
        <v/>
      </c>
      <c r="DN33" s="124"/>
      <c r="DO33" s="125"/>
      <c r="DP33" s="57"/>
      <c r="DQ33" s="56"/>
      <c r="DR33" s="56"/>
      <c r="DS33" s="56"/>
      <c r="DT33" s="56"/>
      <c r="DU33" s="56"/>
      <c r="DV33" s="56"/>
      <c r="DW33" s="56"/>
      <c r="DX33" s="56"/>
      <c r="DY33" s="56"/>
    </row>
    <row r="34">
      <c r="A34" s="115" t="str">
        <f>IF(M34="","",HYPERLINK(OFFSET(Biblioteca!$B$2,MATCH(M34,Biblioteca!$A$3:$A$200,0),0),M34))</f>
        <v/>
      </c>
      <c r="D34" s="103" t="str">
        <f>Montagem!Q225</f>
        <v/>
      </c>
      <c r="E34" s="104" t="str">
        <f>Montagem!R225</f>
        <v/>
      </c>
      <c r="F34" s="104" t="str">
        <f>Montagem!S225</f>
        <v/>
      </c>
      <c r="G34" s="104" t="str">
        <f>Montagem!T225</f>
        <v/>
      </c>
      <c r="H34" s="104" t="str">
        <f>Montagem!U225</f>
        <v/>
      </c>
      <c r="I34" s="132" t="str">
        <f>Montagem!V225</f>
        <v/>
      </c>
      <c r="J34" s="105"/>
      <c r="K34" s="106">
        <f>Montagem!K225</f>
        <v>1</v>
      </c>
      <c r="L34" s="111" t="str">
        <f>Montagem!W225</f>
        <v/>
      </c>
      <c r="M34" s="111" t="str">
        <f>Montagem!L225</f>
        <v/>
      </c>
      <c r="N34" s="111" t="str">
        <f>Montagem!X225</f>
        <v/>
      </c>
      <c r="O34" s="106" t="str">
        <f>IF(N34="",L34,N34)</f>
        <v/>
      </c>
      <c r="P34" s="106" t="str">
        <f>IF(L35="C",'Dados de Base'!$D$5*0.1,IF(L35="E",5,IF(J34="",O34,J34)))</f>
        <v/>
      </c>
      <c r="Q34" s="108"/>
      <c r="R34" s="115" t="str">
        <f>IF(AD34="","",HYPERLINK(OFFSET(Biblioteca!$B$2,MATCH(AD34,Biblioteca!$A$3:$A$200,0),0),AD34))</f>
        <v/>
      </c>
      <c r="U34" s="109" t="str">
        <f>Montagem!AF225</f>
        <v/>
      </c>
      <c r="V34" s="110" t="str">
        <f>Montagem!AG225</f>
        <v/>
      </c>
      <c r="W34" s="110" t="str">
        <f>Montagem!AH225</f>
        <v/>
      </c>
      <c r="X34" s="110" t="str">
        <f>Montagem!AI225</f>
        <v/>
      </c>
      <c r="Y34" s="110" t="str">
        <f>Montagem!AJ225</f>
        <v/>
      </c>
      <c r="Z34" s="110" t="str">
        <f>Montagem!AK225</f>
        <v/>
      </c>
      <c r="AA34" s="113"/>
      <c r="AB34" s="111">
        <f>Montagem!Z225</f>
        <v>1</v>
      </c>
      <c r="AC34" s="111" t="str">
        <f>Montagem!AL225</f>
        <v/>
      </c>
      <c r="AD34" s="129" t="str">
        <f>Montagem!AA225</f>
        <v/>
      </c>
      <c r="AE34" s="111" t="str">
        <f>Montagem!AM225</f>
        <v/>
      </c>
      <c r="AF34" s="106" t="str">
        <f>IF(AE34="",AC34,AE34)</f>
        <v/>
      </c>
      <c r="AG34" s="106" t="str">
        <f>IF(AC35="C",'Dados de Base'!$D$5*0.1,IF(AC35="E",5,IF(AA34="",AF34,AA34)))</f>
        <v/>
      </c>
      <c r="AH34" s="108"/>
      <c r="AI34" s="115" t="str">
        <f>IF(AU34="","",HYPERLINK(OFFSET(Biblioteca!$B$2,MATCH(AU34,Biblioteca!$A$3:$A$200,0),0),AU34))</f>
        <v/>
      </c>
      <c r="AL34" s="109" t="str">
        <f>Montagem!AU225</f>
        <v/>
      </c>
      <c r="AM34" s="110" t="str">
        <f>Montagem!AV225</f>
        <v/>
      </c>
      <c r="AN34" s="110" t="str">
        <f>Montagem!AW225</f>
        <v/>
      </c>
      <c r="AO34" s="110" t="str">
        <f>Montagem!AX225</f>
        <v/>
      </c>
      <c r="AP34" s="110" t="str">
        <f>Montagem!AY225</f>
        <v/>
      </c>
      <c r="AQ34" s="110" t="str">
        <f>Montagem!AZ225</f>
        <v/>
      </c>
      <c r="AR34" s="114"/>
      <c r="AS34" s="111">
        <f>Montagem!AO225</f>
        <v>1</v>
      </c>
      <c r="AT34" s="111" t="str">
        <f>Montagem!BA225</f>
        <v/>
      </c>
      <c r="AU34" s="111" t="str">
        <f>Montagem!AP225</f>
        <v/>
      </c>
      <c r="AV34" s="111" t="str">
        <f>Montagem!BB225</f>
        <v/>
      </c>
      <c r="AW34" s="106" t="str">
        <f>IF(AV34="",AT34,AV34)</f>
        <v/>
      </c>
      <c r="AX34" s="106" t="str">
        <f>IF(AT35="C",'Dados de Base'!$D$5*0.1,IF(AT35="E",5,IF(AR34="",AW34,AR34)))</f>
        <v/>
      </c>
      <c r="AY34" s="108"/>
      <c r="AZ34" s="115" t="str">
        <f>IF(BL34="","",HYPERLINK(OFFSET(Biblioteca!$B$2,MATCH(BL34,Biblioteca!$A$3:$A$200,0),0),BL34))</f>
        <v/>
      </c>
      <c r="BC34" s="109" t="str">
        <f>Montagem!BJ225</f>
        <v/>
      </c>
      <c r="BD34" s="110" t="str">
        <f>Montagem!BK225</f>
        <v/>
      </c>
      <c r="BE34" s="110" t="str">
        <f>Montagem!BL225</f>
        <v/>
      </c>
      <c r="BF34" s="110" t="str">
        <f>Montagem!BM225</f>
        <v/>
      </c>
      <c r="BG34" s="110" t="str">
        <f>Montagem!BN225</f>
        <v/>
      </c>
      <c r="BH34" s="110" t="str">
        <f>Montagem!BO225</f>
        <v/>
      </c>
      <c r="BI34" s="113"/>
      <c r="BJ34" s="111">
        <f>Montagem!BD225</f>
        <v>1</v>
      </c>
      <c r="BK34" s="111" t="str">
        <f>Montagem!BP225</f>
        <v/>
      </c>
      <c r="BL34" s="111" t="str">
        <f>Montagem!BE225</f>
        <v/>
      </c>
      <c r="BM34" s="111" t="str">
        <f>Montagem!BQ225</f>
        <v/>
      </c>
      <c r="BN34" s="106" t="str">
        <f>IF(BM34="",BK34,BM34)</f>
        <v/>
      </c>
      <c r="BO34" s="106" t="str">
        <f>IF(BK35="C",'Dados de Base'!$D$5*0.1,IF(BK35="E",5,IF(BI34="",BN34,BI34)))</f>
        <v/>
      </c>
      <c r="BP34" s="108"/>
      <c r="BQ34" s="115" t="str">
        <f>IF(CC34="","",HYPERLINK(OFFSET(Biblioteca!$B$2,MATCH(CC34,Biblioteca!$A$3:$A$200,0),0),CC34))</f>
        <v/>
      </c>
      <c r="BT34" s="109" t="str">
        <f>Montagem!BY225</f>
        <v/>
      </c>
      <c r="BU34" s="110" t="str">
        <f>Montagem!BZ225</f>
        <v/>
      </c>
      <c r="BV34" s="110" t="str">
        <f>Montagem!CA225</f>
        <v/>
      </c>
      <c r="BW34" s="110" t="str">
        <f>Montagem!CB225</f>
        <v/>
      </c>
      <c r="BX34" s="110" t="str">
        <f>Montagem!CC225</f>
        <v/>
      </c>
      <c r="BY34" s="110" t="str">
        <f>Montagem!CD225</f>
        <v/>
      </c>
      <c r="BZ34" s="113"/>
      <c r="CA34" s="111">
        <f>Montagem!BS225</f>
        <v>1</v>
      </c>
      <c r="CB34" s="111" t="str">
        <f>Montagem!CE225</f>
        <v/>
      </c>
      <c r="CC34" s="111" t="str">
        <f>Montagem!BT225</f>
        <v/>
      </c>
      <c r="CD34" s="111" t="str">
        <f>Montagem!CF225</f>
        <v/>
      </c>
      <c r="CE34" s="106" t="str">
        <f>IF(CD34="",CB34,CD34)</f>
        <v/>
      </c>
      <c r="CF34" s="106" t="str">
        <f>IF(CB35="C",'Dados de Base'!$D$5*0.1,IF(CB35="E",5,IF(BZ34="",CE34,BZ34)))</f>
        <v/>
      </c>
      <c r="CG34" s="108"/>
      <c r="CH34" s="115" t="str">
        <f>IF(CT34="","",HYPERLINK(OFFSET(Biblioteca!$B$2,MATCH(CT34,Biblioteca!$A$3:$A$200,0),0),CT34))</f>
        <v/>
      </c>
      <c r="CK34" s="109" t="str">
        <f>Montagem!CN225</f>
        <v/>
      </c>
      <c r="CL34" s="110" t="str">
        <f>Montagem!CO225</f>
        <v/>
      </c>
      <c r="CM34" s="110" t="str">
        <f>Montagem!CP225</f>
        <v/>
      </c>
      <c r="CN34" s="110" t="str">
        <f>Montagem!CQ225</f>
        <v/>
      </c>
      <c r="CO34" s="110" t="str">
        <f>Montagem!CR225</f>
        <v/>
      </c>
      <c r="CP34" s="110" t="str">
        <f>Montagem!CS225</f>
        <v/>
      </c>
      <c r="CQ34" s="114"/>
      <c r="CR34" s="111">
        <f>Montagem!CH225</f>
        <v>1</v>
      </c>
      <c r="CS34" s="111" t="str">
        <f>Montagem!CT225</f>
        <v/>
      </c>
      <c r="CT34" s="111" t="str">
        <f>Montagem!CI225</f>
        <v/>
      </c>
      <c r="CU34" s="111" t="str">
        <f>Montagem!CU225</f>
        <v/>
      </c>
      <c r="CV34" s="106" t="str">
        <f>IF(CU34="",CS34,CU34)</f>
        <v/>
      </c>
      <c r="CW34" s="106" t="str">
        <f>IF(CS35="C",'Dados de Base'!$D$5*0.1,IF(CS35="E",5,IF(CQ34="",CV34,CQ34)))</f>
        <v/>
      </c>
      <c r="CX34" s="108"/>
      <c r="CY34" s="115" t="str">
        <f>IF(DK34="","",HYPERLINK(OFFSET(Biblioteca!$B$2,MATCH(DK34,Biblioteca!$A$3:$A$200,0),0),DK34))</f>
        <v/>
      </c>
      <c r="DB34" s="130" t="str">
        <f>Montagem!DC225</f>
        <v/>
      </c>
      <c r="DC34" s="131" t="str">
        <f>Montagem!DD225</f>
        <v/>
      </c>
      <c r="DD34" s="131" t="str">
        <f>Montagem!DE225</f>
        <v/>
      </c>
      <c r="DE34" s="131" t="str">
        <f>Montagem!DF225</f>
        <v/>
      </c>
      <c r="DF34" s="131" t="str">
        <f>Montagem!DG225</f>
        <v/>
      </c>
      <c r="DG34" s="131" t="str">
        <f>Montagem!DH225</f>
        <v/>
      </c>
      <c r="DH34" s="114"/>
      <c r="DI34" s="111">
        <f>Montagem!CW225</f>
        <v>1</v>
      </c>
      <c r="DJ34" s="111" t="str">
        <f>Montagem!DI225</f>
        <v/>
      </c>
      <c r="DK34" s="111" t="str">
        <f>Montagem!CX225</f>
        <v/>
      </c>
      <c r="DL34" s="111" t="str">
        <f>Montagem!DJ225</f>
        <v/>
      </c>
      <c r="DM34" s="106" t="str">
        <f>IF(DL34="",DJ34,DL34)</f>
        <v/>
      </c>
      <c r="DN34" s="106" t="str">
        <f>IF(DJ35="C",'Dados de Base'!$D$5*0.1,IF(DJ35="E",5,IF(DH34="",DM34,DH34)))</f>
        <v/>
      </c>
      <c r="DO34" s="108"/>
      <c r="DP34" s="106"/>
      <c r="DQ34" s="106"/>
      <c r="DR34" s="106"/>
      <c r="DS34" s="106"/>
      <c r="DT34" s="106"/>
      <c r="DU34" s="106"/>
      <c r="DV34" s="106"/>
      <c r="DW34" s="106"/>
      <c r="DX34" s="106"/>
      <c r="DY34" s="106"/>
    </row>
    <row r="35">
      <c r="A35" s="117" t="str">
        <f>IF(A34="","",IFS(L35="A",Montagem!$C$230,N35="T","Realizar a maior quantidade de repetições por "&amp;F34&amp;" segundos | ",N35="I",IF(M35="U","Manter a posição por "&amp;F34&amp;" segundos de um lado e trocar para o outro na sequência | ","Manter a posição por "&amp;F34&amp;" segundos | "),M35="A","Realizar alternadamente "&amp;F34&amp;" repetições cada lado | ",M35="U","Realizar "&amp;F34&amp;" repetições de um lado e trocar para o outro na sequência | ",L35="P",OFFSET(Biblioteca!$H$2,MATCH(M34,Biblioteca!$A$3:$A$200,0),0),TRUE,"")&amp;IF(N35="R","Ajuste a carga para que tenha "&amp;$K$2&amp;" repetições de reserva",""))</f>
        <v/>
      </c>
      <c r="E35" s="118" t="str">
        <f>IF(A34="","",IFS(L35="H","Carga Sugerida: "&amp;ROUNDUP(O34/2,0)&amp;" kg de cada lado (Total: "&amp;ROUNDUP(O34/2,0)*2&amp;" kg)",L35="C","Este exercício usa o Peso Corporal como carga",L35="E","Este exercício usa a resistência da banda elástica como carga",L35="O","Carga Sugerida: "&amp;INT(O34)&amp;" kg",TRUE,""))</f>
        <v/>
      </c>
      <c r="J35" s="66"/>
      <c r="K35" s="126">
        <f>K34</f>
        <v>1</v>
      </c>
      <c r="L35" s="120" t="str">
        <f>LEFT(O35)</f>
        <v/>
      </c>
      <c r="M35" s="121" t="str">
        <f>MID(O35,2,1)</f>
        <v/>
      </c>
      <c r="N35" s="122" t="str">
        <f>RIGHT(O35)</f>
        <v/>
      </c>
      <c r="O35" s="123" t="str">
        <f>IF(M34="","",OFFSET(Biblioteca!$I$2,MATCH(M34,Biblioteca!$A$3:$A$200,0),0))</f>
        <v/>
      </c>
      <c r="P35" s="124"/>
      <c r="Q35" s="125"/>
      <c r="R35" s="117" t="str">
        <f>IF(R34="","",IFS(AC35="A",Montagem!$D$230,AE35="T","Realizar a maior quantidade de repetições por "&amp;W34&amp;" segundos | ",AE35="I",IF(AD35="U","Manter a posição por "&amp;W34&amp;" segundos de um lado e trocar para o outro na sequência | ","Manter a posição por "&amp;W34&amp;" segundos | "),AD35="A","Realizar alternadamente "&amp;W34&amp;" repetições cada lado | ",AD35="U","Realizar "&amp;W34&amp;" repetições de um lado e trocar para o outro na sequência | ",AC35="P",OFFSET(Biblioteca!$H$2,MATCH(AD34,Biblioteca!$A$3:$A$200,0),0),TRUE,"")&amp;IF(AE35="R","Ajuste a carga para que tenha "&amp;$K$2&amp;" repetições de reserva",""))</f>
        <v/>
      </c>
      <c r="V35" s="118" t="str">
        <f>IF(R34="","",IFS(AC35="H","Carga Sugerida: "&amp;ROUNDUP(AF34/2,0)&amp;" kg de cada lado (Total: "&amp;ROUNDUP(AF34/2,0)*2&amp;" kg)",AC35="C","Este exercício usa o Peso Corporal como carga",AC35="E","Este exercício usa a resistência da banda elástica como carga",AC35="O","Carga Sugerida: "&amp;INT(AF34)&amp;" kg",TRUE,""))</f>
        <v/>
      </c>
      <c r="AA35" s="66"/>
      <c r="AB35" s="126">
        <f>AB34</f>
        <v>1</v>
      </c>
      <c r="AC35" s="120" t="str">
        <f>LEFT(AF35)</f>
        <v/>
      </c>
      <c r="AD35" s="121" t="str">
        <f>MID(AF35,2,1)</f>
        <v/>
      </c>
      <c r="AE35" s="122" t="str">
        <f>RIGHT(AF35)</f>
        <v/>
      </c>
      <c r="AF35" s="123" t="str">
        <f>IF(AD34="","",OFFSET(Biblioteca!$I$2,MATCH(AD34,Biblioteca!$A$3:$A$200,0),0))</f>
        <v/>
      </c>
      <c r="AG35" s="124"/>
      <c r="AH35" s="125"/>
      <c r="AI35" s="117" t="str">
        <f>IF(AI34="","",IFS(AT35="A",Montagem!$E$230,AV35="T","Realizar a maior quantidade de repetições por "&amp;AN34&amp;" segundos | ",AV35="I",IF(AU35="U","Manter a posição por "&amp;AN34&amp;" segundos de um lado e trocar para o outro na sequência | ","Manter a posição por "&amp;AN34&amp;" segundos | "),AU35="A","Realizar alternadamente "&amp;AN34&amp;" repetições cada lado | ",AU35="U","Realizar "&amp;AN34&amp;" repetições de um lado e trocar para o outro na sequência | ",AT35="P",OFFSET(Biblioteca!$H$2,MATCH(AU34,Biblioteca!$A$3:$A$200,0),0),TRUE,"")&amp;IF(AV35="R","Ajuste a carga para que tenha "&amp;$K$2&amp;" repetições de reserva",""))</f>
        <v/>
      </c>
      <c r="AM35" s="118" t="str">
        <f>IF(AI34="","",IFS(AT35="H","Carga Sugerida: "&amp;ROUNDUP(AW34/2,0)&amp;" kg de cada lado (Total: "&amp;ROUNDUP(AW34/2,0)*2&amp;" kg)",AT35="C","Este exercício usa o Peso Corporal como carga",AT35="E","Este exercício usa a resistência da banda elástica como carga",AT35="O","Carga Sugerida: "&amp;INT(AW34)&amp;" kg",TRUE,""))</f>
        <v/>
      </c>
      <c r="AR35" s="66"/>
      <c r="AS35" s="126">
        <f>AS34</f>
        <v>1</v>
      </c>
      <c r="AT35" s="120" t="str">
        <f>LEFT(AW35)</f>
        <v/>
      </c>
      <c r="AU35" s="121" t="str">
        <f>MID(AW35,2,1)</f>
        <v/>
      </c>
      <c r="AV35" s="122" t="str">
        <f>RIGHT(AW35)</f>
        <v/>
      </c>
      <c r="AW35" s="123" t="str">
        <f>IF(AU34="","",OFFSET(Biblioteca!$I$2,MATCH(AU34,Biblioteca!$A$3:$A$200,0),0))</f>
        <v/>
      </c>
      <c r="AX35" s="124"/>
      <c r="AY35" s="125"/>
      <c r="AZ35" s="117" t="str">
        <f>IF(AZ34="","",IFS(BK35="A",Montagem!$F$230,BM35="T","Realizar a maior quantidade de repetições por "&amp;BE34&amp;" segundos | ",BM35="I",IF(BL35="U","Manter a posição por "&amp;BE34&amp;" segundos de um lado e trocar para o outro na sequência | ","Manter a posição por "&amp;BE34&amp;" segundos | "),BL35="A","Realizar alternadamente "&amp;BE34&amp;" repetições cada lado | ",BL35="U","Realizar "&amp;BE34&amp;" repetições de um lado e trocar para o outro na sequência | ",BK35="P",OFFSET(Biblioteca!$H$2,MATCH(BL34,Biblioteca!$A$3:$A$200,0),0),TRUE,"")&amp;IF(BM35="R","Ajuste a carga para que tenha "&amp;$K$2&amp;" repetições de reserva",""))</f>
        <v/>
      </c>
      <c r="BD35" s="118" t="str">
        <f>IF(AZ34="","",IFS(BK35="H","Carga Sugerida: "&amp;ROUNDUP(BN34/2,0)&amp;" kg de cada lado (Total: "&amp;ROUNDUP(BN34/2,0)*2&amp;" kg)",BK35="C","Este exercício usa o Peso Corporal como carga",BK35="E","Este exercício usa a resistência da banda elástica como carga",BK35="O","Carga Sugerida: "&amp;INT(BN34)&amp;" kg",TRUE,""))</f>
        <v/>
      </c>
      <c r="BI35" s="66"/>
      <c r="BJ35" s="126">
        <f>BJ34</f>
        <v>1</v>
      </c>
      <c r="BK35" s="120" t="str">
        <f>LEFT(BN35)</f>
        <v/>
      </c>
      <c r="BL35" s="121" t="str">
        <f>MID(BN35,2,1)</f>
        <v/>
      </c>
      <c r="BM35" s="122" t="str">
        <f>RIGHT(BN35)</f>
        <v/>
      </c>
      <c r="BN35" s="123" t="str">
        <f>IF(BL34="","",OFFSET(Biblioteca!$I$2,MATCH(BL34,Biblioteca!$A$3:$A$200,0),0))</f>
        <v/>
      </c>
      <c r="BO35" s="124"/>
      <c r="BP35" s="125"/>
      <c r="BQ35" s="117" t="str">
        <f>IF(BQ34="","",IFS(CB35="A",Montagem!$G$230,CD35="T","Realizar a maior quantidade de repetições por "&amp;BV34&amp;" segundos | ",CD35="I",IF(CC35="U","Manter a posição por "&amp;BV34&amp;" segundos de um lado e trocar para o outro na sequência | ","Manter a posição por "&amp;BV34&amp;" segundos | "),CC35="A","Realizar alternadamente "&amp;BV34&amp;" repetições cada lado | ",CC35="U","Realizar "&amp;BV34&amp;" repetições de um lado e trocar para o outro na sequência | ",CB35="P",OFFSET(Biblioteca!$H$2,MATCH(CC34,Biblioteca!$A$3:$A$200,0),0),TRUE,"")&amp;IF(CD35="R","Ajuste a carga para que tenha "&amp;$K$2&amp;" repetições de reserva",""))</f>
        <v/>
      </c>
      <c r="BU35" s="118" t="str">
        <f>IF(BQ34="","",IFS(CB35="H","Carga Sugerida: "&amp;ROUNDUP(CE34/2,0)&amp;" kg de cada lado (Total: "&amp;ROUNDUP(CE34/2,0)*2&amp;" kg)",CB35="C","Este exercício usa o Peso Corporal como carga",CB35="E","Este exercício usa a resistência da banda elástica como carga",CB35="O","Carga Sugerida: "&amp;INT(CE34)&amp;" kg",TRUE,""))</f>
        <v/>
      </c>
      <c r="BZ35" s="66"/>
      <c r="CA35" s="126">
        <f>CA34</f>
        <v>1</v>
      </c>
      <c r="CB35" s="120" t="str">
        <f>LEFT(CE35)</f>
        <v/>
      </c>
      <c r="CC35" s="121" t="str">
        <f>MID(CE35,2,1)</f>
        <v/>
      </c>
      <c r="CD35" s="122" t="str">
        <f>RIGHT(CE35)</f>
        <v/>
      </c>
      <c r="CE35" s="123" t="str">
        <f>IF(CC34="","",OFFSET(Biblioteca!$I$2,MATCH(CC34,Biblioteca!$A$3:$A$200,0),0))</f>
        <v/>
      </c>
      <c r="CF35" s="124"/>
      <c r="CG35" s="125"/>
      <c r="CH35" s="117" t="str">
        <f>IF(CH34="","",IFS(CS35="A",Montagem!$H$230,CU35="T","Realizar a maior quantidade de repetições por "&amp;CM34&amp;" segundos | ",CU35="I",IF(CT35="U","Manter a posição por "&amp;CM34&amp;" segundos de um lado e trocar para o outro na sequência | ","Manter a posição por "&amp;CM34&amp;" segundos | "),CT35="A","Realizar alternadamente "&amp;CM34&amp;" repetições cada lado | ",CT35="U","Realizar "&amp;CM34&amp;" repetições de um lado e trocar para o outro na sequência | ",CS35="P",OFFSET(Biblioteca!$H$2,MATCH(CT34,Biblioteca!$A$3:$A$200,0),0),TRUE,"")&amp;IF(CU35="R","Ajuste a carga para que tenha "&amp;$K$2&amp;" repetições de reserva",""))</f>
        <v/>
      </c>
      <c r="CL35" s="118" t="str">
        <f>IF(CH34="","",IFS(CS35="H","Carga Sugerida: "&amp;ROUNDUP(CV34/2,0)&amp;" kg de cada lado (Total: "&amp;ROUNDUP(CV34/2,0)*2&amp;" kg)",CS35="C","Este exercício usa o Peso Corporal como carga",CS35="E","Este exercício usa a resistência da banda elástica como carga",CS35="O","Carga Sugerida: "&amp;INT(CV34)&amp;" kg",TRUE,""))</f>
        <v/>
      </c>
      <c r="CQ35" s="66"/>
      <c r="CR35" s="126">
        <f>CR34</f>
        <v>1</v>
      </c>
      <c r="CS35" s="120" t="str">
        <f>LEFT(CV35)</f>
        <v/>
      </c>
      <c r="CT35" s="121" t="str">
        <f>MID(CV35,2,1)</f>
        <v/>
      </c>
      <c r="CU35" s="122" t="str">
        <f>RIGHT(CV35)</f>
        <v/>
      </c>
      <c r="CV35" s="123" t="str">
        <f>IF(CT34="","",OFFSET(Biblioteca!$I$2,MATCH(CT34,Biblioteca!$A$3:$A$200,0),0))</f>
        <v/>
      </c>
      <c r="CW35" s="124"/>
      <c r="CX35" s="125"/>
      <c r="CY35" s="117" t="str">
        <f>IF(CY34="","",IFS(DJ35="A",Montagem!$I$230,DL35="T","Realizar a maior quantidade de repetições por "&amp;DD34&amp;" segundos | ",DL35="I",IF(DK35="U","Manter a posição por "&amp;DD34&amp;" segundos de um lado e trocar para o outro na sequência | ","Manter a posição por "&amp;DD34&amp;" segundos | "),DK35="A","Realizar alternadamente "&amp;DD34&amp;" repetições cada lado | ",DK35="U","Realizar "&amp;DD34&amp;" repetições de um lado e trocar para o outro na sequência | ",DJ35="P",OFFSET(Biblioteca!$H$2,MATCH(DK34,Biblioteca!$A$3:$A$200,0),0),TRUE,"")&amp;IF(DL35="R","Ajuste a carga para que tenha "&amp;$K$2&amp;" repetições de reserva",""))</f>
        <v/>
      </c>
      <c r="DC35" s="118" t="str">
        <f>IF(CY34="","",IFS(DJ35="H","Carga Sugerida: "&amp;ROUNDUP(DM34/2,0)&amp;" kg de cada lado (Total: "&amp;ROUNDUP(DM34/2,0)*2&amp;" kg)",DJ35="C","Este exercício usa o Peso Corporal como carga",DJ35="E","Este exercício usa a resistência da banda elástica como carga",DJ35="O","Carga Sugerida: "&amp;INT(DM34)&amp;" kg",TRUE,""))</f>
        <v/>
      </c>
      <c r="DH35" s="66"/>
      <c r="DI35" s="126">
        <f>DI34</f>
        <v>1</v>
      </c>
      <c r="DJ35" s="120" t="str">
        <f>LEFT(DM35)</f>
        <v/>
      </c>
      <c r="DK35" s="121" t="str">
        <f>MID(DM35,2,1)</f>
        <v/>
      </c>
      <c r="DL35" s="122" t="str">
        <f>RIGHT(DM35)</f>
        <v/>
      </c>
      <c r="DM35" s="123" t="str">
        <f>IF(DK34="","",OFFSET(Biblioteca!$I$2,MATCH(DK34,Biblioteca!$A$3:$A$200,0),0))</f>
        <v/>
      </c>
      <c r="DN35" s="124"/>
      <c r="DO35" s="125"/>
      <c r="DP35" s="57"/>
      <c r="DQ35" s="56"/>
      <c r="DR35" s="56"/>
      <c r="DS35" s="56"/>
      <c r="DT35" s="56"/>
      <c r="DU35" s="56"/>
      <c r="DV35" s="56"/>
      <c r="DW35" s="56"/>
      <c r="DX35" s="56"/>
      <c r="DY35" s="56"/>
    </row>
    <row r="36">
      <c r="A36" s="115" t="str">
        <f>IF(M36="","",HYPERLINK(OFFSET(Biblioteca!$B$2,MATCH(M36,Biblioteca!$A$3:$A$200,0),0),M36))</f>
        <v/>
      </c>
      <c r="D36" s="103" t="str">
        <f>Montagem!Q226</f>
        <v/>
      </c>
      <c r="E36" s="104" t="str">
        <f>Montagem!R226</f>
        <v/>
      </c>
      <c r="F36" s="104" t="str">
        <f>Montagem!S226</f>
        <v/>
      </c>
      <c r="G36" s="104" t="str">
        <f>Montagem!T226</f>
        <v/>
      </c>
      <c r="H36" s="104" t="str">
        <f>Montagem!U226</f>
        <v/>
      </c>
      <c r="I36" s="132" t="str">
        <f>Montagem!V226</f>
        <v/>
      </c>
      <c r="J36" s="105"/>
      <c r="K36" s="106">
        <f>Montagem!K226</f>
        <v>1</v>
      </c>
      <c r="L36" s="111" t="str">
        <f>Montagem!W226</f>
        <v/>
      </c>
      <c r="M36" s="111" t="str">
        <f>Montagem!L226</f>
        <v/>
      </c>
      <c r="N36" s="111" t="str">
        <f>Montagem!X226</f>
        <v/>
      </c>
      <c r="O36" s="106" t="str">
        <f>IF(N36="",L36,N36)</f>
        <v/>
      </c>
      <c r="P36" s="106" t="str">
        <f>IF(L37="C",'Dados de Base'!$D$5*0.1,IF(L37="E",5,IF(J36="",O36,J36)))</f>
        <v/>
      </c>
      <c r="Q36" s="108"/>
      <c r="R36" s="115" t="str">
        <f>IF(AD36="","",HYPERLINK(OFFSET(Biblioteca!$B$2,MATCH(AD36,Biblioteca!$A$3:$A$200,0),0),AD36))</f>
        <v/>
      </c>
      <c r="U36" s="109" t="str">
        <f>Montagem!AF226</f>
        <v/>
      </c>
      <c r="V36" s="110" t="str">
        <f>Montagem!AG226</f>
        <v/>
      </c>
      <c r="W36" s="110" t="str">
        <f>Montagem!AH226</f>
        <v/>
      </c>
      <c r="X36" s="110" t="str">
        <f>Montagem!AI226</f>
        <v/>
      </c>
      <c r="Y36" s="110" t="str">
        <f>Montagem!AJ226</f>
        <v/>
      </c>
      <c r="Z36" s="110" t="str">
        <f>Montagem!AK226</f>
        <v/>
      </c>
      <c r="AA36" s="113"/>
      <c r="AB36" s="111">
        <f>Montagem!Z226</f>
        <v>1</v>
      </c>
      <c r="AC36" s="111" t="str">
        <f>Montagem!AL226</f>
        <v/>
      </c>
      <c r="AD36" s="129" t="str">
        <f>Montagem!AA226</f>
        <v/>
      </c>
      <c r="AE36" s="111" t="str">
        <f>Montagem!AM226</f>
        <v/>
      </c>
      <c r="AF36" s="106" t="str">
        <f>IF(AE36="",AC36,AE36)</f>
        <v/>
      </c>
      <c r="AG36" s="106" t="str">
        <f>IF(AC37="C",'Dados de Base'!$D$5*0.1,IF(AC37="E",5,IF(AA36="",AF36,AA36)))</f>
        <v/>
      </c>
      <c r="AH36" s="108"/>
      <c r="AI36" s="115" t="str">
        <f>IF(AU36="","",HYPERLINK(OFFSET(Biblioteca!$B$2,MATCH(AU36,Biblioteca!$A$3:$A$200,0),0),AU36))</f>
        <v/>
      </c>
      <c r="AL36" s="109" t="str">
        <f>Montagem!AU226</f>
        <v/>
      </c>
      <c r="AM36" s="110" t="str">
        <f>Montagem!AV226</f>
        <v/>
      </c>
      <c r="AN36" s="110" t="str">
        <f>Montagem!AW226</f>
        <v/>
      </c>
      <c r="AO36" s="110" t="str">
        <f>Montagem!AX226</f>
        <v/>
      </c>
      <c r="AP36" s="110" t="str">
        <f>Montagem!AY226</f>
        <v/>
      </c>
      <c r="AQ36" s="110" t="str">
        <f>Montagem!AZ226</f>
        <v/>
      </c>
      <c r="AR36" s="114"/>
      <c r="AS36" s="111">
        <f>Montagem!AO226</f>
        <v>1</v>
      </c>
      <c r="AT36" s="111" t="str">
        <f>Montagem!BA226</f>
        <v/>
      </c>
      <c r="AU36" s="111" t="str">
        <f>Montagem!AP226</f>
        <v/>
      </c>
      <c r="AV36" s="111" t="str">
        <f>Montagem!BB226</f>
        <v/>
      </c>
      <c r="AW36" s="106" t="str">
        <f>IF(AV36="",AT36,AV36)</f>
        <v/>
      </c>
      <c r="AX36" s="106" t="str">
        <f>IF(AT37="C",'Dados de Base'!$D$5*0.1,IF(AT37="E",5,IF(AR36="",AW36,AR36)))</f>
        <v/>
      </c>
      <c r="AY36" s="108"/>
      <c r="AZ36" s="115" t="str">
        <f>IF(BL36="","",HYPERLINK(OFFSET(Biblioteca!$B$2,MATCH(BL36,Biblioteca!$A$3:$A$200,0),0),BL36))</f>
        <v/>
      </c>
      <c r="BC36" s="109" t="str">
        <f>Montagem!BJ226</f>
        <v/>
      </c>
      <c r="BD36" s="110" t="str">
        <f>Montagem!BK226</f>
        <v/>
      </c>
      <c r="BE36" s="110" t="str">
        <f>Montagem!BL226</f>
        <v/>
      </c>
      <c r="BF36" s="110" t="str">
        <f>Montagem!BM226</f>
        <v/>
      </c>
      <c r="BG36" s="110" t="str">
        <f>Montagem!BN226</f>
        <v/>
      </c>
      <c r="BH36" s="110" t="str">
        <f>Montagem!BO226</f>
        <v/>
      </c>
      <c r="BI36" s="113"/>
      <c r="BJ36" s="111">
        <f>Montagem!BD226</f>
        <v>1</v>
      </c>
      <c r="BK36" s="111" t="str">
        <f>Montagem!BP226</f>
        <v/>
      </c>
      <c r="BL36" s="111" t="str">
        <f>Montagem!BE226</f>
        <v/>
      </c>
      <c r="BM36" s="111" t="str">
        <f>Montagem!BQ226</f>
        <v/>
      </c>
      <c r="BN36" s="106" t="str">
        <f>IF(BM36="",BK36,BM36)</f>
        <v/>
      </c>
      <c r="BO36" s="106" t="str">
        <f>IF(BK37="C",'Dados de Base'!$D$5*0.1,IF(BK37="E",5,IF(BI36="",BN36,BI36)))</f>
        <v/>
      </c>
      <c r="BP36" s="108"/>
      <c r="BQ36" s="115" t="str">
        <f>IF(CC36="","",HYPERLINK(OFFSET(Biblioteca!$B$2,MATCH(CC36,Biblioteca!$A$3:$A$200,0),0),CC36))</f>
        <v/>
      </c>
      <c r="BT36" s="109" t="str">
        <f>Montagem!BY226</f>
        <v/>
      </c>
      <c r="BU36" s="110" t="str">
        <f>Montagem!BZ226</f>
        <v/>
      </c>
      <c r="BV36" s="110" t="str">
        <f>Montagem!CA226</f>
        <v/>
      </c>
      <c r="BW36" s="110" t="str">
        <f>Montagem!CB226</f>
        <v/>
      </c>
      <c r="BX36" s="110" t="str">
        <f>Montagem!CC226</f>
        <v/>
      </c>
      <c r="BY36" s="110" t="str">
        <f>Montagem!CD226</f>
        <v/>
      </c>
      <c r="BZ36" s="113"/>
      <c r="CA36" s="111">
        <f>Montagem!BS226</f>
        <v>1</v>
      </c>
      <c r="CB36" s="111" t="str">
        <f>Montagem!CE226</f>
        <v/>
      </c>
      <c r="CC36" s="111" t="str">
        <f>Montagem!BT226</f>
        <v/>
      </c>
      <c r="CD36" s="111" t="str">
        <f>Montagem!CF226</f>
        <v/>
      </c>
      <c r="CE36" s="106" t="str">
        <f>IF(CD36="",CB36,CD36)</f>
        <v/>
      </c>
      <c r="CF36" s="106" t="str">
        <f>IF(CB37="C",'Dados de Base'!$D$5*0.1,IF(CB37="E",5,IF(BZ36="",CE36,BZ36)))</f>
        <v/>
      </c>
      <c r="CG36" s="108"/>
      <c r="CH36" s="115" t="str">
        <f>IF(CT36="","",HYPERLINK(OFFSET(Biblioteca!$B$2,MATCH(CT36,Biblioteca!$A$3:$A$200,0),0),CT36))</f>
        <v/>
      </c>
      <c r="CK36" s="109" t="str">
        <f>Montagem!CN226</f>
        <v/>
      </c>
      <c r="CL36" s="110" t="str">
        <f>Montagem!CO226</f>
        <v/>
      </c>
      <c r="CM36" s="110" t="str">
        <f>Montagem!CP226</f>
        <v/>
      </c>
      <c r="CN36" s="110" t="str">
        <f>Montagem!CQ226</f>
        <v/>
      </c>
      <c r="CO36" s="110" t="str">
        <f>Montagem!CR226</f>
        <v/>
      </c>
      <c r="CP36" s="110" t="str">
        <f>Montagem!CS226</f>
        <v/>
      </c>
      <c r="CQ36" s="114"/>
      <c r="CR36" s="111">
        <f>Montagem!CH226</f>
        <v>1</v>
      </c>
      <c r="CS36" s="111" t="str">
        <f>Montagem!CT226</f>
        <v/>
      </c>
      <c r="CT36" s="111" t="str">
        <f>Montagem!CI226</f>
        <v/>
      </c>
      <c r="CU36" s="111" t="str">
        <f>Montagem!CU226</f>
        <v/>
      </c>
      <c r="CV36" s="106" t="str">
        <f>IF(CU36="",CS36,CU36)</f>
        <v/>
      </c>
      <c r="CW36" s="106" t="str">
        <f>IF(CS37="C",'Dados de Base'!$D$5*0.1,IF(CS37="E",5,IF(CQ36="",CV36,CQ36)))</f>
        <v/>
      </c>
      <c r="CX36" s="108"/>
      <c r="CY36" s="115" t="str">
        <f>IF(DK36="","",HYPERLINK(OFFSET(Biblioteca!$B$2,MATCH(DK36,Biblioteca!$A$3:$A$200,0),0),DK36))</f>
        <v/>
      </c>
      <c r="DB36" s="130" t="str">
        <f>Montagem!DC226</f>
        <v/>
      </c>
      <c r="DC36" s="131" t="str">
        <f>Montagem!DD226</f>
        <v/>
      </c>
      <c r="DD36" s="131" t="str">
        <f>Montagem!DE226</f>
        <v/>
      </c>
      <c r="DE36" s="131" t="str">
        <f>Montagem!DF226</f>
        <v/>
      </c>
      <c r="DF36" s="131" t="str">
        <f>Montagem!DG226</f>
        <v/>
      </c>
      <c r="DG36" s="131" t="str">
        <f>Montagem!DH226</f>
        <v/>
      </c>
      <c r="DH36" s="114"/>
      <c r="DI36" s="111">
        <f>Montagem!CW226</f>
        <v>1</v>
      </c>
      <c r="DJ36" s="111" t="str">
        <f>Montagem!DI226</f>
        <v/>
      </c>
      <c r="DK36" s="111" t="str">
        <f>Montagem!CX226</f>
        <v/>
      </c>
      <c r="DL36" s="111" t="str">
        <f>Montagem!DJ226</f>
        <v/>
      </c>
      <c r="DM36" s="106" t="str">
        <f>IF(DL36="",DJ36,DL36)</f>
        <v/>
      </c>
      <c r="DN36" s="106" t="str">
        <f>IF(DJ37="C",'Dados de Base'!$D$5*0.1,IF(DJ37="E",5,IF(DH36="",DM36,DH36)))</f>
        <v/>
      </c>
      <c r="DO36" s="108"/>
      <c r="DP36" s="106"/>
      <c r="DQ36" s="106"/>
      <c r="DR36" s="106"/>
      <c r="DS36" s="106"/>
      <c r="DT36" s="106"/>
      <c r="DU36" s="106"/>
      <c r="DV36" s="106"/>
      <c r="DW36" s="106"/>
      <c r="DX36" s="106"/>
      <c r="DY36" s="106"/>
    </row>
    <row r="37">
      <c r="A37" s="117" t="str">
        <f>IF(A36="","",IFS(L37="A",Montagem!$C$230,N37="T","Realizar a maior quantidade de repetições por "&amp;F36&amp;" segundos | ",N37="I",IF(M37="U","Manter a posição por "&amp;F36&amp;" segundos de um lado e trocar para o outro na sequência | ","Manter a posição por "&amp;F36&amp;" segundos | "),M37="A","Realizar alternadamente "&amp;F36&amp;" repetições cada lado | ",M37="U","Realizar "&amp;F36&amp;" repetições de um lado e trocar para o outro na sequência | ",L37="P",OFFSET(Biblioteca!$H$2,MATCH(M36,Biblioteca!$A$3:$A$200,0),0),TRUE,"")&amp;IF(N37="R","Ajuste a carga para que tenha "&amp;$K$2&amp;" repetições de reserva",""))</f>
        <v/>
      </c>
      <c r="E37" s="118" t="str">
        <f>IF(A36="","",IFS(L37="H","Carga Sugerida: "&amp;ROUNDUP(O36/2,0)&amp;" kg de cada lado (Total: "&amp;ROUNDUP(O36/2,0)*2&amp;" kg)",L37="C","Este exercício usa o Peso Corporal como carga",L37="E","Este exercício usa a resistência da banda elástica como carga",L37="O","Carga Sugerida: "&amp;INT(O36)&amp;" kg",TRUE,""))</f>
        <v/>
      </c>
      <c r="J37" s="66"/>
      <c r="K37" s="106">
        <f>K36</f>
        <v>1</v>
      </c>
      <c r="L37" s="120" t="str">
        <f>LEFT(O37)</f>
        <v/>
      </c>
      <c r="M37" s="121" t="str">
        <f>MID(O37,2,1)</f>
        <v/>
      </c>
      <c r="N37" s="122" t="str">
        <f>RIGHT(O37)</f>
        <v/>
      </c>
      <c r="O37" s="123" t="str">
        <f>IF(M36="","",OFFSET(Biblioteca!$I$2,MATCH(M36,Biblioteca!$A$3:$A$200,0),0))</f>
        <v/>
      </c>
      <c r="P37" s="124"/>
      <c r="Q37" s="125"/>
      <c r="R37" s="117" t="str">
        <f>IF(R36="","",IFS(AC37="A",Montagem!$D$230,AE37="T","Realizar a maior quantidade de repetições por "&amp;W36&amp;" segundos | ",AE37="I",IF(AD37="U","Manter a posição por "&amp;W36&amp;" segundos de um lado e trocar para o outro na sequência | ","Manter a posição por "&amp;W36&amp;" segundos | "),AD37="A","Realizar alternadamente "&amp;W36&amp;" repetições cada lado | ",AD37="U","Realizar "&amp;W36&amp;" repetições de um lado e trocar para o outro na sequência | ",AC37="P",OFFSET(Biblioteca!$H$2,MATCH(AD36,Biblioteca!$A$3:$A$200,0),0),TRUE,"")&amp;IF(AE37="R","Ajuste a carga para que tenha "&amp;$K$2&amp;" repetições de reserva",""))</f>
        <v/>
      </c>
      <c r="V37" s="118" t="str">
        <f>IF(R36="","",IFS(AC37="H","Carga Sugerida: "&amp;ROUNDUP(AF36/2,0)&amp;" kg de cada lado (Total: "&amp;ROUNDUP(AF36/2,0)*2&amp;" kg)",AC37="C","Este exercício usa o Peso Corporal como carga",AC37="E","Este exercício usa a resistência da banda elástica como carga",AC37="O","Carga Sugerida: "&amp;INT(AF36)&amp;" kg",TRUE,""))</f>
        <v/>
      </c>
      <c r="AA37" s="66"/>
      <c r="AB37" s="126">
        <f>AB36</f>
        <v>1</v>
      </c>
      <c r="AC37" s="120" t="str">
        <f>LEFT(AF37)</f>
        <v/>
      </c>
      <c r="AD37" s="121" t="str">
        <f>MID(AF37,2,1)</f>
        <v/>
      </c>
      <c r="AE37" s="122" t="str">
        <f>RIGHT(AF37)</f>
        <v/>
      </c>
      <c r="AF37" s="123" t="str">
        <f>IF(AD36="","",OFFSET(Biblioteca!$I$2,MATCH(AD36,Biblioteca!$A$3:$A$200,0),0))</f>
        <v/>
      </c>
      <c r="AG37" s="124"/>
      <c r="AH37" s="125"/>
      <c r="AI37" s="117" t="str">
        <f>IF(AI36="","",IFS(AT37="A",Montagem!$E$230,AV37="T","Realizar a maior quantidade de repetições por "&amp;AN36&amp;" segundos | ",AV37="I",IF(AU37="U","Manter a posição por "&amp;AN36&amp;" segundos de um lado e trocar para o outro na sequência | ","Manter a posição por "&amp;AN36&amp;" segundos | "),AU37="A","Realizar alternadamente "&amp;AN36&amp;" repetições cada lado | ",AU37="U","Realizar "&amp;AN36&amp;" repetições de um lado e trocar para o outro na sequência | ",AT37="P",OFFSET(Biblioteca!$H$2,MATCH(AU36,Biblioteca!$A$3:$A$200,0),0),TRUE,"")&amp;IF(AV37="R","Ajuste a carga para que tenha "&amp;$K$2&amp;" repetições de reserva",""))</f>
        <v/>
      </c>
      <c r="AM37" s="118" t="str">
        <f>IF(AI36="","",IFS(AT37="H","Carga Sugerida: "&amp;ROUNDUP(AW36/2,0)&amp;" kg de cada lado (Total: "&amp;ROUNDUP(AW36/2,0)*2&amp;" kg)",AT37="C","Este exercício usa o Peso Corporal como carga",AT37="E","Este exercício usa a resistência da banda elástica como carga",AT37="O","Carga Sugerida: "&amp;INT(AW36)&amp;" kg",TRUE,""))</f>
        <v/>
      </c>
      <c r="AR37" s="66"/>
      <c r="AS37" s="126">
        <f>AS36</f>
        <v>1</v>
      </c>
      <c r="AT37" s="120" t="str">
        <f>LEFT(AW37)</f>
        <v/>
      </c>
      <c r="AU37" s="121" t="str">
        <f>MID(AW37,2,1)</f>
        <v/>
      </c>
      <c r="AV37" s="122" t="str">
        <f>RIGHT(AW37)</f>
        <v/>
      </c>
      <c r="AW37" s="123" t="str">
        <f>IF(AU36="","",OFFSET(Biblioteca!$I$2,MATCH(AU36,Biblioteca!$A$3:$A$200,0),0))</f>
        <v/>
      </c>
      <c r="AX37" s="124"/>
      <c r="AY37" s="125"/>
      <c r="AZ37" s="117" t="str">
        <f>IF(AZ36="","",IFS(BK37="A",Montagem!$F$230,BM37="T","Realizar a maior quantidade de repetições por "&amp;BE36&amp;" segundos | ",BM37="I",IF(BL37="U","Manter a posição por "&amp;BE36&amp;" segundos de um lado e trocar para o outro na sequência | ","Manter a posição por "&amp;BE36&amp;" segundos | "),BL37="A","Realizar alternadamente "&amp;BE36&amp;" repetições cada lado | ",BL37="U","Realizar "&amp;BE36&amp;" repetições de um lado e trocar para o outro na sequência | ",BK37="P",OFFSET(Biblioteca!$H$2,MATCH(BL36,Biblioteca!$A$3:$A$200,0),0),TRUE,"")&amp;IF(BM37="R","Ajuste a carga para que tenha "&amp;$K$2&amp;" repetições de reserva",""))</f>
        <v/>
      </c>
      <c r="BD37" s="118" t="str">
        <f>IF(AZ36="","",IFS(BK37="H","Carga Sugerida: "&amp;ROUNDUP(BN36/2,0)&amp;" kg de cada lado (Total: "&amp;ROUNDUP(BN36/2,0)*2&amp;" kg)",BK37="C","Este exercício usa o Peso Corporal como carga",BK37="E","Este exercício usa a resistência da banda elástica como carga",BK37="O","Carga Sugerida: "&amp;INT(BN36)&amp;" kg",TRUE,""))</f>
        <v/>
      </c>
      <c r="BI37" s="66"/>
      <c r="BJ37" s="126">
        <f>BJ36</f>
        <v>1</v>
      </c>
      <c r="BK37" s="120" t="str">
        <f>LEFT(BN37)</f>
        <v/>
      </c>
      <c r="BL37" s="121" t="str">
        <f>MID(BN37,2,1)</f>
        <v/>
      </c>
      <c r="BM37" s="122" t="str">
        <f>RIGHT(BN37)</f>
        <v/>
      </c>
      <c r="BN37" s="123" t="str">
        <f>IF(BL36="","",OFFSET(Biblioteca!$I$2,MATCH(BL36,Biblioteca!$A$3:$A$200,0),0))</f>
        <v/>
      </c>
      <c r="BO37" s="124"/>
      <c r="BP37" s="125"/>
      <c r="BQ37" s="117" t="str">
        <f>IF(BQ36="","",IFS(CB37="A",Montagem!$G$230,CD37="T","Realizar a maior quantidade de repetições por "&amp;BV36&amp;" segundos | ",CD37="I",IF(CC37="U","Manter a posição por "&amp;BV36&amp;" segundos de um lado e trocar para o outro na sequência | ","Manter a posição por "&amp;BV36&amp;" segundos | "),CC37="A","Realizar alternadamente "&amp;BV36&amp;" repetições cada lado | ",CC37="U","Realizar "&amp;BV36&amp;" repetições de um lado e trocar para o outro na sequência | ",CB37="P",OFFSET(Biblioteca!$H$2,MATCH(CC36,Biblioteca!$A$3:$A$200,0),0),TRUE,"")&amp;IF(CD37="R","Ajuste a carga para que tenha "&amp;$K$2&amp;" repetições de reserva",""))</f>
        <v/>
      </c>
      <c r="BU37" s="118" t="str">
        <f>IF(BQ36="","",IFS(CB37="H","Carga Sugerida: "&amp;ROUNDUP(CE36/2,0)&amp;" kg de cada lado (Total: "&amp;ROUNDUP(CE36/2,0)*2&amp;" kg)",CB37="C","Este exercício usa o Peso Corporal como carga",CB37="E","Este exercício usa a resistência da banda elástica como carga",CB37="O","Carga Sugerida: "&amp;INT(CE36)&amp;" kg",TRUE,""))</f>
        <v/>
      </c>
      <c r="BZ37" s="66"/>
      <c r="CA37" s="126">
        <f>CA36</f>
        <v>1</v>
      </c>
      <c r="CB37" s="120" t="str">
        <f>LEFT(CE37)</f>
        <v/>
      </c>
      <c r="CC37" s="121" t="str">
        <f>MID(CE37,2,1)</f>
        <v/>
      </c>
      <c r="CD37" s="122" t="str">
        <f>RIGHT(CE37)</f>
        <v/>
      </c>
      <c r="CE37" s="123" t="str">
        <f>IF(CC36="","",OFFSET(Biblioteca!$I$2,MATCH(CC36,Biblioteca!$A$3:$A$200,0),0))</f>
        <v/>
      </c>
      <c r="CF37" s="124"/>
      <c r="CG37" s="125"/>
      <c r="CH37" s="117" t="str">
        <f>IF(CH36="","",IFS(CS37="A",Montagem!$H$230,CU37="T","Realizar a maior quantidade de repetições por "&amp;CM36&amp;" segundos | ",CU37="I",IF(CT37="U","Manter a posição por "&amp;CM36&amp;" segundos de um lado e trocar para o outro na sequência | ","Manter a posição por "&amp;CM36&amp;" segundos | "),CT37="A","Realizar alternadamente "&amp;CM36&amp;" repetições cada lado | ",CT37="U","Realizar "&amp;CM36&amp;" repetições de um lado e trocar para o outro na sequência | ",CS37="P",OFFSET(Biblioteca!$H$2,MATCH(CT36,Biblioteca!$A$3:$A$200,0),0),TRUE,"")&amp;IF(CU37="R","Ajuste a carga para que tenha "&amp;$K$2&amp;" repetições de reserva",""))</f>
        <v/>
      </c>
      <c r="CL37" s="118" t="str">
        <f>IF(CH36="","",IFS(CS37="H","Carga Sugerida: "&amp;ROUNDUP(CV36/2,0)&amp;" kg de cada lado (Total: "&amp;ROUNDUP(CV36/2,0)*2&amp;" kg)",CS37="C","Este exercício usa o Peso Corporal como carga",CS37="E","Este exercício usa a resistência da banda elástica como carga",CS37="O","Carga Sugerida: "&amp;INT(CV36)&amp;" kg",TRUE,""))</f>
        <v/>
      </c>
      <c r="CQ37" s="66"/>
      <c r="CR37" s="126">
        <f>CR36</f>
        <v>1</v>
      </c>
      <c r="CS37" s="120" t="str">
        <f>LEFT(CV37)</f>
        <v/>
      </c>
      <c r="CT37" s="121" t="str">
        <f>MID(CV37,2,1)</f>
        <v/>
      </c>
      <c r="CU37" s="122" t="str">
        <f>RIGHT(CV37)</f>
        <v/>
      </c>
      <c r="CV37" s="123" t="str">
        <f>IF(CT36="","",OFFSET(Biblioteca!$I$2,MATCH(CT36,Biblioteca!$A$3:$A$200,0),0))</f>
        <v/>
      </c>
      <c r="CW37" s="124"/>
      <c r="CX37" s="125"/>
      <c r="CY37" s="117" t="str">
        <f>IF(CY36="","",IFS(DJ37="A",Montagem!$I$230,DL37="T","Realizar a maior quantidade de repetições por "&amp;DD36&amp;" segundos | ",DL37="I",IF(DK37="U","Manter a posição por "&amp;DD36&amp;" segundos de um lado e trocar para o outro na sequência | ","Manter a posição por "&amp;DD36&amp;" segundos | "),DK37="A","Realizar alternadamente "&amp;DD36&amp;" repetições cada lado | ",DK37="U","Realizar "&amp;DD36&amp;" repetições de um lado e trocar para o outro na sequência | ",DJ37="P",OFFSET(Biblioteca!$H$2,MATCH(DK36,Biblioteca!$A$3:$A$200,0),0),TRUE,"")&amp;IF(DL37="R","Ajuste a carga para que tenha "&amp;$K$2&amp;" repetições de reserva",""))</f>
        <v/>
      </c>
      <c r="DC37" s="118" t="str">
        <f>IF(CY36="","",IFS(DJ37="H","Carga Sugerida: "&amp;ROUNDUP(DM36/2,0)&amp;" kg de cada lado (Total: "&amp;ROUNDUP(DM36/2,0)*2&amp;" kg)",DJ37="C","Este exercício usa o Peso Corporal como carga",DJ37="E","Este exercício usa a resistência da banda elástica como carga",DJ37="O","Carga Sugerida: "&amp;INT(DM36)&amp;" kg",TRUE,""))</f>
        <v/>
      </c>
      <c r="DH37" s="66"/>
      <c r="DI37" s="126">
        <f>DI36</f>
        <v>1</v>
      </c>
      <c r="DJ37" s="120" t="str">
        <f>LEFT(DM37)</f>
        <v/>
      </c>
      <c r="DK37" s="121" t="str">
        <f>MID(DM37,2,1)</f>
        <v/>
      </c>
      <c r="DL37" s="122" t="str">
        <f>RIGHT(DM37)</f>
        <v/>
      </c>
      <c r="DM37" s="123" t="str">
        <f>IF(DK36="","",OFFSET(Biblioteca!$I$2,MATCH(DK36,Biblioteca!$A$3:$A$200,0),0))</f>
        <v/>
      </c>
      <c r="DN37" s="124"/>
      <c r="DO37" s="125"/>
      <c r="DP37" s="57"/>
      <c r="DQ37" s="56"/>
      <c r="DR37" s="56"/>
      <c r="DS37" s="56"/>
      <c r="DT37" s="56"/>
      <c r="DU37" s="56"/>
      <c r="DV37" s="56"/>
      <c r="DW37" s="56"/>
      <c r="DX37" s="56"/>
      <c r="DY37" s="56"/>
    </row>
    <row r="38">
      <c r="A38" s="115" t="str">
        <f>IF(M38="","",HYPERLINK(OFFSET(Biblioteca!$B$2,MATCH(M38,Biblioteca!$A$3:$A$200,0),0),M38))</f>
        <v/>
      </c>
      <c r="D38" s="103" t="str">
        <f>Montagem!Q227</f>
        <v/>
      </c>
      <c r="E38" s="104" t="str">
        <f>Montagem!R227</f>
        <v/>
      </c>
      <c r="F38" s="104" t="str">
        <f>Montagem!S227</f>
        <v/>
      </c>
      <c r="G38" s="104" t="str">
        <f>Montagem!T227</f>
        <v/>
      </c>
      <c r="H38" s="104" t="str">
        <f>Montagem!U227</f>
        <v/>
      </c>
      <c r="I38" s="132" t="str">
        <f>Montagem!V227</f>
        <v/>
      </c>
      <c r="J38" s="105"/>
      <c r="K38" s="106">
        <f>Montagem!K227</f>
        <v>1</v>
      </c>
      <c r="L38" s="111" t="str">
        <f>Montagem!W227</f>
        <v/>
      </c>
      <c r="M38" s="111" t="str">
        <f>Montagem!L227</f>
        <v/>
      </c>
      <c r="N38" s="111" t="str">
        <f>Montagem!X227</f>
        <v/>
      </c>
      <c r="O38" s="106" t="str">
        <f>IF(N38="",L38,N38)</f>
        <v/>
      </c>
      <c r="P38" s="106" t="str">
        <f>IF(L39="C",'Dados de Base'!$D$5*0.1,IF(L39="E",5,IF(J38="",O38,J38)))</f>
        <v/>
      </c>
      <c r="Q38" s="108"/>
      <c r="R38" s="115" t="str">
        <f>IF(AD38="","",HYPERLINK(OFFSET(Biblioteca!$B$2,MATCH(AD38,Biblioteca!$A$3:$A$200,0),0),AD38))</f>
        <v/>
      </c>
      <c r="U38" s="109" t="str">
        <f>Montagem!AF227</f>
        <v/>
      </c>
      <c r="V38" s="110" t="str">
        <f>Montagem!AG227</f>
        <v/>
      </c>
      <c r="W38" s="110" t="str">
        <f>Montagem!AH227</f>
        <v/>
      </c>
      <c r="X38" s="110" t="str">
        <f>Montagem!AI227</f>
        <v/>
      </c>
      <c r="Y38" s="110" t="str">
        <f>Montagem!AJ227</f>
        <v/>
      </c>
      <c r="Z38" s="110" t="str">
        <f>Montagem!AK227</f>
        <v/>
      </c>
      <c r="AA38" s="113"/>
      <c r="AB38" s="111">
        <f>Montagem!Z227</f>
        <v>1</v>
      </c>
      <c r="AC38" s="111" t="str">
        <f>Montagem!AL227</f>
        <v/>
      </c>
      <c r="AD38" s="129" t="str">
        <f>Montagem!AA227</f>
        <v/>
      </c>
      <c r="AE38" s="111" t="str">
        <f>Montagem!AM227</f>
        <v/>
      </c>
      <c r="AF38" s="106" t="str">
        <f>IF(AE38="",AC38,AE38)</f>
        <v/>
      </c>
      <c r="AG38" s="106" t="str">
        <f>IF(AC39="C",'Dados de Base'!$D$5*0.1,IF(AC39="E",5,IF(AA38="",AF38,AA38)))</f>
        <v/>
      </c>
      <c r="AH38" s="108"/>
      <c r="AI38" s="115" t="str">
        <f>IF(AU38="","",HYPERLINK(OFFSET(Biblioteca!$B$2,MATCH(AU38,Biblioteca!$A$3:$A$200,0),0),AU38))</f>
        <v/>
      </c>
      <c r="AL38" s="109" t="str">
        <f>Montagem!AU227</f>
        <v/>
      </c>
      <c r="AM38" s="110" t="str">
        <f>Montagem!AV227</f>
        <v/>
      </c>
      <c r="AN38" s="110" t="str">
        <f>Montagem!AW227</f>
        <v/>
      </c>
      <c r="AO38" s="110" t="str">
        <f>Montagem!AX227</f>
        <v/>
      </c>
      <c r="AP38" s="110" t="str">
        <f>Montagem!AY227</f>
        <v/>
      </c>
      <c r="AQ38" s="110" t="str">
        <f>Montagem!AZ227</f>
        <v/>
      </c>
      <c r="AR38" s="114"/>
      <c r="AS38" s="111">
        <f>Montagem!AO227</f>
        <v>1</v>
      </c>
      <c r="AT38" s="111" t="str">
        <f>Montagem!BA227</f>
        <v/>
      </c>
      <c r="AU38" s="111" t="str">
        <f>Montagem!AP227</f>
        <v/>
      </c>
      <c r="AV38" s="111" t="str">
        <f>Montagem!BB227</f>
        <v/>
      </c>
      <c r="AW38" s="106" t="str">
        <f>IF(AV38="",AT38,AV38)</f>
        <v/>
      </c>
      <c r="AX38" s="106" t="str">
        <f>IF(AT39="C",'Dados de Base'!$D$5*0.1,IF(AT39="E",5,IF(AR38="",AW38,AR38)))</f>
        <v/>
      </c>
      <c r="AY38" s="108"/>
      <c r="AZ38" s="115" t="str">
        <f>IF(BL38="","",HYPERLINK(OFFSET(Biblioteca!$B$2,MATCH(BL38,Biblioteca!$A$3:$A$200,0),0),BL38))</f>
        <v/>
      </c>
      <c r="BC38" s="109" t="str">
        <f>Montagem!BJ227</f>
        <v/>
      </c>
      <c r="BD38" s="110" t="str">
        <f>Montagem!BK227</f>
        <v/>
      </c>
      <c r="BE38" s="110" t="str">
        <f>Montagem!BL227</f>
        <v/>
      </c>
      <c r="BF38" s="110" t="str">
        <f>Montagem!BM227</f>
        <v/>
      </c>
      <c r="BG38" s="110" t="str">
        <f>Montagem!BN227</f>
        <v/>
      </c>
      <c r="BH38" s="110" t="str">
        <f>Montagem!BO227</f>
        <v/>
      </c>
      <c r="BI38" s="113"/>
      <c r="BJ38" s="111">
        <f>Montagem!BD227</f>
        <v>1</v>
      </c>
      <c r="BK38" s="111" t="str">
        <f>Montagem!BP227</f>
        <v/>
      </c>
      <c r="BL38" s="111" t="str">
        <f>Montagem!BE227</f>
        <v/>
      </c>
      <c r="BM38" s="111" t="str">
        <f>Montagem!BQ227</f>
        <v/>
      </c>
      <c r="BN38" s="106" t="str">
        <f>IF(BM38="",BK38,BM38)</f>
        <v/>
      </c>
      <c r="BO38" s="106" t="str">
        <f>IF(BK39="C",'Dados de Base'!$D$5*0.1,IF(BK39="E",5,IF(BI38="",BN38,BI38)))</f>
        <v/>
      </c>
      <c r="BP38" s="108"/>
      <c r="BQ38" s="115" t="str">
        <f>IF(CC38="","",HYPERLINK(OFFSET(Biblioteca!$B$2,MATCH(CC38,Biblioteca!$A$3:$A$200,0),0),CC38))</f>
        <v/>
      </c>
      <c r="BT38" s="109" t="str">
        <f>Montagem!BY227</f>
        <v/>
      </c>
      <c r="BU38" s="110" t="str">
        <f>Montagem!BZ227</f>
        <v/>
      </c>
      <c r="BV38" s="110" t="str">
        <f>Montagem!CA227</f>
        <v/>
      </c>
      <c r="BW38" s="110" t="str">
        <f>Montagem!CB227</f>
        <v/>
      </c>
      <c r="BX38" s="110" t="str">
        <f>Montagem!CC227</f>
        <v/>
      </c>
      <c r="BY38" s="110" t="str">
        <f>Montagem!CD227</f>
        <v/>
      </c>
      <c r="BZ38" s="113"/>
      <c r="CA38" s="111">
        <f>Montagem!BS227</f>
        <v>1</v>
      </c>
      <c r="CB38" s="111" t="str">
        <f>Montagem!CE227</f>
        <v/>
      </c>
      <c r="CC38" s="111" t="str">
        <f>Montagem!BT227</f>
        <v/>
      </c>
      <c r="CD38" s="111" t="str">
        <f>Montagem!CF227</f>
        <v/>
      </c>
      <c r="CE38" s="106" t="str">
        <f>IF(CD38="",CB38,CD38)</f>
        <v/>
      </c>
      <c r="CF38" s="106" t="str">
        <f>IF(CB39="C",'Dados de Base'!$D$5*0.1,IF(CB39="E",5,IF(BZ38="",CE38,BZ38)))</f>
        <v/>
      </c>
      <c r="CG38" s="108"/>
      <c r="CH38" s="115" t="str">
        <f>IF(CT38="","",HYPERLINK(OFFSET(Biblioteca!$B$2,MATCH(CT38,Biblioteca!$A$3:$A$200,0),0),CT38))</f>
        <v/>
      </c>
      <c r="CK38" s="109" t="str">
        <f>Montagem!CN227</f>
        <v/>
      </c>
      <c r="CL38" s="110" t="str">
        <f>Montagem!CO227</f>
        <v/>
      </c>
      <c r="CM38" s="110" t="str">
        <f>Montagem!CP227</f>
        <v/>
      </c>
      <c r="CN38" s="110" t="str">
        <f>Montagem!CQ227</f>
        <v/>
      </c>
      <c r="CO38" s="110" t="str">
        <f>Montagem!CR227</f>
        <v/>
      </c>
      <c r="CP38" s="110" t="str">
        <f>Montagem!CS227</f>
        <v/>
      </c>
      <c r="CQ38" s="114"/>
      <c r="CR38" s="111">
        <f>Montagem!CH227</f>
        <v>1</v>
      </c>
      <c r="CS38" s="111" t="str">
        <f>Montagem!CT227</f>
        <v/>
      </c>
      <c r="CT38" s="111" t="str">
        <f>Montagem!CI227</f>
        <v/>
      </c>
      <c r="CU38" s="111" t="str">
        <f>Montagem!CU227</f>
        <v/>
      </c>
      <c r="CV38" s="106" t="str">
        <f>IF(CU38="",CS38,CU38)</f>
        <v/>
      </c>
      <c r="CW38" s="106" t="str">
        <f>IF(CS39="C",'Dados de Base'!$D$5*0.1,IF(CS39="E",5,IF(CQ38="",CV38,CQ38)))</f>
        <v/>
      </c>
      <c r="CX38" s="108"/>
      <c r="CY38" s="115" t="str">
        <f>IF(DK38="","",HYPERLINK(OFFSET(Biblioteca!$B$2,MATCH(DK38,Biblioteca!$A$3:$A$200,0),0),DK38))</f>
        <v/>
      </c>
      <c r="DB38" s="130" t="str">
        <f>Montagem!DC227</f>
        <v/>
      </c>
      <c r="DC38" s="131" t="str">
        <f>Montagem!DD227</f>
        <v/>
      </c>
      <c r="DD38" s="131" t="str">
        <f>Montagem!DE227</f>
        <v/>
      </c>
      <c r="DE38" s="131" t="str">
        <f>Montagem!DF227</f>
        <v/>
      </c>
      <c r="DF38" s="131" t="str">
        <f>Montagem!DG227</f>
        <v/>
      </c>
      <c r="DG38" s="131" t="str">
        <f>Montagem!DH227</f>
        <v/>
      </c>
      <c r="DH38" s="114"/>
      <c r="DI38" s="111">
        <f>Montagem!CW227</f>
        <v>1</v>
      </c>
      <c r="DJ38" s="111" t="str">
        <f>Montagem!DI227</f>
        <v/>
      </c>
      <c r="DK38" s="111" t="str">
        <f>Montagem!CX227</f>
        <v/>
      </c>
      <c r="DL38" s="111" t="str">
        <f>Montagem!DJ227</f>
        <v/>
      </c>
      <c r="DM38" s="106" t="str">
        <f>IF(DL38="",DJ38,DL38)</f>
        <v/>
      </c>
      <c r="DN38" s="106" t="str">
        <f>IF(DJ39="C",'Dados de Base'!$D$5*0.1,IF(DJ39="E",5,IF(DH38="",DM38,DH38)))</f>
        <v/>
      </c>
      <c r="DO38" s="108"/>
      <c r="DP38" s="106"/>
      <c r="DQ38" s="106"/>
      <c r="DR38" s="106"/>
      <c r="DS38" s="106"/>
      <c r="DT38" s="106"/>
      <c r="DU38" s="106"/>
      <c r="DV38" s="106"/>
      <c r="DW38" s="106"/>
      <c r="DX38" s="106"/>
      <c r="DY38" s="106"/>
    </row>
    <row r="39">
      <c r="A39" s="117" t="str">
        <f>IF(A38="","",IFS(L39="A",Montagem!$C$230,N39="T","Realizar a maior quantidade de repetições por "&amp;F38&amp;" segundos | ",N39="I",IF(M39="U","Manter a posição por "&amp;F38&amp;" segundos de um lado e trocar para o outro na sequência | ","Manter a posição por "&amp;F38&amp;" segundos | "),M39="A","Realizar alternadamente "&amp;F38&amp;" repetições cada lado | ",M39="U","Realizar "&amp;F38&amp;" repetições de um lado e trocar para o outro na sequência | ",L39="P",OFFSET(Biblioteca!$H$2,MATCH(M38,Biblioteca!$A$3:$A$200,0),0),TRUE,"")&amp;IF(N39="R","Ajuste a carga para que tenha "&amp;$K$2&amp;" repetições de reserva",""))</f>
        <v/>
      </c>
      <c r="E39" s="118" t="str">
        <f>IF(A38="","",IFS(L39="H","Carga Sugerida: "&amp;ROUNDUP(O38/2,0)&amp;" kg de cada lado (Total: "&amp;ROUNDUP(O38/2,0)*2&amp;" kg)",L39="C","Este exercício usa o Peso Corporal como carga",L39="E","Este exercício usa a resistência da banda elástica como carga",L39="O","Carga Sugerida: "&amp;INT(O38)&amp;" kg",TRUE,""))</f>
        <v/>
      </c>
      <c r="J39" s="66"/>
      <c r="K39" s="106">
        <f>K38</f>
        <v>1</v>
      </c>
      <c r="L39" s="120" t="str">
        <f>LEFT(O39)</f>
        <v/>
      </c>
      <c r="M39" s="121" t="str">
        <f>MID(O39,2,1)</f>
        <v/>
      </c>
      <c r="N39" s="122" t="str">
        <f>RIGHT(O39)</f>
        <v/>
      </c>
      <c r="O39" s="123" t="str">
        <f>IF(M38="","",OFFSET(Biblioteca!$I$2,MATCH(M38,Biblioteca!$A$3:$A$200,0),0))</f>
        <v/>
      </c>
      <c r="P39" s="124"/>
      <c r="Q39" s="125"/>
      <c r="R39" s="117" t="str">
        <f>IF(R38="","",IFS(AC39="A",Montagem!$D$230,AE39="T","Realizar a maior quantidade de repetições por "&amp;W38&amp;" segundos | ",AE39="I",IF(AD39="U","Manter a posição por "&amp;W38&amp;" segundos de um lado e trocar para o outro na sequência | ","Manter a posição por "&amp;W38&amp;" segundos | "),AD39="A","Realizar alternadamente "&amp;W38&amp;" repetições cada lado | ",AD39="U","Realizar "&amp;W38&amp;" repetições de um lado e trocar para o outro na sequência | ",AC39="P",OFFSET(Biblioteca!$H$2,MATCH(AD38,Biblioteca!$A$3:$A$200,0),0),TRUE,"")&amp;IF(AE39="R","Ajuste a carga para que tenha "&amp;$K$2&amp;" repetições de reserva",""))</f>
        <v/>
      </c>
      <c r="V39" s="118" t="str">
        <f>IF(R38="","",IFS(AC39="H","Carga Sugerida: "&amp;ROUNDUP(AF38/2,0)&amp;" kg de cada lado (Total: "&amp;ROUNDUP(AF38/2,0)*2&amp;" kg)",AC39="C","Este exercício usa o Peso Corporal como carga",AC39="E","Este exercício usa a resistência da banda elástica como carga",AC39="O","Carga Sugerida: "&amp;INT(AF38)&amp;" kg",TRUE,""))</f>
        <v/>
      </c>
      <c r="AA39" s="66"/>
      <c r="AB39" s="126">
        <f>AB38</f>
        <v>1</v>
      </c>
      <c r="AC39" s="120" t="str">
        <f>LEFT(AF39)</f>
        <v/>
      </c>
      <c r="AD39" s="121" t="str">
        <f>MID(AF39,2,1)</f>
        <v/>
      </c>
      <c r="AE39" s="122" t="str">
        <f>RIGHT(AF39)</f>
        <v/>
      </c>
      <c r="AF39" s="123" t="str">
        <f>IF(AD38="","",OFFSET(Biblioteca!$I$2,MATCH(AD38,Biblioteca!$A$3:$A$200,0),0))</f>
        <v/>
      </c>
      <c r="AG39" s="124"/>
      <c r="AH39" s="125"/>
      <c r="AI39" s="117" t="str">
        <f>IF(AI38="","",IFS(AT39="A",Montagem!$E$230,AV39="T","Realizar a maior quantidade de repetições por "&amp;AN38&amp;" segundos | ",AV39="I",IF(AU39="U","Manter a posição por "&amp;AN38&amp;" segundos de um lado e trocar para o outro na sequência | ","Manter a posição por "&amp;AN38&amp;" segundos | "),AU39="A","Realizar alternadamente "&amp;AN38&amp;" repetições cada lado | ",AU39="U","Realizar "&amp;AN38&amp;" repetições de um lado e trocar para o outro na sequência | ",AT39="P",OFFSET(Biblioteca!$H$2,MATCH(AU38,Biblioteca!$A$3:$A$200,0),0),TRUE,"")&amp;IF(AV39="R","Ajuste a carga para que tenha "&amp;$K$2&amp;" repetições de reserva",""))</f>
        <v/>
      </c>
      <c r="AM39" s="118" t="str">
        <f>IF(AI38="","",IFS(AT39="H","Carga Sugerida: "&amp;ROUNDUP(AW38/2,0)&amp;" kg de cada lado (Total: "&amp;ROUNDUP(AW38/2,0)*2&amp;" kg)",AT39="C","Este exercício usa o Peso Corporal como carga",AT39="E","Este exercício usa a resistência da banda elástica como carga",AT39="O","Carga Sugerida: "&amp;INT(AW38)&amp;" kg",TRUE,""))</f>
        <v/>
      </c>
      <c r="AR39" s="66"/>
      <c r="AS39" s="126">
        <f>AS38</f>
        <v>1</v>
      </c>
      <c r="AT39" s="120" t="str">
        <f>LEFT(AW39)</f>
        <v/>
      </c>
      <c r="AU39" s="121" t="str">
        <f>MID(AW39,2,1)</f>
        <v/>
      </c>
      <c r="AV39" s="122" t="str">
        <f>RIGHT(AW39)</f>
        <v/>
      </c>
      <c r="AW39" s="123" t="str">
        <f>IF(AU38="","",OFFSET(Biblioteca!$I$2,MATCH(AU38,Biblioteca!$A$3:$A$200,0),0))</f>
        <v/>
      </c>
      <c r="AX39" s="124"/>
      <c r="AY39" s="125"/>
      <c r="AZ39" s="117" t="str">
        <f>IF(AZ38="","",IFS(BK39="A",Montagem!$F$230,BM39="T","Realizar a maior quantidade de repetições por "&amp;BE38&amp;" segundos | ",BM39="I",IF(BL39="U","Manter a posição por "&amp;BE38&amp;" segundos de um lado e trocar para o outro na sequência | ","Manter a posição por "&amp;BE38&amp;" segundos | "),BL39="A","Realizar alternadamente "&amp;BE38&amp;" repetições cada lado | ",BL39="U","Realizar "&amp;BE38&amp;" repetições de um lado e trocar para o outro na sequência | ",BK39="P",OFFSET(Biblioteca!$H$2,MATCH(BL38,Biblioteca!$A$3:$A$200,0),0),TRUE,"")&amp;IF(BM39="R","Ajuste a carga para que tenha "&amp;$K$2&amp;" repetições de reserva",""))</f>
        <v/>
      </c>
      <c r="BD39" s="118" t="str">
        <f>IF(AZ38="","",IFS(BK39="H","Carga Sugerida: "&amp;ROUNDUP(BN38/2,0)&amp;" kg de cada lado (Total: "&amp;ROUNDUP(BN38/2,0)*2&amp;" kg)",BK39="C","Este exercício usa o Peso Corporal como carga",BK39="E","Este exercício usa a resistência da banda elástica como carga",BK39="O","Carga Sugerida: "&amp;INT(BN38)&amp;" kg",TRUE,""))</f>
        <v/>
      </c>
      <c r="BI39" s="66"/>
      <c r="BJ39" s="126">
        <f>BJ38</f>
        <v>1</v>
      </c>
      <c r="BK39" s="120" t="str">
        <f>LEFT(BN39)</f>
        <v/>
      </c>
      <c r="BL39" s="121" t="str">
        <f>MID(BN39,2,1)</f>
        <v/>
      </c>
      <c r="BM39" s="122" t="str">
        <f>RIGHT(BN39)</f>
        <v/>
      </c>
      <c r="BN39" s="123" t="str">
        <f>IF(BL38="","",OFFSET(Biblioteca!$I$2,MATCH(BL38,Biblioteca!$A$3:$A$200,0),0))</f>
        <v/>
      </c>
      <c r="BO39" s="124"/>
      <c r="BP39" s="125"/>
      <c r="BQ39" s="117" t="str">
        <f>IF(BQ38="","",IFS(CB39="A",Montagem!$G$230,CD39="T","Realizar a maior quantidade de repetições por "&amp;BV38&amp;" segundos | ",CD39="I",IF(CC39="U","Manter a posição por "&amp;BV38&amp;" segundos de um lado e trocar para o outro na sequência | ","Manter a posição por "&amp;BV38&amp;" segundos | "),CC39="A","Realizar alternadamente "&amp;BV38&amp;" repetições cada lado | ",CC39="U","Realizar "&amp;BV38&amp;" repetições de um lado e trocar para o outro na sequência | ",CB39="P",OFFSET(Biblioteca!$H$2,MATCH(CC38,Biblioteca!$A$3:$A$200,0),0),TRUE,"")&amp;IF(CD39="R","Ajuste a carga para que tenha "&amp;$K$2&amp;" repetições de reserva",""))</f>
        <v/>
      </c>
      <c r="BU39" s="118" t="str">
        <f>IF(BQ38="","",IFS(CB39="H","Carga Sugerida: "&amp;ROUNDUP(CE38/2,0)&amp;" kg de cada lado (Total: "&amp;ROUNDUP(CE38/2,0)*2&amp;" kg)",CB39="C","Este exercício usa o Peso Corporal como carga",CB39="E","Este exercício usa a resistência da banda elástica como carga",CB39="O","Carga Sugerida: "&amp;INT(CE38)&amp;" kg",TRUE,""))</f>
        <v/>
      </c>
      <c r="BZ39" s="66"/>
      <c r="CA39" s="126">
        <f>CA38</f>
        <v>1</v>
      </c>
      <c r="CB39" s="120" t="str">
        <f>LEFT(CE39)</f>
        <v/>
      </c>
      <c r="CC39" s="121" t="str">
        <f>MID(CE39,2,1)</f>
        <v/>
      </c>
      <c r="CD39" s="122" t="str">
        <f>RIGHT(CE39)</f>
        <v/>
      </c>
      <c r="CE39" s="123" t="str">
        <f>IF(CC38="","",OFFSET(Biblioteca!$I$2,MATCH(CC38,Biblioteca!$A$3:$A$200,0),0))</f>
        <v/>
      </c>
      <c r="CF39" s="124"/>
      <c r="CG39" s="125"/>
      <c r="CH39" s="117" t="str">
        <f>IF(CH38="","",IFS(CS39="A",Montagem!$H$230,CU39="T","Realizar a maior quantidade de repetições por "&amp;CM38&amp;" segundos | ",CU39="I",IF(CT39="U","Manter a posição por "&amp;CM38&amp;" segundos de um lado e trocar para o outro na sequência | ","Manter a posição por "&amp;CM38&amp;" segundos | "),CT39="A","Realizar alternadamente "&amp;CM38&amp;" repetições cada lado | ",CT39="U","Realizar "&amp;CM38&amp;" repetições de um lado e trocar para o outro na sequência | ",CS39="P",OFFSET(Biblioteca!$H$2,MATCH(CT38,Biblioteca!$A$3:$A$200,0),0),TRUE,"")&amp;IF(CU39="R","Ajuste a carga para que tenha "&amp;$K$2&amp;" repetições de reserva",""))</f>
        <v/>
      </c>
      <c r="CL39" s="118" t="str">
        <f>IF(CH38="","",IFS(CS39="H","Carga Sugerida: "&amp;ROUNDUP(CV38/2,0)&amp;" kg de cada lado (Total: "&amp;ROUNDUP(CV38/2,0)*2&amp;" kg)",CS39="C","Este exercício usa o Peso Corporal como carga",CS39="E","Este exercício usa a resistência da banda elástica como carga",CS39="O","Carga Sugerida: "&amp;INT(CV38)&amp;" kg",TRUE,""))</f>
        <v/>
      </c>
      <c r="CQ39" s="66"/>
      <c r="CR39" s="126">
        <f>CR38</f>
        <v>1</v>
      </c>
      <c r="CS39" s="120" t="str">
        <f>LEFT(CV39)</f>
        <v/>
      </c>
      <c r="CT39" s="121" t="str">
        <f>MID(CV39,2,1)</f>
        <v/>
      </c>
      <c r="CU39" s="122" t="str">
        <f>RIGHT(CV39)</f>
        <v/>
      </c>
      <c r="CV39" s="123" t="str">
        <f>IF(CT38="","",OFFSET(Biblioteca!$I$2,MATCH(CT38,Biblioteca!$A$3:$A$200,0),0))</f>
        <v/>
      </c>
      <c r="CW39" s="124"/>
      <c r="CX39" s="125"/>
      <c r="CY39" s="117" t="str">
        <f>IF(CY38="","",IFS(DJ39="A",Montagem!$I$230,DL39="T","Realizar a maior quantidade de repetições por "&amp;DD38&amp;" segundos | ",DL39="I",IF(DK39="U","Manter a posição por "&amp;DD38&amp;" segundos de um lado e trocar para o outro na sequência | ","Manter a posição por "&amp;DD38&amp;" segundos | "),DK39="A","Realizar alternadamente "&amp;DD38&amp;" repetições cada lado | ",DK39="U","Realizar "&amp;DD38&amp;" repetições de um lado e trocar para o outro na sequência | ",DJ39="P",OFFSET(Biblioteca!$H$2,MATCH(DK38,Biblioteca!$A$3:$A$200,0),0),TRUE,"")&amp;IF(DL39="R","Ajuste a carga para que tenha "&amp;$K$2&amp;" repetições de reserva",""))</f>
        <v/>
      </c>
      <c r="DC39" s="118" t="str">
        <f>IF(CY38="","",IFS(DJ39="H","Carga Sugerida: "&amp;ROUNDUP(DM38/2,0)&amp;" kg de cada lado (Total: "&amp;ROUNDUP(DM38/2,0)*2&amp;" kg)",DJ39="C","Este exercício usa o Peso Corporal como carga",DJ39="E","Este exercício usa a resistência da banda elástica como carga",DJ39="O","Carga Sugerida: "&amp;INT(DM38)&amp;" kg",TRUE,""))</f>
        <v/>
      </c>
      <c r="DH39" s="66"/>
      <c r="DI39" s="126">
        <f>DI38</f>
        <v>1</v>
      </c>
      <c r="DJ39" s="120" t="str">
        <f>LEFT(DM39)</f>
        <v/>
      </c>
      <c r="DK39" s="121" t="str">
        <f>MID(DM39,2,1)</f>
        <v/>
      </c>
      <c r="DL39" s="122" t="str">
        <f>RIGHT(DM39)</f>
        <v/>
      </c>
      <c r="DM39" s="123" t="str">
        <f>IF(DK38="","",OFFSET(Biblioteca!$I$2,MATCH(DK38,Biblioteca!$A$3:$A$200,0),0))</f>
        <v/>
      </c>
      <c r="DN39" s="124"/>
      <c r="DO39" s="125"/>
      <c r="DP39" s="57"/>
      <c r="DQ39" s="56"/>
      <c r="DR39" s="56"/>
      <c r="DS39" s="56"/>
      <c r="DT39" s="56"/>
      <c r="DU39" s="56"/>
      <c r="DV39" s="56"/>
      <c r="DW39" s="56"/>
      <c r="DX39" s="56"/>
      <c r="DY39" s="56"/>
    </row>
    <row r="40">
      <c r="A40" s="115" t="str">
        <f>IF(M40="","",HYPERLINK(OFFSET(Biblioteca!$B$2,MATCH(M40,Biblioteca!$A$3:$A$200,0),0),M40))</f>
        <v/>
      </c>
      <c r="D40" s="103" t="str">
        <f>Montagem!Q228</f>
        <v/>
      </c>
      <c r="E40" s="104" t="str">
        <f>Montagem!R228</f>
        <v/>
      </c>
      <c r="F40" s="104" t="str">
        <f>Montagem!S228</f>
        <v/>
      </c>
      <c r="G40" s="104" t="str">
        <f>Montagem!T228</f>
        <v/>
      </c>
      <c r="H40" s="104" t="str">
        <f>Montagem!U228</f>
        <v/>
      </c>
      <c r="I40" s="132" t="str">
        <f>Montagem!V228</f>
        <v/>
      </c>
      <c r="J40" s="105"/>
      <c r="K40" s="106">
        <f>Montagem!K228</f>
        <v>1</v>
      </c>
      <c r="L40" s="111" t="str">
        <f>Montagem!W228</f>
        <v/>
      </c>
      <c r="M40" s="111" t="str">
        <f>Montagem!L228</f>
        <v/>
      </c>
      <c r="N40" s="111" t="str">
        <f>Montagem!X228</f>
        <v/>
      </c>
      <c r="O40" s="106" t="str">
        <f>IF(N40="",L40,N40)</f>
        <v/>
      </c>
      <c r="P40" s="106" t="str">
        <f>IF(L41="C",'Dados de Base'!$D$5*0.1,IF(L41="E",5,IF(J40="",O40,J40)))</f>
        <v/>
      </c>
      <c r="Q40" s="108"/>
      <c r="R40" s="115" t="str">
        <f>IF(AD40="","",HYPERLINK(OFFSET(Biblioteca!$B$2,MATCH(AD40,Biblioteca!$A$3:$A$200,0),0),AD40))</f>
        <v/>
      </c>
      <c r="U40" s="109" t="str">
        <f>Montagem!AF228</f>
        <v/>
      </c>
      <c r="V40" s="110" t="str">
        <f>Montagem!AG228</f>
        <v/>
      </c>
      <c r="W40" s="110" t="str">
        <f>Montagem!AH228</f>
        <v/>
      </c>
      <c r="X40" s="110" t="str">
        <f>Montagem!AI228</f>
        <v/>
      </c>
      <c r="Y40" s="110" t="str">
        <f>Montagem!AJ228</f>
        <v/>
      </c>
      <c r="Z40" s="110" t="str">
        <f>Montagem!AK228</f>
        <v/>
      </c>
      <c r="AA40" s="113"/>
      <c r="AB40" s="111">
        <f>Montagem!Z228</f>
        <v>1</v>
      </c>
      <c r="AC40" s="111" t="str">
        <f>Montagem!AL228</f>
        <v/>
      </c>
      <c r="AD40" s="129" t="str">
        <f>Montagem!AA228</f>
        <v/>
      </c>
      <c r="AE40" s="111" t="str">
        <f>Montagem!AM228</f>
        <v/>
      </c>
      <c r="AF40" s="106" t="str">
        <f>IF(AE40="",AC40,AE40)</f>
        <v/>
      </c>
      <c r="AG40" s="106" t="str">
        <f>IF(AC41="C",'Dados de Base'!$D$5*0.1,IF(AC41="E",5,IF(AA40="",AF40,AA40)))</f>
        <v/>
      </c>
      <c r="AH40" s="108"/>
      <c r="AI40" s="115" t="str">
        <f>IF(AU40="","",HYPERLINK(OFFSET(Biblioteca!$B$2,MATCH(AU40,Biblioteca!$A$3:$A$200,0),0),AU40))</f>
        <v/>
      </c>
      <c r="AL40" s="109" t="str">
        <f>Montagem!AU228</f>
        <v/>
      </c>
      <c r="AM40" s="110" t="str">
        <f>Montagem!AV228</f>
        <v/>
      </c>
      <c r="AN40" s="110" t="str">
        <f>Montagem!AW228</f>
        <v/>
      </c>
      <c r="AO40" s="110" t="str">
        <f>Montagem!AX228</f>
        <v/>
      </c>
      <c r="AP40" s="110" t="str">
        <f>Montagem!AY228</f>
        <v/>
      </c>
      <c r="AQ40" s="110" t="str">
        <f>Montagem!AZ228</f>
        <v/>
      </c>
      <c r="AR40" s="114"/>
      <c r="AS40" s="111">
        <f>Montagem!AO228</f>
        <v>1</v>
      </c>
      <c r="AT40" s="111" t="str">
        <f>Montagem!BA228</f>
        <v/>
      </c>
      <c r="AU40" s="111" t="str">
        <f>Montagem!AP228</f>
        <v/>
      </c>
      <c r="AV40" s="111" t="str">
        <f>Montagem!BB228</f>
        <v/>
      </c>
      <c r="AW40" s="106" t="str">
        <f>IF(AV40="",AT40,AV40)</f>
        <v/>
      </c>
      <c r="AX40" s="106" t="str">
        <f>IF(AT41="C",'Dados de Base'!$D$5*0.1,IF(AT41="E",5,IF(AR40="",AW40,AR40)))</f>
        <v/>
      </c>
      <c r="AY40" s="108"/>
      <c r="AZ40" s="115" t="str">
        <f>IF(BL40="","",HYPERLINK(OFFSET(Biblioteca!$B$2,MATCH(BL40,Biblioteca!$A$3:$A$200,0),0),BL40))</f>
        <v/>
      </c>
      <c r="BC40" s="109" t="str">
        <f>Montagem!BJ228</f>
        <v/>
      </c>
      <c r="BD40" s="110" t="str">
        <f>Montagem!BK228</f>
        <v/>
      </c>
      <c r="BE40" s="110" t="str">
        <f>Montagem!BL228</f>
        <v/>
      </c>
      <c r="BF40" s="110" t="str">
        <f>Montagem!BM228</f>
        <v/>
      </c>
      <c r="BG40" s="110" t="str">
        <f>Montagem!BN228</f>
        <v/>
      </c>
      <c r="BH40" s="110" t="str">
        <f>Montagem!BO228</f>
        <v/>
      </c>
      <c r="BI40" s="113"/>
      <c r="BJ40" s="111">
        <f>Montagem!BD228</f>
        <v>1</v>
      </c>
      <c r="BK40" s="111" t="str">
        <f>Montagem!BP228</f>
        <v/>
      </c>
      <c r="BL40" s="111" t="str">
        <f>Montagem!BE228</f>
        <v/>
      </c>
      <c r="BM40" s="111" t="str">
        <f>Montagem!BQ228</f>
        <v/>
      </c>
      <c r="BN40" s="106" t="str">
        <f>IF(BM40="",BK40,BM40)</f>
        <v/>
      </c>
      <c r="BO40" s="106" t="str">
        <f>IF(BK41="C",'Dados de Base'!$D$5*0.1,IF(BK41="E",5,IF(BI40="",BN40,BI40)))</f>
        <v/>
      </c>
      <c r="BP40" s="108"/>
      <c r="BQ40" s="115" t="str">
        <f>IF(CC40="","",HYPERLINK(OFFSET(Biblioteca!$B$2,MATCH(CC40,Biblioteca!$A$3:$A$200,0),0),CC40))</f>
        <v/>
      </c>
      <c r="BT40" s="109" t="str">
        <f>Montagem!BY228</f>
        <v/>
      </c>
      <c r="BU40" s="110" t="str">
        <f>Montagem!BZ228</f>
        <v/>
      </c>
      <c r="BV40" s="110" t="str">
        <f>Montagem!CA228</f>
        <v/>
      </c>
      <c r="BW40" s="110" t="str">
        <f>Montagem!CB228</f>
        <v/>
      </c>
      <c r="BX40" s="110" t="str">
        <f>Montagem!CC228</f>
        <v/>
      </c>
      <c r="BY40" s="110" t="str">
        <f>Montagem!CD228</f>
        <v/>
      </c>
      <c r="BZ40" s="113"/>
      <c r="CA40" s="111">
        <f>Montagem!BS228</f>
        <v>1</v>
      </c>
      <c r="CB40" s="111" t="str">
        <f>Montagem!CE228</f>
        <v/>
      </c>
      <c r="CC40" s="111" t="str">
        <f>Montagem!BT228</f>
        <v/>
      </c>
      <c r="CD40" s="111" t="str">
        <f>Montagem!CF228</f>
        <v/>
      </c>
      <c r="CE40" s="106" t="str">
        <f>IF(CD40="",CB40,CD40)</f>
        <v/>
      </c>
      <c r="CF40" s="106" t="str">
        <f>IF(CB41="C",'Dados de Base'!$D$5*0.1,IF(CB41="E",5,IF(BZ40="",CE40,BZ40)))</f>
        <v/>
      </c>
      <c r="CG40" s="108"/>
      <c r="CH40" s="115" t="str">
        <f>IF(CT40="","",HYPERLINK(OFFSET(Biblioteca!$B$2,MATCH(CT40,Biblioteca!$A$3:$A$200,0),0),CT40))</f>
        <v/>
      </c>
      <c r="CK40" s="109" t="str">
        <f>Montagem!CN228</f>
        <v/>
      </c>
      <c r="CL40" s="110" t="str">
        <f>Montagem!CO228</f>
        <v/>
      </c>
      <c r="CM40" s="110" t="str">
        <f>Montagem!CP228</f>
        <v/>
      </c>
      <c r="CN40" s="110" t="str">
        <f>Montagem!CQ228</f>
        <v/>
      </c>
      <c r="CO40" s="110" t="str">
        <f>Montagem!CR228</f>
        <v/>
      </c>
      <c r="CP40" s="110" t="str">
        <f>Montagem!CS228</f>
        <v/>
      </c>
      <c r="CQ40" s="114"/>
      <c r="CR40" s="111">
        <f>Montagem!CH228</f>
        <v>1</v>
      </c>
      <c r="CS40" s="111" t="str">
        <f>Montagem!CT228</f>
        <v/>
      </c>
      <c r="CT40" s="111" t="str">
        <f>Montagem!CI228</f>
        <v/>
      </c>
      <c r="CU40" s="111" t="str">
        <f>Montagem!CU228</f>
        <v/>
      </c>
      <c r="CV40" s="106" t="str">
        <f>IF(CU40="",CS40,CU40)</f>
        <v/>
      </c>
      <c r="CW40" s="106" t="str">
        <f>IF(CS41="C",'Dados de Base'!$D$5*0.1,IF(CS41="E",5,IF(CQ40="",CV40,CQ40)))</f>
        <v/>
      </c>
      <c r="CX40" s="108"/>
      <c r="CY40" s="115" t="str">
        <f>IF(DK40="","",HYPERLINK(OFFSET(Biblioteca!$B$2,MATCH(DK40,Biblioteca!$A$3:$A$200,0),0),DK40))</f>
        <v/>
      </c>
      <c r="DB40" s="130" t="str">
        <f>Montagem!DC228</f>
        <v/>
      </c>
      <c r="DC40" s="131" t="str">
        <f>Montagem!DD228</f>
        <v/>
      </c>
      <c r="DD40" s="131" t="str">
        <f>Montagem!DE228</f>
        <v/>
      </c>
      <c r="DE40" s="131" t="str">
        <f>Montagem!DF228</f>
        <v/>
      </c>
      <c r="DF40" s="131" t="str">
        <f>Montagem!DG228</f>
        <v/>
      </c>
      <c r="DG40" s="131" t="str">
        <f>Montagem!DH228</f>
        <v/>
      </c>
      <c r="DH40" s="114"/>
      <c r="DI40" s="111">
        <f>Montagem!CW228</f>
        <v>1</v>
      </c>
      <c r="DJ40" s="111" t="str">
        <f>Montagem!DI228</f>
        <v/>
      </c>
      <c r="DK40" s="111" t="str">
        <f>Montagem!CX228</f>
        <v/>
      </c>
      <c r="DL40" s="111" t="str">
        <f>Montagem!DJ228</f>
        <v/>
      </c>
      <c r="DM40" s="106" t="str">
        <f>IF(DL40="",DJ40,DL40)</f>
        <v/>
      </c>
      <c r="DN40" s="106" t="str">
        <f>IF(DJ41="C",'Dados de Base'!$D$5*0.1,IF(DJ41="E",5,IF(DH40="",DM40,DH40)))</f>
        <v/>
      </c>
      <c r="DO40" s="108"/>
      <c r="DP40" s="106"/>
      <c r="DQ40" s="106"/>
      <c r="DR40" s="106"/>
      <c r="DS40" s="106"/>
      <c r="DT40" s="106"/>
      <c r="DU40" s="106"/>
      <c r="DV40" s="106"/>
      <c r="DW40" s="106"/>
      <c r="DX40" s="106"/>
      <c r="DY40" s="106"/>
    </row>
    <row r="41">
      <c r="A41" s="117" t="str">
        <f>IF(A40="","",IFS(L41="A",Montagem!$C$230,N41="T","Realizar a maior quantidade de repetições por "&amp;F40&amp;" segundos | ",N41="I",IF(M41="U","Manter a posição por "&amp;F40&amp;" segundos de um lado e trocar para o outro na sequência | ","Manter a posição por "&amp;F40&amp;" segundos | "),M41="A","Realizar alternadamente "&amp;F40&amp;" repetições cada lado | ",M41="U","Realizar "&amp;F40&amp;" repetições de um lado e trocar para o outro na sequência | ",L41="P",OFFSET(Biblioteca!$H$2,MATCH(M40,Biblioteca!$A$3:$A$200,0),0),TRUE,"")&amp;IF(N41="R","Ajuste a carga para que tenha "&amp;$K$2&amp;" repetições de reserva",""))</f>
        <v/>
      </c>
      <c r="E41" s="118" t="str">
        <f>IF(A40="","",IFS(L41="H","Carga Sugerida: "&amp;ROUNDUP(O40/2,0)&amp;" kg de cada lado (Total: "&amp;ROUNDUP(O40/2,0)*2&amp;" kg)",L41="C","Este exercício usa o Peso Corporal como carga",L41="E","Este exercício usa a resistência da banda elástica como carga",L41="O","Carga Sugerida: "&amp;INT(O40)&amp;" kg",TRUE,""))</f>
        <v/>
      </c>
      <c r="J41" s="66"/>
      <c r="K41" s="106">
        <f>K40</f>
        <v>1</v>
      </c>
      <c r="L41" s="120" t="str">
        <f>LEFT(O41)</f>
        <v/>
      </c>
      <c r="M41" s="121" t="str">
        <f>MID(O41,2,1)</f>
        <v/>
      </c>
      <c r="N41" s="122" t="str">
        <f>RIGHT(O41)</f>
        <v/>
      </c>
      <c r="O41" s="123" t="str">
        <f>IF(M40="","",OFFSET(Biblioteca!$I$2,MATCH(M40,Biblioteca!$A$3:$A$200,0),0))</f>
        <v/>
      </c>
      <c r="P41" s="124"/>
      <c r="Q41" s="125"/>
      <c r="R41" s="117" t="str">
        <f>IF(R40="","",IFS(AC41="A",Montagem!$D$230,AE41="T","Realizar a maior quantidade de repetições por "&amp;W40&amp;" segundos | ",AE41="I",IF(AD41="U","Manter a posição por "&amp;W40&amp;" segundos de um lado e trocar para o outro na sequência | ","Manter a posição por "&amp;W40&amp;" segundos | "),AD41="A","Realizar alternadamente "&amp;W40&amp;" repetições cada lado | ",AD41="U","Realizar "&amp;W40&amp;" repetições de um lado e trocar para o outro na sequência | ",AC41="P",OFFSET(Biblioteca!$H$2,MATCH(AD40,Biblioteca!$A$3:$A$200,0),0),TRUE,"")&amp;IF(AE41="R","Ajuste a carga para que tenha "&amp;$K$2&amp;" repetições de reserva",""))</f>
        <v/>
      </c>
      <c r="V41" s="118" t="str">
        <f>IF(R40="","",IFS(AC41="H","Carga Sugerida: "&amp;ROUNDUP(AF40/2,0)&amp;" kg de cada lado (Total: "&amp;ROUNDUP(AF40/2,0)*2&amp;" kg)",AC41="C","Este exercício usa o Peso Corporal como carga",AC41="E","Este exercício usa a resistência da banda elástica como carga",AC41="O","Carga Sugerida: "&amp;INT(AF40)&amp;" kg",TRUE,""))</f>
        <v/>
      </c>
      <c r="AA41" s="66"/>
      <c r="AB41" s="126">
        <f>AB40</f>
        <v>1</v>
      </c>
      <c r="AC41" s="120" t="str">
        <f>LEFT(AF41)</f>
        <v/>
      </c>
      <c r="AD41" s="121" t="str">
        <f>MID(AF41,2,1)</f>
        <v/>
      </c>
      <c r="AE41" s="122" t="str">
        <f>RIGHT(AF41)</f>
        <v/>
      </c>
      <c r="AF41" s="123" t="str">
        <f>IF(AD40="","",OFFSET(Biblioteca!$I$2,MATCH(AD40,Biblioteca!$A$3:$A$200,0),0))</f>
        <v/>
      </c>
      <c r="AG41" s="124"/>
      <c r="AH41" s="125"/>
      <c r="AI41" s="117" t="str">
        <f>IF(AI40="","",IFS(AT41="A",Montagem!$E$230,AV41="T","Realizar a maior quantidade de repetições por "&amp;AN40&amp;" segundos | ",AV41="I",IF(AU41="U","Manter a posição por "&amp;AN40&amp;" segundos de um lado e trocar para o outro na sequência | ","Manter a posição por "&amp;AN40&amp;" segundos | "),AU41="A","Realizar alternadamente "&amp;AN40&amp;" repetições cada lado | ",AU41="U","Realizar "&amp;AN40&amp;" repetições de um lado e trocar para o outro na sequência | ",AT41="P",OFFSET(Biblioteca!$H$2,MATCH(AU40,Biblioteca!$A$3:$A$200,0),0),TRUE,"")&amp;IF(AV41="R","Ajuste a carga para que tenha "&amp;$K$2&amp;" repetições de reserva",""))</f>
        <v/>
      </c>
      <c r="AM41" s="118" t="str">
        <f>IF(AI40="","",IFS(AT41="H","Carga Sugerida: "&amp;ROUNDUP(AW40/2,0)&amp;" kg de cada lado (Total: "&amp;ROUNDUP(AW40/2,0)*2&amp;" kg)",AT41="C","Este exercício usa o Peso Corporal como carga",AT41="E","Este exercício usa a resistência da banda elástica como carga",AT41="O","Carga Sugerida: "&amp;INT(AW40)&amp;" kg",TRUE,""))</f>
        <v/>
      </c>
      <c r="AR41" s="66"/>
      <c r="AS41" s="126">
        <f>AS40</f>
        <v>1</v>
      </c>
      <c r="AT41" s="120" t="str">
        <f>LEFT(AW41)</f>
        <v/>
      </c>
      <c r="AU41" s="121" t="str">
        <f>MID(AW41,2,1)</f>
        <v/>
      </c>
      <c r="AV41" s="122" t="str">
        <f>RIGHT(AW41)</f>
        <v/>
      </c>
      <c r="AW41" s="123" t="str">
        <f>IF(AU40="","",OFFSET(Biblioteca!$I$2,MATCH(AU40,Biblioteca!$A$3:$A$200,0),0))</f>
        <v/>
      </c>
      <c r="AX41" s="124"/>
      <c r="AY41" s="125"/>
      <c r="AZ41" s="117" t="str">
        <f>IF(AZ40="","",IFS(BK41="A",Montagem!$F$230,BM41="T","Realizar a maior quantidade de repetições por "&amp;BE40&amp;" segundos | ",BM41="I",IF(BL41="U","Manter a posição por "&amp;BE40&amp;" segundos de um lado e trocar para o outro na sequência | ","Manter a posição por "&amp;BE40&amp;" segundos | "),BL41="A","Realizar alternadamente "&amp;BE40&amp;" repetições cada lado | ",BL41="U","Realizar "&amp;BE40&amp;" repetições de um lado e trocar para o outro na sequência | ",BK41="P",OFFSET(Biblioteca!$H$2,MATCH(BL40,Biblioteca!$A$3:$A$200,0),0),TRUE,"")&amp;IF(BM41="R","Ajuste a carga para que tenha "&amp;$K$2&amp;" repetições de reserva",""))</f>
        <v/>
      </c>
      <c r="BD41" s="118" t="str">
        <f>IF(AZ40="","",IFS(BK41="H","Carga Sugerida: "&amp;ROUNDUP(BN40/2,0)&amp;" kg de cada lado (Total: "&amp;ROUNDUP(BN40/2,0)*2&amp;" kg)",BK41="C","Este exercício usa o Peso Corporal como carga",BK41="E","Este exercício usa a resistência da banda elástica como carga",BK41="O","Carga Sugerida: "&amp;INT(BN40)&amp;" kg",TRUE,""))</f>
        <v/>
      </c>
      <c r="BI41" s="66"/>
      <c r="BJ41" s="126">
        <f>BJ40</f>
        <v>1</v>
      </c>
      <c r="BK41" s="120" t="str">
        <f>LEFT(BN41)</f>
        <v/>
      </c>
      <c r="BL41" s="121" t="str">
        <f>MID(BN41,2,1)</f>
        <v/>
      </c>
      <c r="BM41" s="122" t="str">
        <f>RIGHT(BN41)</f>
        <v/>
      </c>
      <c r="BN41" s="123" t="str">
        <f>IF(BL40="","",OFFSET(Biblioteca!$I$2,MATCH(BL40,Biblioteca!$A$3:$A$200,0),0))</f>
        <v/>
      </c>
      <c r="BO41" s="124"/>
      <c r="BP41" s="125"/>
      <c r="BQ41" s="117" t="str">
        <f>IF(BQ40="","",IFS(CB41="A",Montagem!$G$230,CD41="T","Realizar a maior quantidade de repetições por "&amp;BV40&amp;" segundos | ",CD41="I",IF(CC41="U","Manter a posição por "&amp;BV40&amp;" segundos de um lado e trocar para o outro na sequência | ","Manter a posição por "&amp;BV40&amp;" segundos | "),CC41="A","Realizar alternadamente "&amp;BV40&amp;" repetições cada lado | ",CC41="U","Realizar "&amp;BV40&amp;" repetições de um lado e trocar para o outro na sequência | ",CB41="P",OFFSET(Biblioteca!$H$2,MATCH(CC40,Biblioteca!$A$3:$A$200,0),0),TRUE,"")&amp;IF(CD41="R","Ajuste a carga para que tenha "&amp;$K$2&amp;" repetições de reserva",""))</f>
        <v/>
      </c>
      <c r="BU41" s="118" t="str">
        <f>IF(BQ40="","",IFS(CB41="H","Carga Sugerida: "&amp;ROUNDUP(CE40/2,0)&amp;" kg de cada lado (Total: "&amp;ROUNDUP(CE40/2,0)*2&amp;" kg)",CB41="C","Este exercício usa o Peso Corporal como carga",CB41="E","Este exercício usa a resistência da banda elástica como carga",CB41="O","Carga Sugerida: "&amp;INT(CE40)&amp;" kg",TRUE,""))</f>
        <v/>
      </c>
      <c r="BZ41" s="66"/>
      <c r="CA41" s="126">
        <f>CA40</f>
        <v>1</v>
      </c>
      <c r="CB41" s="120" t="str">
        <f>LEFT(CE41)</f>
        <v/>
      </c>
      <c r="CC41" s="121" t="str">
        <f>MID(CE41,2,1)</f>
        <v/>
      </c>
      <c r="CD41" s="122" t="str">
        <f>RIGHT(CE41)</f>
        <v/>
      </c>
      <c r="CE41" s="123" t="str">
        <f>IF(CC40="","",OFFSET(Biblioteca!$I$2,MATCH(CC40,Biblioteca!$A$3:$A$200,0),0))</f>
        <v/>
      </c>
      <c r="CF41" s="124"/>
      <c r="CG41" s="125"/>
      <c r="CH41" s="117" t="str">
        <f>IF(CH40="","",IFS(CS41="A",Montagem!$H$230,CU41="T","Realizar a maior quantidade de repetições por "&amp;CM40&amp;" segundos | ",CU41="I",IF(CT41="U","Manter a posição por "&amp;CM40&amp;" segundos de um lado e trocar para o outro na sequência | ","Manter a posição por "&amp;CM40&amp;" segundos | "),CT41="A","Realizar alternadamente "&amp;CM40&amp;" repetições cada lado | ",CT41="U","Realizar "&amp;CM40&amp;" repetições de um lado e trocar para o outro na sequência | ",CS41="P",OFFSET(Biblioteca!$H$2,MATCH(CT40,Biblioteca!$A$3:$A$200,0),0),TRUE,"")&amp;IF(CU41="R","Ajuste a carga para que tenha "&amp;$K$2&amp;" repetições de reserva",""))</f>
        <v/>
      </c>
      <c r="CL41" s="118" t="str">
        <f>IF(CH40="","",IFS(CS41="H","Carga Sugerida: "&amp;ROUNDUP(CV40/2,0)&amp;" kg de cada lado (Total: "&amp;ROUNDUP(CV40/2,0)*2&amp;" kg)",CS41="C","Este exercício usa o Peso Corporal como carga",CS41="E","Este exercício usa a resistência da banda elástica como carga",CS41="O","Carga Sugerida: "&amp;INT(CV40)&amp;" kg",TRUE,""))</f>
        <v/>
      </c>
      <c r="CQ41" s="66"/>
      <c r="CR41" s="126">
        <f>CR40</f>
        <v>1</v>
      </c>
      <c r="CS41" s="120" t="str">
        <f>LEFT(CV41)</f>
        <v/>
      </c>
      <c r="CT41" s="121" t="str">
        <f>MID(CV41,2,1)</f>
        <v/>
      </c>
      <c r="CU41" s="122" t="str">
        <f>RIGHT(CV41)</f>
        <v/>
      </c>
      <c r="CV41" s="123" t="str">
        <f>IF(CT40="","",OFFSET(Biblioteca!$I$2,MATCH(CT40,Biblioteca!$A$3:$A$200,0),0))</f>
        <v/>
      </c>
      <c r="CW41" s="124"/>
      <c r="CX41" s="125"/>
      <c r="CY41" s="117" t="str">
        <f>IF(CY40="","",IFS(DJ41="A",Montagem!$I$230,DL41="T","Realizar a maior quantidade de repetições por "&amp;DD40&amp;" segundos | ",DL41="I",IF(DK41="U","Manter a posição por "&amp;DD40&amp;" segundos de um lado e trocar para o outro na sequência | ","Manter a posição por "&amp;DD40&amp;" segundos | "),DK41="A","Realizar alternadamente "&amp;DD40&amp;" repetições cada lado | ",DK41="U","Realizar "&amp;DD40&amp;" repetições de um lado e trocar para o outro na sequência | ",DJ41="P",OFFSET(Biblioteca!$H$2,MATCH(DK40,Biblioteca!$A$3:$A$200,0),0),TRUE,"")&amp;IF(DL41="R","Ajuste a carga para que tenha "&amp;$K$2&amp;" repetições de reserva",""))</f>
        <v/>
      </c>
      <c r="DC41" s="118" t="str">
        <f>IF(CY40="","",IFS(DJ41="H","Carga Sugerida: "&amp;ROUNDUP(DM40/2,0)&amp;" kg de cada lado (Total: "&amp;ROUNDUP(DM40/2,0)*2&amp;" kg)",DJ41="C","Este exercício usa o Peso Corporal como carga",DJ41="E","Este exercício usa a resistência da banda elástica como carga",DJ41="O","Carga Sugerida: "&amp;INT(DM40)&amp;" kg",TRUE,""))</f>
        <v/>
      </c>
      <c r="DH41" s="66"/>
      <c r="DI41" s="126">
        <f>DI40</f>
        <v>1</v>
      </c>
      <c r="DJ41" s="120" t="str">
        <f>LEFT(DM41)</f>
        <v/>
      </c>
      <c r="DK41" s="121" t="str">
        <f>MID(DM41,2,1)</f>
        <v/>
      </c>
      <c r="DL41" s="122" t="str">
        <f>RIGHT(DM41)</f>
        <v/>
      </c>
      <c r="DM41" s="123" t="str">
        <f>IF(DK40="","",OFFSET(Biblioteca!$I$2,MATCH(DK40,Biblioteca!$A$3:$A$200,0),0))</f>
        <v/>
      </c>
      <c r="DN41" s="124"/>
      <c r="DO41" s="125"/>
      <c r="DP41" s="57"/>
      <c r="DQ41" s="56"/>
      <c r="DR41" s="56"/>
      <c r="DS41" s="56"/>
      <c r="DT41" s="56"/>
      <c r="DU41" s="56"/>
      <c r="DV41" s="56"/>
      <c r="DW41" s="56"/>
      <c r="DX41" s="56"/>
      <c r="DY41" s="56"/>
    </row>
    <row r="42">
      <c r="A42" s="115" t="str">
        <f>IF(M42="","",HYPERLINK(OFFSET(Biblioteca!$B$2,MATCH(M42,Biblioteca!$A$3:$A$200,0),0),M42))</f>
        <v/>
      </c>
      <c r="D42" s="103" t="str">
        <f>Montagem!Q229</f>
        <v/>
      </c>
      <c r="E42" s="104" t="str">
        <f>Montagem!R229</f>
        <v/>
      </c>
      <c r="F42" s="104" t="str">
        <f>Montagem!S229</f>
        <v/>
      </c>
      <c r="G42" s="104" t="str">
        <f>Montagem!T229</f>
        <v/>
      </c>
      <c r="H42" s="104" t="str">
        <f>Montagem!U229</f>
        <v/>
      </c>
      <c r="I42" s="132" t="str">
        <f>Montagem!V229</f>
        <v/>
      </c>
      <c r="J42" s="105"/>
      <c r="K42" s="106">
        <f>Montagem!K229</f>
        <v>1</v>
      </c>
      <c r="L42" s="111" t="str">
        <f>Montagem!W229</f>
        <v/>
      </c>
      <c r="M42" s="111" t="str">
        <f>Montagem!L229</f>
        <v/>
      </c>
      <c r="N42" s="111" t="str">
        <f>Montagem!X229</f>
        <v/>
      </c>
      <c r="O42" s="106" t="str">
        <f>IF(N42="",L42,N42)</f>
        <v/>
      </c>
      <c r="P42" s="106" t="str">
        <f>IF(L43="C",'Dados de Base'!$D$5*0.1,IF(L43="E",5,IF(J42="",O42,J42)))</f>
        <v/>
      </c>
      <c r="Q42" s="108"/>
      <c r="R42" s="115" t="str">
        <f>IF(AD42="","",HYPERLINK(OFFSET(Biblioteca!$B$2,MATCH(AD42,Biblioteca!$A$3:$A$200,0),0),AD42))</f>
        <v/>
      </c>
      <c r="U42" s="109" t="str">
        <f>Montagem!AF229</f>
        <v/>
      </c>
      <c r="V42" s="110" t="str">
        <f>Montagem!AG229</f>
        <v/>
      </c>
      <c r="W42" s="110" t="str">
        <f>Montagem!AH229</f>
        <v/>
      </c>
      <c r="X42" s="110" t="str">
        <f>Montagem!AI229</f>
        <v/>
      </c>
      <c r="Y42" s="110" t="str">
        <f>Montagem!AJ229</f>
        <v/>
      </c>
      <c r="Z42" s="110" t="str">
        <f>Montagem!AK229</f>
        <v/>
      </c>
      <c r="AA42" s="105"/>
      <c r="AB42" s="111">
        <f>Montagem!Z229</f>
        <v>1</v>
      </c>
      <c r="AC42" s="111" t="str">
        <f>Montagem!AL229</f>
        <v/>
      </c>
      <c r="AD42" s="129" t="str">
        <f>Montagem!AA229</f>
        <v/>
      </c>
      <c r="AE42" s="111" t="str">
        <f>Montagem!AM229</f>
        <v/>
      </c>
      <c r="AF42" s="106" t="str">
        <f>IF(AE42="",AC42,AE42)</f>
        <v/>
      </c>
      <c r="AG42" s="106" t="str">
        <f>IF(AC43="C",'Dados de Base'!$D$5*0.1,IF(AC43="E",5,IF(AA42="",AF42,AA42)))</f>
        <v/>
      </c>
      <c r="AH42" s="108"/>
      <c r="AI42" s="115" t="str">
        <f>IF(AU42="","",HYPERLINK(OFFSET(Biblioteca!$B$2,MATCH(AU42,Biblioteca!$A$3:$A$200,0),0),AU42))</f>
        <v/>
      </c>
      <c r="AL42" s="109" t="str">
        <f>Montagem!AU229</f>
        <v/>
      </c>
      <c r="AM42" s="110" t="str">
        <f>Montagem!AV229</f>
        <v/>
      </c>
      <c r="AN42" s="110" t="str">
        <f>Montagem!AW229</f>
        <v/>
      </c>
      <c r="AO42" s="110" t="str">
        <f>Montagem!AX229</f>
        <v/>
      </c>
      <c r="AP42" s="110" t="str">
        <f>Montagem!AY229</f>
        <v/>
      </c>
      <c r="AQ42" s="110" t="str">
        <f>Montagem!AZ229</f>
        <v/>
      </c>
      <c r="AR42" s="114"/>
      <c r="AS42" s="111">
        <f>Montagem!AO229</f>
        <v>1</v>
      </c>
      <c r="AT42" s="111" t="str">
        <f>Montagem!BA229</f>
        <v/>
      </c>
      <c r="AU42" s="111" t="str">
        <f>Montagem!AP229</f>
        <v/>
      </c>
      <c r="AV42" s="111" t="str">
        <f>Montagem!BB229</f>
        <v/>
      </c>
      <c r="AW42" s="106" t="str">
        <f>IF(AV42="",AT42,AV42)</f>
        <v/>
      </c>
      <c r="AX42" s="106" t="str">
        <f>IF(AT43="C",'Dados de Base'!$D$5*0.1,IF(AT43="E",5,IF(AR42="",AW42,AR42)))</f>
        <v/>
      </c>
      <c r="AY42" s="108"/>
      <c r="AZ42" s="115" t="str">
        <f>IF(BL42="","",HYPERLINK(OFFSET(Biblioteca!$B$2,MATCH(BL42,Biblioteca!$A$3:$A$200,0),0),BL42))</f>
        <v/>
      </c>
      <c r="BC42" s="109" t="str">
        <f>Montagem!BJ229</f>
        <v/>
      </c>
      <c r="BD42" s="110" t="str">
        <f>Montagem!BK229</f>
        <v/>
      </c>
      <c r="BE42" s="110" t="str">
        <f>Montagem!BL229</f>
        <v/>
      </c>
      <c r="BF42" s="110" t="str">
        <f>Montagem!BM229</f>
        <v/>
      </c>
      <c r="BG42" s="110" t="str">
        <f>Montagem!BN229</f>
        <v/>
      </c>
      <c r="BH42" s="110" t="str">
        <f>Montagem!BO229</f>
        <v/>
      </c>
      <c r="BI42" s="113"/>
      <c r="BJ42" s="111">
        <f>Montagem!BD229</f>
        <v>1</v>
      </c>
      <c r="BK42" s="111" t="str">
        <f>Montagem!BP229</f>
        <v/>
      </c>
      <c r="BL42" s="111" t="str">
        <f>Montagem!BE229</f>
        <v/>
      </c>
      <c r="BM42" s="111" t="str">
        <f>Montagem!BQ229</f>
        <v/>
      </c>
      <c r="BN42" s="106" t="str">
        <f>IF(BM42="",BK42,BM42)</f>
        <v/>
      </c>
      <c r="BO42" s="106" t="str">
        <f>IF(BK43="C",'Dados de Base'!$D$5*0.1,IF(BK43="E",5,IF(BI42="",BN42,BI42)))</f>
        <v/>
      </c>
      <c r="BP42" s="108"/>
      <c r="BQ42" s="115" t="str">
        <f>IF(CC42="","",HYPERLINK(OFFSET(Biblioteca!$B$2,MATCH(CC42,Biblioteca!$A$3:$A$200,0),0),CC42))</f>
        <v/>
      </c>
      <c r="BT42" s="109" t="str">
        <f>Montagem!BY229</f>
        <v/>
      </c>
      <c r="BU42" s="110" t="str">
        <f>Montagem!BZ229</f>
        <v/>
      </c>
      <c r="BV42" s="110" t="str">
        <f>Montagem!CA229</f>
        <v/>
      </c>
      <c r="BW42" s="110" t="str">
        <f>Montagem!CB229</f>
        <v/>
      </c>
      <c r="BX42" s="110" t="str">
        <f>Montagem!CC229</f>
        <v/>
      </c>
      <c r="BY42" s="110" t="str">
        <f>Montagem!CD229</f>
        <v/>
      </c>
      <c r="BZ42" s="113"/>
      <c r="CA42" s="111">
        <f>Montagem!BS229</f>
        <v>1</v>
      </c>
      <c r="CB42" s="111" t="str">
        <f>Montagem!CE229</f>
        <v/>
      </c>
      <c r="CC42" s="111" t="str">
        <f>Montagem!BT229</f>
        <v/>
      </c>
      <c r="CD42" s="111" t="str">
        <f>Montagem!CF229</f>
        <v/>
      </c>
      <c r="CE42" s="106" t="str">
        <f>IF(CD42="",CB42,CD42)</f>
        <v/>
      </c>
      <c r="CF42" s="106" t="str">
        <f>IF(CB43="C",'Dados de Base'!$D$5*0.1,IF(CB43="E",5,IF(BZ42="",CE42,BZ42)))</f>
        <v/>
      </c>
      <c r="CG42" s="108"/>
      <c r="CH42" s="115" t="str">
        <f>IF(CT42="","",HYPERLINK(OFFSET(Biblioteca!$B$2,MATCH(CT42,Biblioteca!$A$3:$A$200,0),0),CT42))</f>
        <v/>
      </c>
      <c r="CK42" s="109" t="str">
        <f>Montagem!CN229</f>
        <v/>
      </c>
      <c r="CL42" s="110" t="str">
        <f>Montagem!CO229</f>
        <v/>
      </c>
      <c r="CM42" s="110" t="str">
        <f>Montagem!CP229</f>
        <v/>
      </c>
      <c r="CN42" s="110" t="str">
        <f>Montagem!CQ229</f>
        <v/>
      </c>
      <c r="CO42" s="110" t="str">
        <f>Montagem!CR229</f>
        <v/>
      </c>
      <c r="CP42" s="110" t="str">
        <f>Montagem!CS229</f>
        <v/>
      </c>
      <c r="CQ42" s="114"/>
      <c r="CR42" s="111">
        <f>Montagem!CH229</f>
        <v>1</v>
      </c>
      <c r="CS42" s="111" t="str">
        <f>Montagem!CT229</f>
        <v/>
      </c>
      <c r="CT42" s="111" t="str">
        <f>Montagem!CI229</f>
        <v/>
      </c>
      <c r="CU42" s="111" t="str">
        <f>Montagem!CU229</f>
        <v/>
      </c>
      <c r="CV42" s="106" t="str">
        <f>IF(CU42="",CS42,CU42)</f>
        <v/>
      </c>
      <c r="CW42" s="106" t="str">
        <f>IF(CS43="C",'Dados de Base'!$D$5*0.1,IF(CS43="E",5,IF(CQ42="",CV42,CQ42)))</f>
        <v/>
      </c>
      <c r="CX42" s="108"/>
      <c r="CY42" s="115" t="str">
        <f>IF(DK42="","",HYPERLINK(OFFSET(Biblioteca!$B$2,MATCH(DK42,Biblioteca!$A$3:$A$200,0),0),DK42))</f>
        <v/>
      </c>
      <c r="DB42" s="130" t="str">
        <f>Montagem!DC229</f>
        <v/>
      </c>
      <c r="DC42" s="131" t="str">
        <f>Montagem!DD229</f>
        <v/>
      </c>
      <c r="DD42" s="131" t="str">
        <f>Montagem!DE229</f>
        <v/>
      </c>
      <c r="DE42" s="131" t="str">
        <f>Montagem!DF229</f>
        <v/>
      </c>
      <c r="DF42" s="131" t="str">
        <f>Montagem!DG229</f>
        <v/>
      </c>
      <c r="DG42" s="131" t="str">
        <f>Montagem!DH229</f>
        <v/>
      </c>
      <c r="DH42" s="114"/>
      <c r="DI42" s="111">
        <f>Montagem!CW229</f>
        <v>1</v>
      </c>
      <c r="DJ42" s="111" t="str">
        <f>Montagem!DI229</f>
        <v/>
      </c>
      <c r="DK42" s="111" t="str">
        <f>Montagem!CX229</f>
        <v/>
      </c>
      <c r="DL42" s="111" t="str">
        <f>Montagem!DJ229</f>
        <v/>
      </c>
      <c r="DM42" s="106" t="str">
        <f>IF(DL42="",DJ42,DL42)</f>
        <v/>
      </c>
      <c r="DN42" s="106" t="str">
        <f>IF(DJ43="C",'Dados de Base'!$D$5*0.1,IF(DJ43="E",5,IF(DH42="",DM42,DH42)))</f>
        <v/>
      </c>
      <c r="DO42" s="108"/>
      <c r="DP42" s="106"/>
      <c r="DQ42" s="106"/>
      <c r="DR42" s="106"/>
      <c r="DS42" s="106"/>
      <c r="DT42" s="106"/>
      <c r="DU42" s="106"/>
      <c r="DV42" s="106"/>
      <c r="DW42" s="106"/>
      <c r="DX42" s="106"/>
      <c r="DY42" s="106"/>
    </row>
    <row r="43">
      <c r="A43" s="117" t="str">
        <f>IF(A42="","",IFS(L43="A",Montagem!$C$230,N43="T","Realizar a maior quantidade de repetições por "&amp;F42&amp;" segundos | ",N43="I",IF(M43="U","Manter a posição por "&amp;F42&amp;" segundos de um lado e trocar para o outro na sequência | ","Manter a posição por "&amp;F42&amp;" segundos | "),M43="A","Realizar alternadamente "&amp;F42&amp;" repetições cada lado | ",M43="U","Realizar "&amp;F42&amp;" repetições de um lado e trocar para o outro na sequência | ",L43="P",OFFSET(Biblioteca!$H$2,MATCH(M42,Biblioteca!$A$3:$A$200,0),0),TRUE,"")&amp;IF(N43="R","Ajuste a carga para que tenha "&amp;$K$2&amp;" repetições de reserva",""))</f>
        <v/>
      </c>
      <c r="E43" s="118" t="str">
        <f>IF(A42="","",IFS(L43="H","Carga Sugerida: "&amp;ROUNDUP(O42/2,0)&amp;" kg de cada lado (Total: "&amp;ROUNDUP(O42/2,0)*2&amp;" kg)",L43="C","Este exercício usa o Peso Corporal como carga",L43="E","Este exercício usa a resistência da banda elástica como carga",L43="O","Carga Sugerida: "&amp;INT(O42)&amp;" kg",TRUE,""))</f>
        <v/>
      </c>
      <c r="J43" s="66"/>
      <c r="K43" s="106">
        <f>K42</f>
        <v>1</v>
      </c>
      <c r="L43" s="120" t="str">
        <f>LEFT(O43)</f>
        <v/>
      </c>
      <c r="M43" s="121" t="str">
        <f>MID(O43,2,1)</f>
        <v/>
      </c>
      <c r="N43" s="122" t="str">
        <f>RIGHT(O43)</f>
        <v/>
      </c>
      <c r="O43" s="123" t="str">
        <f>IF(M42="","",OFFSET(Biblioteca!$I$2,MATCH(M42,Biblioteca!$A$3:$A$200,0),0))</f>
        <v/>
      </c>
      <c r="P43" s="124"/>
      <c r="Q43" s="125"/>
      <c r="R43" s="117" t="str">
        <f>IF(R42="","",IFS(AC43="A",Montagem!$D$230,AE43="T","Realizar a maior quantidade de repetições por "&amp;W42&amp;" segundos | ",AE43="I",IF(AD43="U","Manter a posição por "&amp;W42&amp;" segundos de um lado e trocar para o outro na sequência | ","Manter a posição por "&amp;W42&amp;" segundos | "),AD43="A","Realizar alternadamente "&amp;W42&amp;" repetições cada lado | ",AD43="U","Realizar "&amp;W42&amp;" repetições de um lado e trocar para o outro na sequência | ",AC43="P",OFFSET(Biblioteca!$H$2,MATCH(AD42,Biblioteca!$A$3:$A$200,0),0),TRUE,"")&amp;IF(AE43="R","Ajuste a carga para que tenha "&amp;$K$2&amp;" repetições de reserva",""))</f>
        <v/>
      </c>
      <c r="V43" s="118" t="str">
        <f>IF(R42="","",IFS(AC43="H","Carga Sugerida: "&amp;ROUNDUP(AF42/2,0)&amp;" kg de cada lado (Total: "&amp;ROUNDUP(AF42/2,0)*2&amp;" kg)",AC43="C","Este exercício usa o Peso Corporal como carga",AC43="E","Este exercício usa a resistência da banda elástica como carga",AC43="O","Carga Sugerida: "&amp;INT(AF42)&amp;" kg",TRUE,""))</f>
        <v/>
      </c>
      <c r="AA43" s="66"/>
      <c r="AB43" s="126">
        <f>AB42</f>
        <v>1</v>
      </c>
      <c r="AC43" s="120" t="str">
        <f>LEFT(AF43)</f>
        <v/>
      </c>
      <c r="AD43" s="121" t="str">
        <f>MID(AF43,2,1)</f>
        <v/>
      </c>
      <c r="AE43" s="122" t="str">
        <f>RIGHT(AF43)</f>
        <v/>
      </c>
      <c r="AF43" s="123" t="str">
        <f>IF(AD42="","",OFFSET(Biblioteca!$I$2,MATCH(AD42,Biblioteca!$A$3:$A$200,0),0))</f>
        <v/>
      </c>
      <c r="AG43" s="124"/>
      <c r="AH43" s="125"/>
      <c r="AI43" s="117" t="str">
        <f>IF(AI42="","",IFS(AT43="A",Montagem!$E$230,AV43="T","Realizar a maior quantidade de repetições por "&amp;AN42&amp;" segundos | ",AV43="I",IF(AU43="U","Manter a posição por "&amp;AN42&amp;" segundos de um lado e trocar para o outro na sequência | ","Manter a posição por "&amp;AN42&amp;" segundos | "),AU43="A","Realizar alternadamente "&amp;AN42&amp;" repetições cada lado | ",AU43="U","Realizar "&amp;AN42&amp;" repetições de um lado e trocar para o outro na sequência | ",AT43="P",OFFSET(Biblioteca!$H$2,MATCH(AU42,Biblioteca!$A$3:$A$200,0),0),TRUE,"")&amp;IF(AV43="R","Ajuste a carga para que tenha "&amp;$K$2&amp;" repetições de reserva",""))</f>
        <v/>
      </c>
      <c r="AM43" s="118" t="str">
        <f>IF(AI42="","",IFS(AT43="H","Carga Sugerida: "&amp;ROUNDUP(AW42/2,0)&amp;" kg de cada lado (Total: "&amp;ROUNDUP(AW42/2,0)*2&amp;" kg)",AT43="C","Este exercício usa o Peso Corporal como carga",AT43="E","Este exercício usa a resistência da banda elástica como carga",AT43="O","Carga Sugerida: "&amp;INT(AW42)&amp;" kg",TRUE,""))</f>
        <v/>
      </c>
      <c r="AR43" s="66"/>
      <c r="AS43" s="126">
        <f>AS42</f>
        <v>1</v>
      </c>
      <c r="AT43" s="120" t="str">
        <f>LEFT(AW43)</f>
        <v/>
      </c>
      <c r="AU43" s="121" t="str">
        <f>MID(AW43,2,1)</f>
        <v/>
      </c>
      <c r="AV43" s="122" t="str">
        <f>RIGHT(AW43)</f>
        <v/>
      </c>
      <c r="AW43" s="123" t="str">
        <f>IF(AU42="","",OFFSET(Biblioteca!$I$2,MATCH(AU42,Biblioteca!$A$3:$A$200,0),0))</f>
        <v/>
      </c>
      <c r="AX43" s="124"/>
      <c r="AY43" s="125"/>
      <c r="AZ43" s="117" t="str">
        <f>IF(AZ42="","",IFS(BK43="A",Montagem!$F$230,BM43="T","Realizar a maior quantidade de repetições por "&amp;BE42&amp;" segundos | ",BM43="I",IF(BL43="U","Manter a posição por "&amp;BE42&amp;" segundos de um lado e trocar para o outro na sequência | ","Manter a posição por "&amp;BE42&amp;" segundos | "),BL43="A","Realizar alternadamente "&amp;BE42&amp;" repetições cada lado | ",BL43="U","Realizar "&amp;BE42&amp;" repetições de um lado e trocar para o outro na sequência | ",BK43="P",OFFSET(Biblioteca!$H$2,MATCH(BL42,Biblioteca!$A$3:$A$200,0),0),TRUE,"")&amp;IF(BM43="R","Ajuste a carga para que tenha "&amp;$K$2&amp;" repetições de reserva",""))</f>
        <v/>
      </c>
      <c r="BD43" s="118" t="str">
        <f>IF(AZ42="","",IFS(BK43="H","Carga Sugerida: "&amp;ROUNDUP(BN42/2,0)&amp;" kg de cada lado (Total: "&amp;ROUNDUP(BN42/2,0)*2&amp;" kg)",BK43="C","Este exercício usa o Peso Corporal como carga",BK43="E","Este exercício usa a resistência da banda elástica como carga",BK43="O","Carga Sugerida: "&amp;INT(BN42)&amp;" kg",TRUE,""))</f>
        <v/>
      </c>
      <c r="BI43" s="66"/>
      <c r="BJ43" s="126">
        <f>BJ42</f>
        <v>1</v>
      </c>
      <c r="BK43" s="120" t="str">
        <f>LEFT(BN43)</f>
        <v/>
      </c>
      <c r="BL43" s="121" t="str">
        <f>MID(BN43,2,1)</f>
        <v/>
      </c>
      <c r="BM43" s="122" t="str">
        <f>RIGHT(BN43)</f>
        <v/>
      </c>
      <c r="BN43" s="123" t="str">
        <f>IF(BL42="","",OFFSET(Biblioteca!$I$2,MATCH(BL42,Biblioteca!$A$3:$A$200,0),0))</f>
        <v/>
      </c>
      <c r="BO43" s="124"/>
      <c r="BP43" s="125"/>
      <c r="BQ43" s="117" t="str">
        <f>IF(BQ42="","",IFS(CB43="A",Montagem!$G$230,CD43="T","Realizar a maior quantidade de repetições por "&amp;BV42&amp;" segundos | ",CD43="I",IF(CC43="U","Manter a posição por "&amp;BV42&amp;" segundos de um lado e trocar para o outro na sequência | ","Manter a posição por "&amp;BV42&amp;" segundos | "),CC43="A","Realizar alternadamente "&amp;BV42&amp;" repetições cada lado | ",CC43="U","Realizar "&amp;BV42&amp;" repetições de um lado e trocar para o outro na sequência | ",CB43="P",OFFSET(Biblioteca!$H$2,MATCH(CC42,Biblioteca!$A$3:$A$200,0),0),TRUE,"")&amp;IF(CD43="R","Ajuste a carga para que tenha "&amp;$K$2&amp;" repetições de reserva",""))</f>
        <v/>
      </c>
      <c r="BU43" s="118" t="str">
        <f>IF(BQ42="","",IFS(CB43="H","Carga Sugerida: "&amp;ROUNDUP(CE42/2,0)&amp;" kg de cada lado (Total: "&amp;ROUNDUP(CE42/2,0)*2&amp;" kg)",CB43="C","Este exercício usa o Peso Corporal como carga",CB43="E","Este exercício usa a resistência da banda elástica como carga",CB43="O","Carga Sugerida: "&amp;INT(CE42)&amp;" kg",TRUE,""))</f>
        <v/>
      </c>
      <c r="BZ43" s="66"/>
      <c r="CA43" s="126">
        <f>CA42</f>
        <v>1</v>
      </c>
      <c r="CB43" s="120" t="str">
        <f>LEFT(CE43)</f>
        <v/>
      </c>
      <c r="CC43" s="121" t="str">
        <f>MID(CE43,2,1)</f>
        <v/>
      </c>
      <c r="CD43" s="122" t="str">
        <f>RIGHT(CE43)</f>
        <v/>
      </c>
      <c r="CE43" s="123" t="str">
        <f>IF(CC42="","",OFFSET(Biblioteca!$I$2,MATCH(CC42,Biblioteca!$A$3:$A$200,0),0))</f>
        <v/>
      </c>
      <c r="CF43" s="124"/>
      <c r="CG43" s="125"/>
      <c r="CH43" s="117" t="str">
        <f>IF(CH42="","",IFS(CS43="A",Montagem!$H$230,CU43="T","Realizar a maior quantidade de repetições por "&amp;CM42&amp;" segundos | ",CU43="I",IF(CT43="U","Manter a posição por "&amp;CM42&amp;" segundos de um lado e trocar para o outro na sequência | ","Manter a posição por "&amp;CM42&amp;" segundos | "),CT43="A","Realizar alternadamente "&amp;CM42&amp;" repetições cada lado | ",CT43="U","Realizar "&amp;CM42&amp;" repetições de um lado e trocar para o outro na sequência | ",CS43="P",OFFSET(Biblioteca!$H$2,MATCH(CT42,Biblioteca!$A$3:$A$200,0),0),TRUE,"")&amp;IF(CU43="R","Ajuste a carga para que tenha "&amp;$K$2&amp;" repetições de reserva",""))</f>
        <v/>
      </c>
      <c r="CL43" s="118" t="str">
        <f>IF(CH42="","",IFS(CS43="H","Carga Sugerida: "&amp;ROUNDUP(CV42/2,0)&amp;" kg de cada lado (Total: "&amp;ROUNDUP(CV42/2,0)*2&amp;" kg)",CS43="C","Este exercício usa o Peso Corporal como carga",CS43="E","Este exercício usa a resistência da banda elástica como carga",CS43="O","Carga Sugerida: "&amp;INT(CV42)&amp;" kg",TRUE,""))</f>
        <v/>
      </c>
      <c r="CQ43" s="66"/>
      <c r="CR43" s="126">
        <f>CR42</f>
        <v>1</v>
      </c>
      <c r="CS43" s="120" t="str">
        <f>LEFT(CV43)</f>
        <v/>
      </c>
      <c r="CT43" s="121" t="str">
        <f>MID(CV43,2,1)</f>
        <v/>
      </c>
      <c r="CU43" s="122" t="str">
        <f>RIGHT(CV43)</f>
        <v/>
      </c>
      <c r="CV43" s="123" t="str">
        <f>IF(CT42="","",OFFSET(Biblioteca!$I$2,MATCH(CT42,Biblioteca!$A$3:$A$200,0),0))</f>
        <v/>
      </c>
      <c r="CW43" s="124"/>
      <c r="CX43" s="125"/>
      <c r="CY43" s="117" t="str">
        <f>IF(CY42="","",IFS(DJ43="A",Montagem!$I$230,DL43="T","Realizar a maior quantidade de repetições por "&amp;DD42&amp;" segundos | ",DL43="I",IF(DK43="U","Manter a posição por "&amp;DD42&amp;" segundos de um lado e trocar para o outro na sequência | ","Manter a posição por "&amp;DD42&amp;" segundos | "),DK43="A","Realizar alternadamente "&amp;DD42&amp;" repetições cada lado | ",DK43="U","Realizar "&amp;DD42&amp;" repetições de um lado e trocar para o outro na sequência | ",DJ43="P",OFFSET(Biblioteca!$H$2,MATCH(DK42,Biblioteca!$A$3:$A$200,0),0),TRUE,"")&amp;IF(DL43="R","Ajuste a carga para que tenha "&amp;$K$2&amp;" repetições de reserva",""))</f>
        <v/>
      </c>
      <c r="DC43" s="118" t="str">
        <f>IF(CY42="","",IFS(DJ43="H","Carga Sugerida: "&amp;ROUNDUP(DM42/2,0)&amp;" kg de cada lado (Total: "&amp;ROUNDUP(DM42/2,0)*2&amp;" kg)",DJ43="C","Este exercício usa o Peso Corporal como carga",DJ43="E","Este exercício usa a resistência da banda elástica como carga",DJ43="O","Carga Sugerida: "&amp;INT(DM42)&amp;" kg",TRUE,""))</f>
        <v/>
      </c>
      <c r="DH43" s="66"/>
      <c r="DI43" s="126">
        <f>DI42</f>
        <v>1</v>
      </c>
      <c r="DJ43" s="120" t="str">
        <f>LEFT(DM43)</f>
        <v/>
      </c>
      <c r="DK43" s="121" t="str">
        <f>MID(DM43,2,1)</f>
        <v/>
      </c>
      <c r="DL43" s="122" t="str">
        <f>RIGHT(DM43)</f>
        <v/>
      </c>
      <c r="DM43" s="123" t="str">
        <f>IF(DK42="","",OFFSET(Biblioteca!$I$2,MATCH(DK42,Biblioteca!$A$3:$A$200,0),0))</f>
        <v/>
      </c>
      <c r="DN43" s="124"/>
      <c r="DO43" s="125"/>
      <c r="DP43" s="57"/>
      <c r="DQ43" s="56"/>
      <c r="DR43" s="56"/>
      <c r="DS43" s="56"/>
      <c r="DT43" s="56"/>
      <c r="DU43" s="56"/>
      <c r="DV43" s="56"/>
      <c r="DW43" s="56"/>
      <c r="DX43" s="56"/>
      <c r="DY43" s="56"/>
    </row>
    <row r="44">
      <c r="A44" s="115" t="str">
        <f>IF(M44="","",HYPERLINK(OFFSET(Biblioteca!$B$2,MATCH(M44,Biblioteca!$A$3:$A$200,0),0),M44))</f>
        <v/>
      </c>
      <c r="D44" s="103" t="str">
        <f>Montagem!Q230</f>
        <v/>
      </c>
      <c r="E44" s="104" t="str">
        <f>Montagem!R230</f>
        <v/>
      </c>
      <c r="F44" s="104" t="str">
        <f>Montagem!S230</f>
        <v/>
      </c>
      <c r="G44" s="104" t="str">
        <f>Montagem!T230</f>
        <v/>
      </c>
      <c r="H44" s="104" t="str">
        <f>Montagem!U230</f>
        <v/>
      </c>
      <c r="I44" s="132" t="str">
        <f>Montagem!V230</f>
        <v/>
      </c>
      <c r="J44" s="105"/>
      <c r="K44" s="106">
        <f>Montagem!K230</f>
        <v>1</v>
      </c>
      <c r="L44" s="111" t="str">
        <f>Montagem!W230</f>
        <v/>
      </c>
      <c r="M44" s="111" t="str">
        <f>Montagem!L230</f>
        <v/>
      </c>
      <c r="N44" s="111" t="str">
        <f>Montagem!X230</f>
        <v/>
      </c>
      <c r="O44" s="106" t="str">
        <f>IF(N44="",L44,N44)</f>
        <v/>
      </c>
      <c r="P44" s="106" t="str">
        <f>IF(L45="C",'Dados de Base'!$D$5*0.1,IF(L45="E",5,IF(J44="",O44,J44)))</f>
        <v/>
      </c>
      <c r="Q44" s="108"/>
      <c r="R44" s="115" t="str">
        <f>IF(AD44="","",HYPERLINK(OFFSET(Biblioteca!$B$2,MATCH(AD44,Biblioteca!$A$3:$A$200,0),0),AD44))</f>
        <v/>
      </c>
      <c r="U44" s="109" t="str">
        <f>Montagem!AF230</f>
        <v/>
      </c>
      <c r="V44" s="110" t="str">
        <f>Montagem!AG230</f>
        <v/>
      </c>
      <c r="W44" s="110" t="str">
        <f>Montagem!AH230</f>
        <v/>
      </c>
      <c r="X44" s="110" t="str">
        <f>Montagem!AI230</f>
        <v/>
      </c>
      <c r="Y44" s="110" t="str">
        <f>Montagem!AJ230</f>
        <v/>
      </c>
      <c r="Z44" s="110" t="str">
        <f>Montagem!AK230</f>
        <v/>
      </c>
      <c r="AA44" s="113"/>
      <c r="AB44" s="111">
        <f>Montagem!Z230</f>
        <v>1</v>
      </c>
      <c r="AC44" s="111" t="str">
        <f>Montagem!AL230</f>
        <v/>
      </c>
      <c r="AD44" s="129" t="str">
        <f>Montagem!AA230</f>
        <v/>
      </c>
      <c r="AE44" s="111" t="str">
        <f>Montagem!AM230</f>
        <v/>
      </c>
      <c r="AF44" s="106" t="str">
        <f>IF(AE44="",AC44,AE44)</f>
        <v/>
      </c>
      <c r="AG44" s="106" t="str">
        <f>IF(AC45="C",'Dados de Base'!$D$5*0.1,IF(AC45="E",5,IF(AA44="",AF44,AA44)))</f>
        <v/>
      </c>
      <c r="AH44" s="108"/>
      <c r="AI44" s="115" t="str">
        <f>IF(AU44="","",HYPERLINK(OFFSET(Biblioteca!$B$2,MATCH(AU44,Biblioteca!$A$3:$A$200,0),0),AU44))</f>
        <v/>
      </c>
      <c r="AL44" s="109" t="str">
        <f>Montagem!AU230</f>
        <v/>
      </c>
      <c r="AM44" s="110" t="str">
        <f>Montagem!AV230</f>
        <v/>
      </c>
      <c r="AN44" s="110" t="str">
        <f>Montagem!AW230</f>
        <v/>
      </c>
      <c r="AO44" s="110" t="str">
        <f>Montagem!AX230</f>
        <v/>
      </c>
      <c r="AP44" s="110" t="str">
        <f>Montagem!AY230</f>
        <v/>
      </c>
      <c r="AQ44" s="110" t="str">
        <f>Montagem!AZ230</f>
        <v/>
      </c>
      <c r="AR44" s="114"/>
      <c r="AS44" s="111">
        <f>Montagem!AO230</f>
        <v>1</v>
      </c>
      <c r="AT44" s="111" t="str">
        <f>Montagem!BA230</f>
        <v/>
      </c>
      <c r="AU44" s="111" t="str">
        <f>Montagem!AP230</f>
        <v/>
      </c>
      <c r="AV44" s="111" t="str">
        <f>Montagem!BB230</f>
        <v/>
      </c>
      <c r="AW44" s="106" t="str">
        <f>IF(AV44="",AT44,AV44)</f>
        <v/>
      </c>
      <c r="AX44" s="106" t="str">
        <f>IF(AT45="C",'Dados de Base'!$D$5*0.1,IF(AT45="E",5,IF(AR44="",AW44,AR44)))</f>
        <v/>
      </c>
      <c r="AY44" s="108"/>
      <c r="AZ44" s="115" t="str">
        <f>IF(BL44="","",HYPERLINK(OFFSET(Biblioteca!$B$2,MATCH(BL44,Biblioteca!$A$3:$A$200,0),0),BL44))</f>
        <v/>
      </c>
      <c r="BC44" s="109" t="str">
        <f>Montagem!BJ230</f>
        <v/>
      </c>
      <c r="BD44" s="110" t="str">
        <f>Montagem!BK230</f>
        <v/>
      </c>
      <c r="BE44" s="110" t="str">
        <f>Montagem!BL230</f>
        <v/>
      </c>
      <c r="BF44" s="110" t="str">
        <f>Montagem!BM230</f>
        <v/>
      </c>
      <c r="BG44" s="110" t="str">
        <f>Montagem!BN230</f>
        <v/>
      </c>
      <c r="BH44" s="110" t="str">
        <f>Montagem!BO230</f>
        <v/>
      </c>
      <c r="BI44" s="113"/>
      <c r="BJ44" s="111">
        <f>Montagem!BD230</f>
        <v>1</v>
      </c>
      <c r="BK44" s="111" t="str">
        <f>Montagem!BP230</f>
        <v/>
      </c>
      <c r="BL44" s="111" t="str">
        <f>Montagem!BE230</f>
        <v/>
      </c>
      <c r="BM44" s="111" t="str">
        <f>Montagem!BQ230</f>
        <v/>
      </c>
      <c r="BN44" s="106" t="str">
        <f>IF(BM44="",BK44,BM44)</f>
        <v/>
      </c>
      <c r="BO44" s="106" t="str">
        <f>IF(BK45="C",'Dados de Base'!$D$5*0.1,IF(BK45="E",5,IF(BI44="",BN44,BI44)))</f>
        <v/>
      </c>
      <c r="BP44" s="108"/>
      <c r="BQ44" s="115" t="str">
        <f>IF(CC44="","",HYPERLINK(OFFSET(Biblioteca!$B$2,MATCH(CC44,Biblioteca!$A$3:$A$200,0),0),CC44))</f>
        <v/>
      </c>
      <c r="BT44" s="109" t="str">
        <f>Montagem!BY230</f>
        <v/>
      </c>
      <c r="BU44" s="110" t="str">
        <f>Montagem!BZ230</f>
        <v/>
      </c>
      <c r="BV44" s="110" t="str">
        <f>Montagem!CA230</f>
        <v/>
      </c>
      <c r="BW44" s="110" t="str">
        <f>Montagem!CB230</f>
        <v/>
      </c>
      <c r="BX44" s="110" t="str">
        <f>Montagem!CC230</f>
        <v/>
      </c>
      <c r="BY44" s="110" t="str">
        <f>Montagem!CD230</f>
        <v/>
      </c>
      <c r="BZ44" s="113"/>
      <c r="CA44" s="111">
        <f>Montagem!BS230</f>
        <v>1</v>
      </c>
      <c r="CB44" s="111" t="str">
        <f>Montagem!CE230</f>
        <v/>
      </c>
      <c r="CC44" s="111" t="str">
        <f>Montagem!BT230</f>
        <v/>
      </c>
      <c r="CD44" s="111" t="str">
        <f>Montagem!CF230</f>
        <v/>
      </c>
      <c r="CE44" s="106" t="str">
        <f>IF(CD44="",CB44,CD44)</f>
        <v/>
      </c>
      <c r="CF44" s="106" t="str">
        <f>IF(CB45="C",'Dados de Base'!$D$5*0.1,IF(CB45="E",5,IF(BZ44="",CE44,BZ44)))</f>
        <v/>
      </c>
      <c r="CG44" s="108"/>
      <c r="CH44" s="115" t="str">
        <f>IF(CT44="","",HYPERLINK(OFFSET(Biblioteca!$B$2,MATCH(CT44,Biblioteca!$A$3:$A$200,0),0),CT44))</f>
        <v/>
      </c>
      <c r="CK44" s="109" t="str">
        <f>Montagem!CN230</f>
        <v/>
      </c>
      <c r="CL44" s="110" t="str">
        <f>Montagem!CO230</f>
        <v/>
      </c>
      <c r="CM44" s="110" t="str">
        <f>Montagem!CP230</f>
        <v/>
      </c>
      <c r="CN44" s="110" t="str">
        <f>Montagem!CQ230</f>
        <v/>
      </c>
      <c r="CO44" s="110" t="str">
        <f>Montagem!CR230</f>
        <v/>
      </c>
      <c r="CP44" s="110" t="str">
        <f>Montagem!CS230</f>
        <v/>
      </c>
      <c r="CQ44" s="114"/>
      <c r="CR44" s="111">
        <f>Montagem!CH230</f>
        <v>1</v>
      </c>
      <c r="CS44" s="111" t="str">
        <f>Montagem!CT230</f>
        <v/>
      </c>
      <c r="CT44" s="111" t="str">
        <f>Montagem!CI230</f>
        <v/>
      </c>
      <c r="CU44" s="111" t="str">
        <f>Montagem!CU230</f>
        <v/>
      </c>
      <c r="CV44" s="106" t="str">
        <f>IF(CU44="",CS44,CU44)</f>
        <v/>
      </c>
      <c r="CW44" s="106" t="str">
        <f>IF(CS45="C",'Dados de Base'!$D$5*0.1,IF(CS45="E",5,IF(CQ44="",CV44,CQ44)))</f>
        <v/>
      </c>
      <c r="CX44" s="108"/>
      <c r="CY44" s="115" t="str">
        <f>IF(DK44="","",HYPERLINK(OFFSET(Biblioteca!$B$2,MATCH(DK44,Biblioteca!$A$3:$A$200,0),0),DK44))</f>
        <v/>
      </c>
      <c r="DB44" s="130" t="str">
        <f>Montagem!DC230</f>
        <v/>
      </c>
      <c r="DC44" s="131" t="str">
        <f>Montagem!DD230</f>
        <v/>
      </c>
      <c r="DD44" s="131" t="str">
        <f>Montagem!DE230</f>
        <v/>
      </c>
      <c r="DE44" s="131" t="str">
        <f>Montagem!DF230</f>
        <v/>
      </c>
      <c r="DF44" s="131" t="str">
        <f>Montagem!DG230</f>
        <v/>
      </c>
      <c r="DG44" s="131" t="str">
        <f>Montagem!DH230</f>
        <v/>
      </c>
      <c r="DH44" s="114"/>
      <c r="DI44" s="111">
        <f>Montagem!CW230</f>
        <v>1</v>
      </c>
      <c r="DJ44" s="111" t="str">
        <f>Montagem!DI230</f>
        <v/>
      </c>
      <c r="DK44" s="111" t="str">
        <f>Montagem!CX230</f>
        <v/>
      </c>
      <c r="DL44" s="111" t="str">
        <f>Montagem!DJ230</f>
        <v/>
      </c>
      <c r="DM44" s="106" t="str">
        <f>IF(DL44="",DJ44,DL44)</f>
        <v/>
      </c>
      <c r="DN44" s="106" t="str">
        <f>IF(DJ45="C",'Dados de Base'!$D$5*0.1,IF(DJ45="E",5,IF(DH44="",DM44,DH44)))</f>
        <v/>
      </c>
      <c r="DO44" s="108"/>
      <c r="DP44" s="106"/>
      <c r="DQ44" s="106"/>
      <c r="DR44" s="106"/>
      <c r="DS44" s="106"/>
      <c r="DT44" s="106"/>
      <c r="DU44" s="106"/>
      <c r="DV44" s="106"/>
      <c r="DW44" s="106"/>
      <c r="DX44" s="106"/>
      <c r="DY44" s="106"/>
    </row>
    <row r="45">
      <c r="A45" s="117" t="str">
        <f>IF(A44="","",IFS(L45="A",Montagem!$C$230,N45="T","Realizar a maior quantidade de repetições por "&amp;F44&amp;" segundos | ",N45="I",IF(M45="U","Manter a posição por "&amp;F44&amp;" segundos de um lado e trocar para o outro na sequência | ","Manter a posição por "&amp;F44&amp;" segundos | "),M45="A","Realizar alternadamente "&amp;F44&amp;" repetições cada lado | ",M45="U","Realizar "&amp;F44&amp;" repetições de um lado e trocar para o outro na sequência | ",L45="P",OFFSET(Biblioteca!$H$2,MATCH(M44,Biblioteca!$A$3:$A$200,0),0),TRUE,"")&amp;IF(N45="R","Ajuste a carga para que tenha "&amp;$K$2&amp;" repetições de reserva",""))</f>
        <v/>
      </c>
      <c r="E45" s="118" t="str">
        <f>IF(A44="","",IFS(L45="H","Carga Sugerida: "&amp;ROUNDUP(O44/2,0)&amp;" kg de cada lado (Total: "&amp;ROUNDUP(O44/2,0)*2&amp;" kg)",L45="C","Este exercício usa o Peso Corporal como carga",L45="E","Este exercício usa a resistência da banda elástica como carga",L45="O","Carga Sugerida: "&amp;INT(O44)&amp;" kg",TRUE,""))</f>
        <v/>
      </c>
      <c r="J45" s="66"/>
      <c r="K45" s="106">
        <f>K44</f>
        <v>1</v>
      </c>
      <c r="L45" s="120" t="str">
        <f>LEFT(O45)</f>
        <v/>
      </c>
      <c r="M45" s="121" t="str">
        <f>MID(O45,2,1)</f>
        <v/>
      </c>
      <c r="N45" s="122" t="str">
        <f>RIGHT(O45)</f>
        <v/>
      </c>
      <c r="O45" s="123" t="str">
        <f>IF(M44="","",OFFSET(Biblioteca!$I$2,MATCH(M44,Biblioteca!$A$3:$A$200,0),0))</f>
        <v/>
      </c>
      <c r="P45" s="124"/>
      <c r="Q45" s="125"/>
      <c r="R45" s="117" t="str">
        <f>IF(R44="","",IFS(AC45="A",Montagem!$D$230,AE45="T","Realizar a maior quantidade de repetições por "&amp;W44&amp;" segundos | ",AE45="I",IF(AD45="U","Manter a posição por "&amp;W44&amp;" segundos de um lado e trocar para o outro na sequência | ","Manter a posição por "&amp;W44&amp;" segundos | "),AD45="A","Realizar alternadamente "&amp;W44&amp;" repetições cada lado | ",AD45="U","Realizar "&amp;W44&amp;" repetições de um lado e trocar para o outro na sequência | ",AC45="P",OFFSET(Biblioteca!$H$2,MATCH(AD44,Biblioteca!$A$3:$A$200,0),0),TRUE,"")&amp;IF(AE45="R","Ajuste a carga para que tenha "&amp;$K$2&amp;" repetições de reserva",""))</f>
        <v/>
      </c>
      <c r="V45" s="118" t="str">
        <f>IF(R44="","",IFS(AC45="H","Carga Sugerida: "&amp;ROUNDUP(AF44/2,0)&amp;" kg de cada lado (Total: "&amp;ROUNDUP(AF44/2,0)*2&amp;" kg)",AC45="C","Este exercício usa o Peso Corporal como carga",AC45="E","Este exercício usa a resistência da banda elástica como carga",AC45="O","Carga Sugerida: "&amp;INT(AF44)&amp;" kg",TRUE,""))</f>
        <v/>
      </c>
      <c r="AA45" s="66"/>
      <c r="AB45" s="126">
        <f>AB44</f>
        <v>1</v>
      </c>
      <c r="AC45" s="120" t="str">
        <f>LEFT(AF45)</f>
        <v/>
      </c>
      <c r="AD45" s="121" t="str">
        <f>MID(AF45,2,1)</f>
        <v/>
      </c>
      <c r="AE45" s="122" t="str">
        <f>RIGHT(AF45)</f>
        <v/>
      </c>
      <c r="AF45" s="123" t="str">
        <f>IF(AD44="","",OFFSET(Biblioteca!$I$2,MATCH(AD44,Biblioteca!$A$3:$A$200,0),0))</f>
        <v/>
      </c>
      <c r="AG45" s="124"/>
      <c r="AH45" s="125"/>
      <c r="AI45" s="117" t="str">
        <f>IF(AI44="","",IFS(AT45="A",Montagem!$E$230,AV45="T","Realizar a maior quantidade de repetições por "&amp;AN44&amp;" segundos | ",AV45="I",IF(AU45="U","Manter a posição por "&amp;AN44&amp;" segundos de um lado e trocar para o outro na sequência | ","Manter a posição por "&amp;AN44&amp;" segundos | "),AU45="A","Realizar alternadamente "&amp;AN44&amp;" repetições cada lado | ",AU45="U","Realizar "&amp;AN44&amp;" repetições de um lado e trocar para o outro na sequência | ",AT45="P",OFFSET(Biblioteca!$H$2,MATCH(AU44,Biblioteca!$A$3:$A$200,0),0),TRUE,"")&amp;IF(AV45="R","Ajuste a carga para que tenha "&amp;$K$2&amp;" repetições de reserva",""))</f>
        <v/>
      </c>
      <c r="AM45" s="118" t="str">
        <f>IF(AI44="","",IFS(AT45="H","Carga Sugerida: "&amp;ROUNDUP(AW44/2,0)&amp;" kg de cada lado (Total: "&amp;ROUNDUP(AW44/2,0)*2&amp;" kg)",AT45="C","Este exercício usa o Peso Corporal como carga",AT45="E","Este exercício usa a resistência da banda elástica como carga",AT45="O","Carga Sugerida: "&amp;INT(AW44)&amp;" kg",TRUE,""))</f>
        <v/>
      </c>
      <c r="AR45" s="66"/>
      <c r="AS45" s="126">
        <f>AS44</f>
        <v>1</v>
      </c>
      <c r="AT45" s="120" t="str">
        <f>LEFT(AW45)</f>
        <v/>
      </c>
      <c r="AU45" s="121" t="str">
        <f>MID(AW45,2,1)</f>
        <v/>
      </c>
      <c r="AV45" s="122" t="str">
        <f>RIGHT(AW45)</f>
        <v/>
      </c>
      <c r="AW45" s="123" t="str">
        <f>IF(AU44="","",OFFSET(Biblioteca!$I$2,MATCH(AU44,Biblioteca!$A$3:$A$200,0),0))</f>
        <v/>
      </c>
      <c r="AX45" s="124"/>
      <c r="AY45" s="125"/>
      <c r="AZ45" s="117" t="str">
        <f>IF(AZ44="","",IFS(BK45="A",Montagem!$F$230,BM45="T","Realizar a maior quantidade de repetições por "&amp;BE44&amp;" segundos | ",BM45="I",IF(BL45="U","Manter a posição por "&amp;BE44&amp;" segundos de um lado e trocar para o outro na sequência | ","Manter a posição por "&amp;BE44&amp;" segundos | "),BL45="A","Realizar alternadamente "&amp;BE44&amp;" repetições cada lado | ",BL45="U","Realizar "&amp;BE44&amp;" repetições de um lado e trocar para o outro na sequência | ",BK45="P",OFFSET(Biblioteca!$H$2,MATCH(BL44,Biblioteca!$A$3:$A$200,0),0),TRUE,"")&amp;IF(BM45="R","Ajuste a carga para que tenha "&amp;$K$2&amp;" repetições de reserva",""))</f>
        <v/>
      </c>
      <c r="BD45" s="118" t="str">
        <f>IF(AZ44="","",IFS(BK45="H","Carga Sugerida: "&amp;ROUNDUP(BN44/2,0)&amp;" kg de cada lado (Total: "&amp;ROUNDUP(BN44/2,0)*2&amp;" kg)",BK45="C","Este exercício usa o Peso Corporal como carga",BK45="E","Este exercício usa a resistência da banda elástica como carga",BK45="O","Carga Sugerida: "&amp;INT(BN44)&amp;" kg",TRUE,""))</f>
        <v/>
      </c>
      <c r="BI45" s="66"/>
      <c r="BJ45" s="126">
        <f>BJ44</f>
        <v>1</v>
      </c>
      <c r="BK45" s="120" t="str">
        <f>LEFT(BN45)</f>
        <v/>
      </c>
      <c r="BL45" s="121" t="str">
        <f>MID(BN45,2,1)</f>
        <v/>
      </c>
      <c r="BM45" s="122" t="str">
        <f>RIGHT(BN45)</f>
        <v/>
      </c>
      <c r="BN45" s="123" t="str">
        <f>IF(BL44="","",OFFSET(Biblioteca!$I$2,MATCH(BL44,Biblioteca!$A$3:$A$200,0),0))</f>
        <v/>
      </c>
      <c r="BO45" s="124"/>
      <c r="BP45" s="125"/>
      <c r="BQ45" s="117" t="str">
        <f>IF(BQ44="","",IFS(CB45="A",Montagem!$G$230,CD45="T","Realizar a maior quantidade de repetições por "&amp;BV44&amp;" segundos | ",CD45="I",IF(CC45="U","Manter a posição por "&amp;BV44&amp;" segundos de um lado e trocar para o outro na sequência | ","Manter a posição por "&amp;BV44&amp;" segundos | "),CC45="A","Realizar alternadamente "&amp;BV44&amp;" repetições cada lado | ",CC45="U","Realizar "&amp;BV44&amp;" repetições de um lado e trocar para o outro na sequência | ",CB45="P",OFFSET(Biblioteca!$H$2,MATCH(CC44,Biblioteca!$A$3:$A$200,0),0),TRUE,"")&amp;IF(CD45="R","Ajuste a carga para que tenha "&amp;$K$2&amp;" repetições de reserva",""))</f>
        <v/>
      </c>
      <c r="BU45" s="118" t="str">
        <f>IF(BQ44="","",IFS(CB45="H","Carga Sugerida: "&amp;ROUNDUP(CE44/2,0)&amp;" kg de cada lado (Total: "&amp;ROUNDUP(CE44/2,0)*2&amp;" kg)",CB45="C","Este exercício usa o Peso Corporal como carga",CB45="E","Este exercício usa a resistência da banda elástica como carga",CB45="O","Carga Sugerida: "&amp;INT(CE44)&amp;" kg",TRUE,""))</f>
        <v/>
      </c>
      <c r="BZ45" s="66"/>
      <c r="CA45" s="126">
        <f>CA44</f>
        <v>1</v>
      </c>
      <c r="CB45" s="120" t="str">
        <f>LEFT(CE45)</f>
        <v/>
      </c>
      <c r="CC45" s="121" t="str">
        <f>MID(CE45,2,1)</f>
        <v/>
      </c>
      <c r="CD45" s="122" t="str">
        <f>RIGHT(CE45)</f>
        <v/>
      </c>
      <c r="CE45" s="123" t="str">
        <f>IF(CC44="","",OFFSET(Biblioteca!$I$2,MATCH(CC44,Biblioteca!$A$3:$A$200,0),0))</f>
        <v/>
      </c>
      <c r="CF45" s="124"/>
      <c r="CG45" s="125"/>
      <c r="CH45" s="117" t="str">
        <f>IF(CH44="","",IFS(CS45="A",Montagem!$H$230,CU45="T","Realizar a maior quantidade de repetições por "&amp;CM44&amp;" segundos | ",CU45="I",IF(CT45="U","Manter a posição por "&amp;CM44&amp;" segundos de um lado e trocar para o outro na sequência | ","Manter a posição por "&amp;CM44&amp;" segundos | "),CT45="A","Realizar alternadamente "&amp;CM44&amp;" repetições cada lado | ",CT45="U","Realizar "&amp;CM44&amp;" repetições de um lado e trocar para o outro na sequência | ",CS45="P",OFFSET(Biblioteca!$H$2,MATCH(CT44,Biblioteca!$A$3:$A$200,0),0),TRUE,"")&amp;IF(CU45="R","Ajuste a carga para que tenha "&amp;$K$2&amp;" repetições de reserva",""))</f>
        <v/>
      </c>
      <c r="CL45" s="118" t="str">
        <f>IF(CH44="","",IFS(CS45="H","Carga Sugerida: "&amp;ROUNDUP(CV44/2,0)&amp;" kg de cada lado (Total: "&amp;ROUNDUP(CV44/2,0)*2&amp;" kg)",CS45="C","Este exercício usa o Peso Corporal como carga",CS45="E","Este exercício usa a resistência da banda elástica como carga",CS45="O","Carga Sugerida: "&amp;INT(CV44)&amp;" kg",TRUE,""))</f>
        <v/>
      </c>
      <c r="CQ45" s="66"/>
      <c r="CR45" s="126">
        <f>CR44</f>
        <v>1</v>
      </c>
      <c r="CS45" s="120" t="str">
        <f>LEFT(CV45)</f>
        <v/>
      </c>
      <c r="CT45" s="121" t="str">
        <f>MID(CV45,2,1)</f>
        <v/>
      </c>
      <c r="CU45" s="122" t="str">
        <f>RIGHT(CV45)</f>
        <v/>
      </c>
      <c r="CV45" s="123" t="str">
        <f>IF(CT44="","",OFFSET(Biblioteca!$I$2,MATCH(CT44,Biblioteca!$A$3:$A$200,0),0))</f>
        <v/>
      </c>
      <c r="CW45" s="124"/>
      <c r="CX45" s="125"/>
      <c r="CY45" s="117" t="str">
        <f>IF(CY44="","",IFS(DJ45="A",Montagem!$I$230,DL45="T","Realizar a maior quantidade de repetições por "&amp;DD44&amp;" segundos | ",DL45="I",IF(DK45="U","Manter a posição por "&amp;DD44&amp;" segundos de um lado e trocar para o outro na sequência | ","Manter a posição por "&amp;DD44&amp;" segundos | "),DK45="A","Realizar alternadamente "&amp;DD44&amp;" repetições cada lado | ",DK45="U","Realizar "&amp;DD44&amp;" repetições de um lado e trocar para o outro na sequência | ",DJ45="P",OFFSET(Biblioteca!$H$2,MATCH(DK44,Biblioteca!$A$3:$A$200,0),0),TRUE,"")&amp;IF(DL45="R","Ajuste a carga para que tenha "&amp;$K$2&amp;" repetições de reserva",""))</f>
        <v/>
      </c>
      <c r="DC45" s="118" t="str">
        <f>IF(CY44="","",IFS(DJ45="H","Carga Sugerida: "&amp;ROUNDUP(DM44/2,0)&amp;" kg de cada lado (Total: "&amp;ROUNDUP(DM44/2,0)*2&amp;" kg)",DJ45="C","Este exercício usa o Peso Corporal como carga",DJ45="E","Este exercício usa a resistência da banda elástica como carga",DJ45="O","Carga Sugerida: "&amp;INT(DM44)&amp;" kg",TRUE,""))</f>
        <v/>
      </c>
      <c r="DH45" s="66"/>
      <c r="DI45" s="126">
        <f>DI44</f>
        <v>1</v>
      </c>
      <c r="DJ45" s="120" t="str">
        <f>LEFT(DM45)</f>
        <v/>
      </c>
      <c r="DK45" s="121" t="str">
        <f>MID(DM45,2,1)</f>
        <v/>
      </c>
      <c r="DL45" s="122" t="str">
        <f>RIGHT(DM45)</f>
        <v/>
      </c>
      <c r="DM45" s="123" t="str">
        <f>IF(DK44="","",OFFSET(Biblioteca!$I$2,MATCH(DK44,Biblioteca!$A$3:$A$200,0),0))</f>
        <v/>
      </c>
      <c r="DN45" s="124"/>
      <c r="DO45" s="125"/>
      <c r="DP45" s="57"/>
      <c r="DQ45" s="56"/>
      <c r="DR45" s="56"/>
      <c r="DS45" s="56"/>
      <c r="DT45" s="56"/>
      <c r="DU45" s="56"/>
      <c r="DV45" s="56"/>
      <c r="DW45" s="56"/>
      <c r="DX45" s="56"/>
      <c r="DY45" s="56"/>
    </row>
    <row r="46">
      <c r="A46" s="115" t="str">
        <f>IF(M46="","",HYPERLINK(OFFSET(Biblioteca!$B$2,MATCH(M46,Biblioteca!$A$3:$A$200,0),0),M46))</f>
        <v/>
      </c>
      <c r="D46" s="103" t="str">
        <f>Montagem!Q231</f>
        <v/>
      </c>
      <c r="E46" s="104" t="str">
        <f>Montagem!R231</f>
        <v/>
      </c>
      <c r="F46" s="104" t="str">
        <f>Montagem!S231</f>
        <v/>
      </c>
      <c r="G46" s="104" t="str">
        <f>Montagem!T231</f>
        <v/>
      </c>
      <c r="H46" s="104" t="str">
        <f>Montagem!U231</f>
        <v/>
      </c>
      <c r="I46" s="132" t="str">
        <f>Montagem!V231</f>
        <v/>
      </c>
      <c r="J46" s="105"/>
      <c r="K46" s="106">
        <f>Montagem!K231</f>
        <v>1</v>
      </c>
      <c r="L46" s="111" t="str">
        <f>Montagem!W231</f>
        <v/>
      </c>
      <c r="M46" s="111" t="str">
        <f>Montagem!L231</f>
        <v/>
      </c>
      <c r="N46" s="111" t="str">
        <f>Montagem!X231</f>
        <v/>
      </c>
      <c r="O46" s="106" t="str">
        <f>IF(N46="",L46,N46)</f>
        <v/>
      </c>
      <c r="P46" s="106" t="str">
        <f>IF(L47="C",'Dados de Base'!$D$5*0.1,IF(L47="E",5,IF(J46="",O46,J46)))</f>
        <v/>
      </c>
      <c r="Q46" s="108"/>
      <c r="R46" s="115" t="str">
        <f>IF(AD46="","",HYPERLINK(OFFSET(Biblioteca!$B$2,MATCH(AD46,Biblioteca!$A$3:$A$200,0),0),AD46))</f>
        <v/>
      </c>
      <c r="U46" s="109" t="str">
        <f>Montagem!AF231</f>
        <v/>
      </c>
      <c r="V46" s="110" t="str">
        <f>Montagem!AG231</f>
        <v/>
      </c>
      <c r="W46" s="110" t="str">
        <f>Montagem!AH231</f>
        <v/>
      </c>
      <c r="X46" s="110" t="str">
        <f>Montagem!AI231</f>
        <v/>
      </c>
      <c r="Y46" s="110" t="str">
        <f>Montagem!AJ231</f>
        <v/>
      </c>
      <c r="Z46" s="110" t="str">
        <f>Montagem!AK231</f>
        <v/>
      </c>
      <c r="AA46" s="113"/>
      <c r="AB46" s="111">
        <f>Montagem!Z231</f>
        <v>1</v>
      </c>
      <c r="AC46" s="111" t="str">
        <f>Montagem!AL231</f>
        <v/>
      </c>
      <c r="AD46" s="129" t="str">
        <f>Montagem!AA231</f>
        <v/>
      </c>
      <c r="AE46" s="111" t="str">
        <f>Montagem!AM231</f>
        <v/>
      </c>
      <c r="AF46" s="106" t="str">
        <f>IF(AE46="",AC46,AE46)</f>
        <v/>
      </c>
      <c r="AG46" s="106" t="str">
        <f>IF(AC47="C",'Dados de Base'!$D$5*0.1,IF(AC47="E",5,IF(AA46="",AF46,AA46)))</f>
        <v/>
      </c>
      <c r="AH46" s="108"/>
      <c r="AI46" s="115" t="str">
        <f>IF(AU46="","",HYPERLINK(OFFSET(Biblioteca!$B$2,MATCH(AU46,Biblioteca!$A$3:$A$200,0),0),AU46))</f>
        <v/>
      </c>
      <c r="AL46" s="109" t="str">
        <f>Montagem!AU231</f>
        <v/>
      </c>
      <c r="AM46" s="110" t="str">
        <f>Montagem!AV231</f>
        <v/>
      </c>
      <c r="AN46" s="110" t="str">
        <f>Montagem!AW231</f>
        <v/>
      </c>
      <c r="AO46" s="110" t="str">
        <f>Montagem!AX231</f>
        <v/>
      </c>
      <c r="AP46" s="110" t="str">
        <f>Montagem!AY231</f>
        <v/>
      </c>
      <c r="AQ46" s="110" t="str">
        <f>Montagem!AZ231</f>
        <v/>
      </c>
      <c r="AR46" s="114"/>
      <c r="AS46" s="111">
        <f>Montagem!AO231</f>
        <v>1</v>
      </c>
      <c r="AT46" s="111" t="str">
        <f>Montagem!BA231</f>
        <v/>
      </c>
      <c r="AU46" s="111" t="str">
        <f>Montagem!AP231</f>
        <v/>
      </c>
      <c r="AV46" s="111" t="str">
        <f>Montagem!BB231</f>
        <v/>
      </c>
      <c r="AW46" s="106" t="str">
        <f>IF(AV46="",AT46,AV46)</f>
        <v/>
      </c>
      <c r="AX46" s="106" t="str">
        <f>IF(AT47="C",'Dados de Base'!$D$5*0.1,IF(AT47="E",5,IF(AR46="",AW46,AR46)))</f>
        <v/>
      </c>
      <c r="AY46" s="108"/>
      <c r="AZ46" s="115" t="str">
        <f>IF(BL46="","",HYPERLINK(OFFSET(Biblioteca!$B$2,MATCH(BL46,Biblioteca!$A$3:$A$200,0),0),BL46))</f>
        <v/>
      </c>
      <c r="BC46" s="109" t="str">
        <f>Montagem!BJ231</f>
        <v/>
      </c>
      <c r="BD46" s="110" t="str">
        <f>Montagem!BK231</f>
        <v/>
      </c>
      <c r="BE46" s="110" t="str">
        <f>Montagem!BL231</f>
        <v/>
      </c>
      <c r="BF46" s="110" t="str">
        <f>Montagem!BM231</f>
        <v/>
      </c>
      <c r="BG46" s="110" t="str">
        <f>Montagem!BN231</f>
        <v/>
      </c>
      <c r="BH46" s="110" t="str">
        <f>Montagem!BO231</f>
        <v/>
      </c>
      <c r="BI46" s="113"/>
      <c r="BJ46" s="111">
        <f>Montagem!BD231</f>
        <v>1</v>
      </c>
      <c r="BK46" s="111" t="str">
        <f>Montagem!BP231</f>
        <v/>
      </c>
      <c r="BL46" s="111" t="str">
        <f>Montagem!BE231</f>
        <v/>
      </c>
      <c r="BM46" s="111" t="str">
        <f>Montagem!BQ231</f>
        <v/>
      </c>
      <c r="BN46" s="106" t="str">
        <f>IF(BM46="",BK46,BM46)</f>
        <v/>
      </c>
      <c r="BO46" s="106" t="str">
        <f>IF(BK47="C",'Dados de Base'!$D$5*0.1,IF(BK47="E",5,IF(BI46="",BN46,BI46)))</f>
        <v/>
      </c>
      <c r="BP46" s="108"/>
      <c r="BQ46" s="115" t="str">
        <f>IF(CC46="","",HYPERLINK(OFFSET(Biblioteca!$B$2,MATCH(CC46,Biblioteca!$A$3:$A$200,0),0),CC46))</f>
        <v/>
      </c>
      <c r="BT46" s="109" t="str">
        <f>Montagem!BY231</f>
        <v/>
      </c>
      <c r="BU46" s="110" t="str">
        <f>Montagem!BZ231</f>
        <v/>
      </c>
      <c r="BV46" s="110" t="str">
        <f>Montagem!CA231</f>
        <v/>
      </c>
      <c r="BW46" s="110" t="str">
        <f>Montagem!CB231</f>
        <v/>
      </c>
      <c r="BX46" s="110" t="str">
        <f>Montagem!CC231</f>
        <v/>
      </c>
      <c r="BY46" s="110" t="str">
        <f>Montagem!CD231</f>
        <v/>
      </c>
      <c r="BZ46" s="113"/>
      <c r="CA46" s="111">
        <f>Montagem!BS231</f>
        <v>1</v>
      </c>
      <c r="CB46" s="111" t="str">
        <f>Montagem!CE231</f>
        <v/>
      </c>
      <c r="CC46" s="111" t="str">
        <f>Montagem!BT231</f>
        <v/>
      </c>
      <c r="CD46" s="111" t="str">
        <f>Montagem!CF231</f>
        <v/>
      </c>
      <c r="CE46" s="106" t="str">
        <f>IF(CD46="",CB46,CD46)</f>
        <v/>
      </c>
      <c r="CF46" s="106" t="str">
        <f>IF(CB47="C",'Dados de Base'!$D$5*0.1,IF(CB47="E",5,IF(BZ46="",CE46,BZ46)))</f>
        <v/>
      </c>
      <c r="CG46" s="108"/>
      <c r="CH46" s="115" t="str">
        <f>IF(CT46="","",HYPERLINK(OFFSET(Biblioteca!$B$2,MATCH(CT46,Biblioteca!$A$3:$A$200,0),0),CT46))</f>
        <v/>
      </c>
      <c r="CK46" s="109" t="str">
        <f>Montagem!CN231</f>
        <v/>
      </c>
      <c r="CL46" s="110" t="str">
        <f>Montagem!CO231</f>
        <v/>
      </c>
      <c r="CM46" s="110" t="str">
        <f>Montagem!CP231</f>
        <v/>
      </c>
      <c r="CN46" s="110" t="str">
        <f>Montagem!CQ231</f>
        <v/>
      </c>
      <c r="CO46" s="110" t="str">
        <f>Montagem!CR231</f>
        <v/>
      </c>
      <c r="CP46" s="110" t="str">
        <f>Montagem!CS231</f>
        <v/>
      </c>
      <c r="CQ46" s="114"/>
      <c r="CR46" s="111">
        <f>Montagem!CH231</f>
        <v>1</v>
      </c>
      <c r="CS46" s="111" t="str">
        <f>Montagem!CT231</f>
        <v/>
      </c>
      <c r="CT46" s="111" t="str">
        <f>Montagem!CI231</f>
        <v/>
      </c>
      <c r="CU46" s="145" t="str">
        <f>Montagem!CU231</f>
        <v/>
      </c>
      <c r="CV46" s="106" t="str">
        <f>IF(CU46="",CS46,CU46)</f>
        <v/>
      </c>
      <c r="CW46" s="106" t="str">
        <f>IF(CS47="C",'Dados de Base'!$D$5*0.1,IF(CS47="E",5,IF(CQ46="",CV46,CQ46)))</f>
        <v/>
      </c>
      <c r="CX46" s="108"/>
      <c r="CY46" s="115" t="str">
        <f>IF(DK46="","",HYPERLINK(OFFSET(Biblioteca!$B$2,MATCH(DK46,Biblioteca!$A$3:$A$200,0),0),DK46))</f>
        <v/>
      </c>
      <c r="DB46" s="130" t="str">
        <f>Montagem!DC231</f>
        <v/>
      </c>
      <c r="DC46" s="131" t="str">
        <f>Montagem!DD231</f>
        <v/>
      </c>
      <c r="DD46" s="131" t="str">
        <f>Montagem!DE231</f>
        <v/>
      </c>
      <c r="DE46" s="131" t="str">
        <f>Montagem!DF231</f>
        <v/>
      </c>
      <c r="DF46" s="131" t="str">
        <f>Montagem!DG231</f>
        <v/>
      </c>
      <c r="DG46" s="131" t="str">
        <f>Montagem!DH231</f>
        <v/>
      </c>
      <c r="DH46" s="114"/>
      <c r="DI46" s="111">
        <f>Montagem!CW231</f>
        <v>1</v>
      </c>
      <c r="DJ46" s="111" t="str">
        <f>Montagem!DI231</f>
        <v/>
      </c>
      <c r="DK46" s="111" t="str">
        <f>Montagem!CX231</f>
        <v/>
      </c>
      <c r="DL46" s="145" t="str">
        <f>Montagem!DJ231</f>
        <v/>
      </c>
      <c r="DM46" s="106" t="str">
        <f>IF(DL46="",DJ46,DL46)</f>
        <v/>
      </c>
      <c r="DN46" s="106" t="str">
        <f>IF(DJ47="C",'Dados de Base'!$D$5*0.1,IF(DJ47="E",5,IF(DH46="",DM46,DH46)))</f>
        <v/>
      </c>
      <c r="DO46" s="108"/>
      <c r="DP46" s="106"/>
      <c r="DQ46" s="106"/>
      <c r="DR46" s="106"/>
      <c r="DS46" s="106"/>
      <c r="DT46" s="106"/>
      <c r="DU46" s="106"/>
      <c r="DV46" s="106"/>
      <c r="DW46" s="106"/>
      <c r="DX46" s="106"/>
      <c r="DY46" s="106"/>
    </row>
    <row r="47">
      <c r="A47" s="117" t="str">
        <f>IF(A46="","",IFS(L47="A",Montagem!$C$230,N47="T","Realizar a maior quantidade de repetições por "&amp;F46&amp;" segundos | ",N47="I",IF(M47="U","Manter a posição por "&amp;F46&amp;" segundos de um lado e trocar para o outro na sequência | ","Manter a posição por "&amp;F46&amp;" segundos | "),M47="A","Realizar alternadamente "&amp;F46&amp;" repetições cada lado | ",M47="U","Realizar "&amp;F46&amp;" repetições de um lado e trocar para o outro na sequência | ",L47="P",OFFSET(Biblioteca!$H$2,MATCH(M46,Biblioteca!$A$3:$A$200,0),0),TRUE,"")&amp;IF(N47="R","Ajuste a carga para que tenha "&amp;$K$2&amp;" repetições de reserva",""))</f>
        <v/>
      </c>
      <c r="E47" s="118" t="str">
        <f>IF(A46="","",IFS(L47="H","Carga Sugerida: "&amp;ROUNDUP(O46/2,0)&amp;" kg de cada lado (Total: "&amp;ROUNDUP(O46/2,0)*2&amp;" kg)",L47="C","Este exercício usa o Peso Corporal como carga",L47="E","Este exercício usa a resistência da banda elástica como carga",L47="O","Carga Sugerida: "&amp;INT(O46)&amp;" kg",TRUE,""))</f>
        <v/>
      </c>
      <c r="J47" s="66"/>
      <c r="K47" s="106">
        <f>K46</f>
        <v>1</v>
      </c>
      <c r="L47" s="120" t="str">
        <f>LEFT(O47)</f>
        <v/>
      </c>
      <c r="M47" s="121" t="str">
        <f>MID(O47,2,1)</f>
        <v/>
      </c>
      <c r="N47" s="122" t="str">
        <f>RIGHT(O47)</f>
        <v/>
      </c>
      <c r="O47" s="123" t="str">
        <f>IF(M46="","",OFFSET(Biblioteca!$I$2,MATCH(M46,Biblioteca!$A$3:$A$200,0),0))</f>
        <v/>
      </c>
      <c r="P47" s="124"/>
      <c r="Q47" s="125"/>
      <c r="R47" s="117" t="str">
        <f>IF(R46="","",IFS(AC47="A",Montagem!$D$230,AE47="T","Realizar a maior quantidade de repetições por "&amp;W46&amp;" segundos | ",AE47="I",IF(AD47="U","Manter a posição por "&amp;W46&amp;" segundos de um lado e trocar para o outro na sequência | ","Manter a posição por "&amp;W46&amp;" segundos | "),AD47="A","Realizar alternadamente "&amp;W46&amp;" repetições cada lado | ",AD47="U","Realizar "&amp;W46&amp;" repetições de um lado e trocar para o outro na sequência | ",AC47="P",OFFSET(Biblioteca!$H$2,MATCH(AD46,Biblioteca!$A$3:$A$200,0),0),TRUE,"")&amp;IF(AE47="R","Ajuste a carga para que tenha "&amp;$K$2&amp;" repetições de reserva",""))</f>
        <v/>
      </c>
      <c r="V47" s="118" t="str">
        <f>IF(R46="","",IFS(AC47="H","Carga Sugerida: "&amp;ROUNDUP(AF46/2,0)&amp;" kg de cada lado (Total: "&amp;ROUNDUP(AF46/2,0)*2&amp;" kg)",AC47="C","Este exercício usa o Peso Corporal como carga",AC47="E","Este exercício usa a resistência da banda elástica como carga",AC47="O","Carga Sugerida: "&amp;INT(AF46)&amp;" kg",TRUE,""))</f>
        <v/>
      </c>
      <c r="AA47" s="66"/>
      <c r="AB47" s="126">
        <f>AB46</f>
        <v>1</v>
      </c>
      <c r="AC47" s="120" t="str">
        <f>LEFT(AF47)</f>
        <v/>
      </c>
      <c r="AD47" s="121" t="str">
        <f>MID(AF47,2,1)</f>
        <v/>
      </c>
      <c r="AE47" s="122" t="str">
        <f>RIGHT(AF47)</f>
        <v/>
      </c>
      <c r="AF47" s="123" t="str">
        <f>IF(AD46="","",OFFSET(Biblioteca!$I$2,MATCH(AD46,Biblioteca!$A$3:$A$200,0),0))</f>
        <v/>
      </c>
      <c r="AG47" s="124"/>
      <c r="AH47" s="125"/>
      <c r="AI47" s="117" t="str">
        <f>IF(AI46="","",IFS(AT47="A",Montagem!$E$230,AV47="T","Realizar a maior quantidade de repetições por "&amp;AN46&amp;" segundos | ",AV47="I",IF(AU47="U","Manter a posição por "&amp;AN46&amp;" segundos de um lado e trocar para o outro na sequência | ","Manter a posição por "&amp;AN46&amp;" segundos | "),AU47="A","Realizar alternadamente "&amp;AN46&amp;" repetições cada lado | ",AU47="U","Realizar "&amp;AN46&amp;" repetições de um lado e trocar para o outro na sequência | ",AT47="P",OFFSET(Biblioteca!$H$2,MATCH(AU46,Biblioteca!$A$3:$A$200,0),0),TRUE,"")&amp;IF(AV47="R","Ajuste a carga para que tenha "&amp;$K$2&amp;" repetições de reserva",""))</f>
        <v/>
      </c>
      <c r="AM47" s="118" t="str">
        <f>IF(AI46="","",IFS(AT47="H","Carga Sugerida: "&amp;ROUNDUP(AW46/2,0)&amp;" kg de cada lado (Total: "&amp;ROUNDUP(AW46/2,0)*2&amp;" kg)",AT47="C","Este exercício usa o Peso Corporal como carga",AT47="E","Este exercício usa a resistência da banda elástica como carga",AT47="O","Carga Sugerida: "&amp;INT(AW46)&amp;" kg",TRUE,""))</f>
        <v/>
      </c>
      <c r="AR47" s="66"/>
      <c r="AS47" s="126">
        <f>AS46</f>
        <v>1</v>
      </c>
      <c r="AT47" s="120" t="str">
        <f>LEFT(AW47)</f>
        <v/>
      </c>
      <c r="AU47" s="121" t="str">
        <f>MID(AW47,2,1)</f>
        <v/>
      </c>
      <c r="AV47" s="122" t="str">
        <f>RIGHT(AW47)</f>
        <v/>
      </c>
      <c r="AW47" s="123" t="str">
        <f>IF(AU46="","",OFFSET(Biblioteca!$I$2,MATCH(AU46,Biblioteca!$A$3:$A$200,0),0))</f>
        <v/>
      </c>
      <c r="AX47" s="124"/>
      <c r="AY47" s="125"/>
      <c r="AZ47" s="117" t="str">
        <f>IF(AZ46="","",IFS(BK47="A",Montagem!$F$230,BM47="T","Realizar a maior quantidade de repetições por "&amp;BE46&amp;" segundos | ",BM47="I",IF(BL47="U","Manter a posição por "&amp;BE46&amp;" segundos de um lado e trocar para o outro na sequência | ","Manter a posição por "&amp;BE46&amp;" segundos | "),BL47="A","Realizar alternadamente "&amp;BE46&amp;" repetições cada lado | ",BL47="U","Realizar "&amp;BE46&amp;" repetições de um lado e trocar para o outro na sequência | ",BK47="P",OFFSET(Biblioteca!$H$2,MATCH(BL46,Biblioteca!$A$3:$A$200,0),0),TRUE,"")&amp;IF(BM47="R","Ajuste a carga para que tenha "&amp;$K$2&amp;" repetições de reserva",""))</f>
        <v/>
      </c>
      <c r="BD47" s="118" t="str">
        <f>IF(AZ46="","",IFS(BK47="H","Carga Sugerida: "&amp;ROUNDUP(BN46/2,0)&amp;" kg de cada lado (Total: "&amp;ROUNDUP(BN46/2,0)*2&amp;" kg)",BK47="C","Este exercício usa o Peso Corporal como carga",BK47="E","Este exercício usa a resistência da banda elástica como carga",BK47="O","Carga Sugerida: "&amp;INT(BN46)&amp;" kg",TRUE,""))</f>
        <v/>
      </c>
      <c r="BI47" s="66"/>
      <c r="BJ47" s="126">
        <f>BJ46</f>
        <v>1</v>
      </c>
      <c r="BK47" s="120" t="str">
        <f>LEFT(BN47)</f>
        <v/>
      </c>
      <c r="BL47" s="121" t="str">
        <f>MID(BN47,2,1)</f>
        <v/>
      </c>
      <c r="BM47" s="122" t="str">
        <f>RIGHT(BN47)</f>
        <v/>
      </c>
      <c r="BN47" s="123" t="str">
        <f>IF(BL46="","",OFFSET(Biblioteca!$I$2,MATCH(BL46,Biblioteca!$A$3:$A$200,0),0))</f>
        <v/>
      </c>
      <c r="BO47" s="124"/>
      <c r="BP47" s="125"/>
      <c r="BQ47" s="117" t="str">
        <f>IF(BQ46="","",IFS(CB47="A",Montagem!$G$230,CD47="T","Realizar a maior quantidade de repetições por "&amp;BV46&amp;" segundos | ",CD47="I",IF(CC47="U","Manter a posição por "&amp;BV46&amp;" segundos de um lado e trocar para o outro na sequência | ","Manter a posição por "&amp;BV46&amp;" segundos | "),CC47="A","Realizar alternadamente "&amp;BV46&amp;" repetições cada lado | ",CC47="U","Realizar "&amp;BV46&amp;" repetições de um lado e trocar para o outro na sequência | ",CB47="P",OFFSET(Biblioteca!$H$2,MATCH(CC46,Biblioteca!$A$3:$A$200,0),0),TRUE,"")&amp;IF(CD47="R","Ajuste a carga para que tenha "&amp;$K$2&amp;" repetições de reserva",""))</f>
        <v/>
      </c>
      <c r="BU47" s="118" t="str">
        <f>IF(BQ46="","",IFS(CB47="H","Carga Sugerida: "&amp;ROUNDUP(CE46/2,0)&amp;" kg de cada lado (Total: "&amp;ROUNDUP(CE46/2,0)*2&amp;" kg)",CB47="C","Este exercício usa o Peso Corporal como carga",CB47="E","Este exercício usa a resistência da banda elástica como carga",CB47="O","Carga Sugerida: "&amp;INT(CE46)&amp;" kg",TRUE,""))</f>
        <v/>
      </c>
      <c r="BZ47" s="66"/>
      <c r="CA47" s="126">
        <f>CA46</f>
        <v>1</v>
      </c>
      <c r="CB47" s="120" t="str">
        <f>LEFT(CE47)</f>
        <v/>
      </c>
      <c r="CC47" s="121" t="str">
        <f>MID(CE47,2,1)</f>
        <v/>
      </c>
      <c r="CD47" s="122" t="str">
        <f>RIGHT(CE47)</f>
        <v/>
      </c>
      <c r="CE47" s="123" t="str">
        <f>IF(CC46="","",OFFSET(Biblioteca!$I$2,MATCH(CC46,Biblioteca!$A$3:$A$200,0),0))</f>
        <v/>
      </c>
      <c r="CF47" s="124"/>
      <c r="CG47" s="125"/>
      <c r="CH47" s="117" t="str">
        <f>IF(CH46="","",IFS(CS47="A",Montagem!$H$230,CU47="T","Realizar a maior quantidade de repetições por "&amp;CM46&amp;" segundos | ",CU47="I",IF(CT47="U","Manter a posição por "&amp;CM46&amp;" segundos de um lado e trocar para o outro na sequência | ","Manter a posição por "&amp;CM46&amp;" segundos | "),CT47="A","Realizar alternadamente "&amp;CM46&amp;" repetições cada lado | ",CT47="U","Realizar "&amp;CM46&amp;" repetições de um lado e trocar para o outro na sequência | ",CS47="P",OFFSET(Biblioteca!$H$2,MATCH(CT46,Biblioteca!$A$3:$A$200,0),0),TRUE,"")&amp;IF(CU47="R","Ajuste a carga para que tenha "&amp;$K$2&amp;" repetições de reserva",""))</f>
        <v/>
      </c>
      <c r="CL47" s="118" t="str">
        <f>IF(CH46="","",IFS(CS47="H","Carga Sugerida: "&amp;ROUNDUP(CV46/2,0)&amp;" kg de cada lado (Total: "&amp;ROUNDUP(CV46/2,0)*2&amp;" kg)",CS47="C","Este exercício usa o Peso Corporal como carga",CS47="E","Este exercício usa a resistência da banda elástica como carga",CS47="O","Carga Sugerida: "&amp;INT(CV46)&amp;" kg",TRUE,""))</f>
        <v/>
      </c>
      <c r="CQ47" s="66"/>
      <c r="CR47" s="126">
        <f>CR46</f>
        <v>1</v>
      </c>
      <c r="CS47" s="120" t="str">
        <f>LEFT(CV47)</f>
        <v/>
      </c>
      <c r="CT47" s="121" t="str">
        <f>MID(CV47,2,1)</f>
        <v/>
      </c>
      <c r="CU47" s="122" t="str">
        <f>RIGHT(CV47)</f>
        <v/>
      </c>
      <c r="CV47" s="123" t="str">
        <f>IF(CT46="","",OFFSET(Biblioteca!$I$2,MATCH(CT46,Biblioteca!$A$3:$A$200,0),0))</f>
        <v/>
      </c>
      <c r="CW47" s="124"/>
      <c r="CX47" s="125"/>
      <c r="CY47" s="117" t="str">
        <f>IF(CY46="","",IFS(DJ47="A",Montagem!$I$230,DL47="T","Realizar a maior quantidade de repetições por "&amp;DD46&amp;" segundos | ",DL47="I",IF(DK47="U","Manter a posição por "&amp;DD46&amp;" segundos de um lado e trocar para o outro na sequência | ","Manter a posição por "&amp;DD46&amp;" segundos | "),DK47="A","Realizar alternadamente "&amp;DD46&amp;" repetições cada lado | ",DK47="U","Realizar "&amp;DD46&amp;" repetições de um lado e trocar para o outro na sequência | ",DJ47="P",OFFSET(Biblioteca!$H$2,MATCH(DK46,Biblioteca!$A$3:$A$200,0),0),TRUE,"")&amp;IF(DL47="R","Ajuste a carga para que tenha "&amp;$K$2&amp;" repetições de reserva",""))</f>
        <v/>
      </c>
      <c r="DC47" s="118" t="str">
        <f>IF(CY46="","",IFS(DJ47="H","Carga Sugerida: "&amp;ROUNDUP(DM46/2,0)&amp;" kg de cada lado (Total: "&amp;ROUNDUP(DM46/2,0)*2&amp;" kg)",DJ47="C","Este exercício usa o Peso Corporal como carga",DJ47="E","Este exercício usa a resistência da banda elástica como carga",DJ47="O","Carga Sugerida: "&amp;INT(DM46)&amp;" kg",TRUE,""))</f>
        <v/>
      </c>
      <c r="DH47" s="66"/>
      <c r="DI47" s="126">
        <f>DI46</f>
        <v>1</v>
      </c>
      <c r="DJ47" s="120" t="str">
        <f>LEFT(DM47)</f>
        <v/>
      </c>
      <c r="DK47" s="121" t="str">
        <f>MID(DM47,2,1)</f>
        <v/>
      </c>
      <c r="DL47" s="122" t="str">
        <f>RIGHT(DM47)</f>
        <v/>
      </c>
      <c r="DM47" s="123" t="str">
        <f>IF(DK46="","",OFFSET(Biblioteca!$I$2,MATCH(DK46,Biblioteca!$A$3:$A$200,0),0))</f>
        <v/>
      </c>
      <c r="DN47" s="124"/>
      <c r="DO47" s="125"/>
      <c r="DP47" s="57"/>
      <c r="DQ47" s="56"/>
      <c r="DR47" s="56"/>
      <c r="DS47" s="56"/>
      <c r="DT47" s="56"/>
      <c r="DU47" s="56"/>
      <c r="DV47" s="56"/>
      <c r="DW47" s="56"/>
      <c r="DX47" s="56"/>
      <c r="DY47" s="56"/>
    </row>
    <row r="48">
      <c r="A48" s="115" t="str">
        <f>IF(M48="","",HYPERLINK(OFFSET(Biblioteca!$B$2,MATCH(M48,Biblioteca!$A$3:$A$200,0),0),M48))</f>
        <v/>
      </c>
      <c r="D48" s="103" t="str">
        <f>Montagem!Q232</f>
        <v/>
      </c>
      <c r="E48" s="104" t="str">
        <f>Montagem!R232</f>
        <v/>
      </c>
      <c r="F48" s="104" t="str">
        <f>Montagem!S232</f>
        <v/>
      </c>
      <c r="G48" s="104" t="str">
        <f>Montagem!T232</f>
        <v/>
      </c>
      <c r="H48" s="104" t="str">
        <f>Montagem!U232</f>
        <v/>
      </c>
      <c r="I48" s="132" t="str">
        <f>Montagem!V232</f>
        <v/>
      </c>
      <c r="J48" s="105"/>
      <c r="K48" s="106">
        <f>Montagem!K232</f>
        <v>1</v>
      </c>
      <c r="L48" s="111" t="str">
        <f>Montagem!W232</f>
        <v/>
      </c>
      <c r="M48" s="111" t="str">
        <f>Montagem!L232</f>
        <v/>
      </c>
      <c r="N48" s="111" t="str">
        <f>Montagem!X232</f>
        <v/>
      </c>
      <c r="O48" s="106" t="str">
        <f>IF(N48="",L48,N48)</f>
        <v/>
      </c>
      <c r="P48" s="106" t="str">
        <f>IF(L49="C",'Dados de Base'!$D$5*0.1,IF(L49="E",5,IF(J48="",O48,J48)))</f>
        <v/>
      </c>
      <c r="Q48" s="108"/>
      <c r="R48" s="115" t="str">
        <f>IF(AD48="","",HYPERLINK(OFFSET(Biblioteca!$B$2,MATCH(AD48,Biblioteca!$A$3:$A$200,0),0),AD48))</f>
        <v/>
      </c>
      <c r="U48" s="109" t="str">
        <f>Montagem!AF232</f>
        <v/>
      </c>
      <c r="V48" s="110" t="str">
        <f>Montagem!AG232</f>
        <v/>
      </c>
      <c r="W48" s="110" t="str">
        <f>Montagem!AH232</f>
        <v/>
      </c>
      <c r="X48" s="110" t="str">
        <f>Montagem!AI232</f>
        <v/>
      </c>
      <c r="Y48" s="110" t="str">
        <f>Montagem!AJ232</f>
        <v/>
      </c>
      <c r="Z48" s="110" t="str">
        <f>Montagem!AK232</f>
        <v/>
      </c>
      <c r="AA48" s="113"/>
      <c r="AB48" s="111">
        <f>Montagem!Z232</f>
        <v>1</v>
      </c>
      <c r="AC48" s="111" t="str">
        <f>Montagem!AL232</f>
        <v/>
      </c>
      <c r="AD48" s="129" t="str">
        <f>Montagem!AA232</f>
        <v/>
      </c>
      <c r="AE48" s="111" t="str">
        <f>Montagem!AM232</f>
        <v/>
      </c>
      <c r="AF48" s="106" t="str">
        <f>IF(AE48="",AC48,AE48)</f>
        <v/>
      </c>
      <c r="AG48" s="106" t="str">
        <f>IF(AC49="C",'Dados de Base'!$D$5*0.1,IF(AC49="E",5,IF(AA48="",AF48,AA48)))</f>
        <v/>
      </c>
      <c r="AH48" s="108"/>
      <c r="AI48" s="115" t="str">
        <f>IF(AU48="","",HYPERLINK(OFFSET(Biblioteca!$B$2,MATCH(AU48,Biblioteca!$A$3:$A$200,0),0),AU48))</f>
        <v/>
      </c>
      <c r="AL48" s="109" t="str">
        <f>Montagem!AU232</f>
        <v/>
      </c>
      <c r="AM48" s="110" t="str">
        <f>Montagem!AV232</f>
        <v/>
      </c>
      <c r="AN48" s="110" t="str">
        <f>Montagem!AW232</f>
        <v/>
      </c>
      <c r="AO48" s="110" t="str">
        <f>Montagem!AX232</f>
        <v/>
      </c>
      <c r="AP48" s="110" t="str">
        <f>Montagem!AY232</f>
        <v/>
      </c>
      <c r="AQ48" s="110" t="str">
        <f>Montagem!AZ232</f>
        <v/>
      </c>
      <c r="AR48" s="114"/>
      <c r="AS48" s="111">
        <f>Montagem!AO232</f>
        <v>1</v>
      </c>
      <c r="AT48" s="111" t="str">
        <f>Montagem!BA232</f>
        <v/>
      </c>
      <c r="AU48" s="111" t="str">
        <f>Montagem!AP232</f>
        <v/>
      </c>
      <c r="AV48" s="111" t="str">
        <f>Montagem!BB232</f>
        <v/>
      </c>
      <c r="AW48" s="106" t="str">
        <f>IF(AV48="",AT48,AV48)</f>
        <v/>
      </c>
      <c r="AX48" s="106" t="str">
        <f>IF(AT49="C",'Dados de Base'!$D$5*0.1,IF(AT49="E",5,IF(AR48="",AW48,AR48)))</f>
        <v/>
      </c>
      <c r="AY48" s="108"/>
      <c r="AZ48" s="115" t="str">
        <f>IF(BL48="","",HYPERLINK(OFFSET(Biblioteca!$B$2,MATCH(BL48,Biblioteca!$A$3:$A$200,0),0),BL48))</f>
        <v/>
      </c>
      <c r="BC48" s="109" t="str">
        <f>Montagem!BJ232</f>
        <v/>
      </c>
      <c r="BD48" s="110" t="str">
        <f>Montagem!BK232</f>
        <v/>
      </c>
      <c r="BE48" s="110" t="str">
        <f>Montagem!BL232</f>
        <v/>
      </c>
      <c r="BF48" s="110" t="str">
        <f>Montagem!BM232</f>
        <v/>
      </c>
      <c r="BG48" s="110" t="str">
        <f>Montagem!BN232</f>
        <v/>
      </c>
      <c r="BH48" s="110" t="str">
        <f>Montagem!BO232</f>
        <v/>
      </c>
      <c r="BI48" s="113"/>
      <c r="BJ48" s="111">
        <f>Montagem!BD232</f>
        <v>1</v>
      </c>
      <c r="BK48" s="111" t="str">
        <f>Montagem!BP232</f>
        <v/>
      </c>
      <c r="BL48" s="111" t="str">
        <f>Montagem!BE232</f>
        <v/>
      </c>
      <c r="BM48" s="111" t="str">
        <f>Montagem!BQ232</f>
        <v/>
      </c>
      <c r="BN48" s="106" t="str">
        <f>IF(BM48="",BK48,BM48)</f>
        <v/>
      </c>
      <c r="BO48" s="106" t="str">
        <f>IF(BK49="C",'Dados de Base'!$D$5*0.1,IF(BK49="E",5,IF(BI48="",BN48,BI48)))</f>
        <v/>
      </c>
      <c r="BP48" s="108"/>
      <c r="BQ48" s="115" t="str">
        <f>IF(CC48="","",HYPERLINK(OFFSET(Biblioteca!$B$2,MATCH(CC48,Biblioteca!$A$3:$A$200,0),0),CC48))</f>
        <v/>
      </c>
      <c r="BT48" s="109" t="str">
        <f>Montagem!BY232</f>
        <v/>
      </c>
      <c r="BU48" s="110" t="str">
        <f>Montagem!BZ232</f>
        <v/>
      </c>
      <c r="BV48" s="110" t="str">
        <f>Montagem!CA232</f>
        <v/>
      </c>
      <c r="BW48" s="110" t="str">
        <f>Montagem!CB232</f>
        <v/>
      </c>
      <c r="BX48" s="110" t="str">
        <f>Montagem!CC232</f>
        <v/>
      </c>
      <c r="BY48" s="110" t="str">
        <f>Montagem!CD232</f>
        <v/>
      </c>
      <c r="BZ48" s="113"/>
      <c r="CA48" s="111">
        <f>Montagem!BS232</f>
        <v>1</v>
      </c>
      <c r="CB48" s="111" t="str">
        <f>Montagem!CE232</f>
        <v/>
      </c>
      <c r="CC48" s="111" t="str">
        <f>Montagem!BT232</f>
        <v/>
      </c>
      <c r="CD48" s="111" t="str">
        <f>Montagem!CF232</f>
        <v/>
      </c>
      <c r="CE48" s="106" t="str">
        <f>IF(CD48="",CB48,CD48)</f>
        <v/>
      </c>
      <c r="CF48" s="106" t="str">
        <f>IF(CB49="C",'Dados de Base'!$D$5*0.1,IF(CB49="E",5,IF(BZ48="",CE48,BZ48)))</f>
        <v/>
      </c>
      <c r="CG48" s="108"/>
      <c r="CH48" s="115" t="str">
        <f>IF(CT48="","",HYPERLINK(OFFSET(Biblioteca!$B$2,MATCH(CT48,Biblioteca!$A$3:$A$200,0),0),CT48))</f>
        <v/>
      </c>
      <c r="CK48" s="109" t="str">
        <f>Montagem!CN232</f>
        <v/>
      </c>
      <c r="CL48" s="110" t="str">
        <f>Montagem!CO232</f>
        <v/>
      </c>
      <c r="CM48" s="110" t="str">
        <f>Montagem!CP232</f>
        <v/>
      </c>
      <c r="CN48" s="110" t="str">
        <f>Montagem!CQ232</f>
        <v/>
      </c>
      <c r="CO48" s="110" t="str">
        <f>Montagem!CR232</f>
        <v/>
      </c>
      <c r="CP48" s="110" t="str">
        <f>Montagem!CS232</f>
        <v/>
      </c>
      <c r="CQ48" s="114"/>
      <c r="CR48" s="111">
        <f>Montagem!CH232</f>
        <v>1</v>
      </c>
      <c r="CS48" s="111" t="str">
        <f>Montagem!CT232</f>
        <v/>
      </c>
      <c r="CT48" s="111" t="str">
        <f>Montagem!CI232</f>
        <v/>
      </c>
      <c r="CU48" s="145" t="str">
        <f>Montagem!CU232</f>
        <v/>
      </c>
      <c r="CV48" s="106" t="str">
        <f>IF(CU48="",CS48,CU48)</f>
        <v/>
      </c>
      <c r="CW48" s="106" t="str">
        <f>IF(CS49="C",'Dados de Base'!$D$5*0.1,IF(CS49="E",5,IF(CQ48="",CV48,CQ48)))</f>
        <v/>
      </c>
      <c r="CX48" s="108"/>
      <c r="CY48" s="115" t="str">
        <f>IF(DK48="","",HYPERLINK(OFFSET(Biblioteca!$B$2,MATCH(DK48,Biblioteca!$A$3:$A$200,0),0),DK48))</f>
        <v/>
      </c>
      <c r="DB48" s="130" t="str">
        <f>Montagem!DC232</f>
        <v/>
      </c>
      <c r="DC48" s="131" t="str">
        <f>Montagem!DD232</f>
        <v/>
      </c>
      <c r="DD48" s="131" t="str">
        <f>Montagem!DE232</f>
        <v/>
      </c>
      <c r="DE48" s="131" t="str">
        <f>Montagem!DF232</f>
        <v/>
      </c>
      <c r="DF48" s="131" t="str">
        <f>Montagem!DG232</f>
        <v/>
      </c>
      <c r="DG48" s="131" t="str">
        <f>Montagem!DH232</f>
        <v/>
      </c>
      <c r="DH48" s="114"/>
      <c r="DI48" s="111">
        <f>Montagem!CW232</f>
        <v>1</v>
      </c>
      <c r="DJ48" s="111" t="str">
        <f>Montagem!DI232</f>
        <v/>
      </c>
      <c r="DK48" s="111" t="str">
        <f>Montagem!CX232</f>
        <v/>
      </c>
      <c r="DL48" s="145" t="str">
        <f>Montagem!DJ232</f>
        <v/>
      </c>
      <c r="DM48" s="106" t="str">
        <f>IF(DL48="",DJ48,DL48)</f>
        <v/>
      </c>
      <c r="DN48" s="106" t="str">
        <f>IF(DJ49="C",'Dados de Base'!$D$5*0.1,IF(DJ49="E",5,IF(DH48="",DM48,DH48)))</f>
        <v/>
      </c>
      <c r="DO48" s="108"/>
      <c r="DP48" s="106"/>
      <c r="DQ48" s="106"/>
      <c r="DR48" s="106"/>
      <c r="DS48" s="106"/>
      <c r="DT48" s="106"/>
      <c r="DU48" s="106"/>
      <c r="DV48" s="106"/>
      <c r="DW48" s="106"/>
      <c r="DX48" s="106"/>
      <c r="DY48" s="106"/>
    </row>
    <row r="49">
      <c r="A49" s="117" t="str">
        <f>IF(A48="","",IFS(L49="A",Montagem!$C$230,N49="T","Realizar a maior quantidade de repetições por "&amp;F48&amp;" segundos | ",N49="I",IF(M49="U","Manter a posição por "&amp;F48&amp;" segundos de um lado e trocar para o outro na sequência | ","Manter a posição por "&amp;F48&amp;" segundos | "),M49="A","Realizar alternadamente "&amp;F48&amp;" repetições cada lado | ",M49="U","Realizar "&amp;F48&amp;" repetições de um lado e trocar para o outro na sequência | ",L49="P",OFFSET(Biblioteca!$H$2,MATCH(M48,Biblioteca!$A$3:$A$200,0),0),TRUE,"")&amp;IF(N49="R","Ajuste a carga para que tenha "&amp;$K$2&amp;" repetições de reserva",""))</f>
        <v/>
      </c>
      <c r="E49" s="118" t="str">
        <f>IF(A48="","",IFS(L49="H","Carga Sugerida: "&amp;ROUNDUP(O48/2,0)&amp;" kg de cada lado (Total: "&amp;ROUNDUP(O48/2,0)*2&amp;" kg)",L49="C","Este exercício usa o Peso Corporal como carga",L49="E","Este exercício usa a resistência da banda elástica como carga",L49="O","Carga Sugerida: "&amp;INT(O48)&amp;" kg",TRUE,""))</f>
        <v/>
      </c>
      <c r="J49" s="66"/>
      <c r="K49" s="106">
        <f>K48</f>
        <v>1</v>
      </c>
      <c r="L49" s="120" t="str">
        <f>LEFT(O49)</f>
        <v/>
      </c>
      <c r="M49" s="121" t="str">
        <f>MID(O49,2,1)</f>
        <v/>
      </c>
      <c r="N49" s="122" t="str">
        <f>RIGHT(O49)</f>
        <v/>
      </c>
      <c r="O49" s="123" t="str">
        <f>IF(M48="","",OFFSET(Biblioteca!$I$2,MATCH(M48,Biblioteca!$A$3:$A$200,0),0))</f>
        <v/>
      </c>
      <c r="P49" s="57"/>
      <c r="Q49" s="125"/>
      <c r="R49" s="117" t="str">
        <f>IF(R48="","",IFS(AC49="A",Montagem!$D$230,AE49="T","Realizar a maior quantidade de repetições por "&amp;W48&amp;" segundos | ",AE49="I",IF(AD49="U","Manter a posição por "&amp;W48&amp;" segundos de um lado e trocar para o outro na sequência | ","Manter a posição por "&amp;W48&amp;" segundos | "),AD49="A","Realizar alternadamente "&amp;W48&amp;" repetições cada lado | ",AD49="U","Realizar "&amp;W48&amp;" repetições de um lado e trocar para o outro na sequência | ",AC49="P",OFFSET(Biblioteca!$H$2,MATCH(AD48,Biblioteca!$A$3:$A$200,0),0),TRUE,"")&amp;IF(AE49="R","Ajuste a carga para que tenha "&amp;$K$2&amp;" repetições de reserva",""))</f>
        <v/>
      </c>
      <c r="V49" s="118" t="str">
        <f>IF(R48="","",IFS(AC49="H","Carga Sugerida: "&amp;ROUNDUP(AF48/2,0)&amp;" kg de cada lado (Total: "&amp;ROUNDUP(AF48/2,0)*2&amp;" kg)",AC49="C","Este exercício usa o Peso Corporal como carga",AC49="E","Este exercício usa a resistência da banda elástica como carga",AC49="O","Carga Sugerida: "&amp;INT(AF48)&amp;" kg",TRUE,""))</f>
        <v/>
      </c>
      <c r="AA49" s="66"/>
      <c r="AB49" s="126">
        <f>AB48</f>
        <v>1</v>
      </c>
      <c r="AC49" s="120" t="str">
        <f>LEFT(AF49)</f>
        <v/>
      </c>
      <c r="AD49" s="121" t="str">
        <f>MID(AF49,2,1)</f>
        <v/>
      </c>
      <c r="AE49" s="122" t="str">
        <f>RIGHT(AF49)</f>
        <v/>
      </c>
      <c r="AF49" s="123" t="str">
        <f>IF(AD48="","",OFFSET(Biblioteca!$I$2,MATCH(AD48,Biblioteca!$A$3:$A$200,0),0))</f>
        <v/>
      </c>
      <c r="AG49" s="57"/>
      <c r="AH49" s="125"/>
      <c r="AI49" s="117" t="str">
        <f>IF(AI48="","",IFS(AT49="A",Montagem!$E$230,AV49="T","Realizar a maior quantidade de repetições por "&amp;AN48&amp;" segundos | ",AV49="I",IF(AU49="U","Manter a posição por "&amp;AN48&amp;" segundos de um lado e trocar para o outro na sequência | ","Manter a posição por "&amp;AN48&amp;" segundos | "),AU49="A","Realizar alternadamente "&amp;AN48&amp;" repetições cada lado | ",AU49="U","Realizar "&amp;AN48&amp;" repetições de um lado e trocar para o outro na sequência | ",AT49="P",OFFSET(Biblioteca!$H$2,MATCH(AU48,Biblioteca!$A$3:$A$200,0),0),TRUE,"")&amp;IF(AV49="R","Ajuste a carga para que tenha "&amp;$K$2&amp;" repetições de reserva",""))</f>
        <v/>
      </c>
      <c r="AM49" s="118" t="str">
        <f>IF(AI48="","",IFS(AT49="H","Carga Sugerida: "&amp;ROUNDUP(AW48/2,0)&amp;" kg de cada lado (Total: "&amp;ROUNDUP(AW48/2,0)*2&amp;" kg)",AT49="C","Este exercício usa o Peso Corporal como carga",AT49="E","Este exercício usa a resistência da banda elástica como carga",AT49="O","Carga Sugerida: "&amp;INT(AW48)&amp;" kg",TRUE,""))</f>
        <v/>
      </c>
      <c r="AR49" s="66"/>
      <c r="AS49" s="126">
        <f>AS48</f>
        <v>1</v>
      </c>
      <c r="AT49" s="120" t="str">
        <f>LEFT(AW49)</f>
        <v/>
      </c>
      <c r="AU49" s="121" t="str">
        <f>MID(AW49,2,1)</f>
        <v/>
      </c>
      <c r="AV49" s="122" t="str">
        <f>RIGHT(AW49)</f>
        <v/>
      </c>
      <c r="AW49" s="123" t="str">
        <f>IF(AU48="","",OFFSET(Biblioteca!$I$2,MATCH(AU48,Biblioteca!$A$3:$A$200,0),0))</f>
        <v/>
      </c>
      <c r="AX49" s="57"/>
      <c r="AY49" s="125"/>
      <c r="AZ49" s="117" t="str">
        <f>IF(AZ48="","",IFS(BK49="A",Montagem!$F$230,BM49="T","Realizar a maior quantidade de repetições por "&amp;BE48&amp;" segundos | ",BM49="I",IF(BL49="U","Manter a posição por "&amp;BE48&amp;" segundos de um lado e trocar para o outro na sequência | ","Manter a posição por "&amp;BE48&amp;" segundos | "),BL49="A","Realizar alternadamente "&amp;BE48&amp;" repetições cada lado | ",BL49="U","Realizar "&amp;BE48&amp;" repetições de um lado e trocar para o outro na sequência | ",BK49="P",OFFSET(Biblioteca!$H$2,MATCH(BL48,Biblioteca!$A$3:$A$200,0),0),TRUE,"")&amp;IF(BM49="R","Ajuste a carga para que tenha "&amp;$K$2&amp;" repetições de reserva",""))</f>
        <v/>
      </c>
      <c r="BD49" s="118" t="str">
        <f>IF(AZ48="","",IFS(BK49="H","Carga Sugerida: "&amp;ROUNDUP(BN48/2,0)&amp;" kg de cada lado (Total: "&amp;ROUNDUP(BN48/2,0)*2&amp;" kg)",BK49="C","Este exercício usa o Peso Corporal como carga",BK49="E","Este exercício usa a resistência da banda elástica como carga",BK49="O","Carga Sugerida: "&amp;INT(BN48)&amp;" kg",TRUE,""))</f>
        <v/>
      </c>
      <c r="BI49" s="66"/>
      <c r="BJ49" s="126">
        <f>BJ48</f>
        <v>1</v>
      </c>
      <c r="BK49" s="120" t="str">
        <f>LEFT(BN49)</f>
        <v/>
      </c>
      <c r="BL49" s="121" t="str">
        <f>MID(BN49,2,1)</f>
        <v/>
      </c>
      <c r="BM49" s="122" t="str">
        <f>RIGHT(BN49)</f>
        <v/>
      </c>
      <c r="BN49" s="123" t="str">
        <f>IF(BL48="","",OFFSET(Biblioteca!$I$2,MATCH(BL48,Biblioteca!$A$3:$A$200,0),0))</f>
        <v/>
      </c>
      <c r="BO49" s="57"/>
      <c r="BP49" s="125"/>
      <c r="BQ49" s="117" t="str">
        <f>IF(BQ48="","",IFS(CB49="A",Montagem!$G$230,CD49="T","Realizar a maior quantidade de repetições por "&amp;BV48&amp;" segundos | ",CD49="I",IF(CC49="U","Manter a posição por "&amp;BV48&amp;" segundos de um lado e trocar para o outro na sequência | ","Manter a posição por "&amp;BV48&amp;" segundos | "),CC49="A","Realizar alternadamente "&amp;BV48&amp;" repetições cada lado | ",CC49="U","Realizar "&amp;BV48&amp;" repetições de um lado e trocar para o outro na sequência | ",CB49="P",OFFSET(Biblioteca!$H$2,MATCH(CC48,Biblioteca!$A$3:$A$200,0),0),TRUE,"")&amp;IF(CD49="R","Ajuste a carga para que tenha "&amp;$K$2&amp;" repetições de reserva",""))</f>
        <v/>
      </c>
      <c r="BU49" s="118" t="str">
        <f>IF(BQ48="","",IFS(CB49="H","Carga Sugerida: "&amp;ROUNDUP(CE48/2,0)&amp;" kg de cada lado (Total: "&amp;ROUNDUP(CE48/2,0)*2&amp;" kg)",CB49="C","Este exercício usa o Peso Corporal como carga",CB49="E","Este exercício usa a resistência da banda elástica como carga",CB49="O","Carga Sugerida: "&amp;INT(CE48)&amp;" kg",TRUE,""))</f>
        <v/>
      </c>
      <c r="BZ49" s="66"/>
      <c r="CA49" s="126">
        <f>CA48</f>
        <v>1</v>
      </c>
      <c r="CB49" s="120" t="str">
        <f>LEFT(CE49)</f>
        <v/>
      </c>
      <c r="CC49" s="121" t="str">
        <f>MID(CE49,2,1)</f>
        <v/>
      </c>
      <c r="CD49" s="122" t="str">
        <f>RIGHT(CE49)</f>
        <v/>
      </c>
      <c r="CE49" s="123" t="str">
        <f>IF(CC48="","",OFFSET(Biblioteca!$I$2,MATCH(CC48,Biblioteca!$A$3:$A$200,0),0))</f>
        <v/>
      </c>
      <c r="CF49" s="57"/>
      <c r="CG49" s="125"/>
      <c r="CH49" s="117" t="str">
        <f>IF(CH48="","",IFS(CS49="A",Montagem!$H$230,CU49="T","Realizar a maior quantidade de repetições por "&amp;CM48&amp;" segundos | ",CU49="I",IF(CT49="U","Manter a posição por "&amp;CM48&amp;" segundos de um lado e trocar para o outro na sequência | ","Manter a posição por "&amp;CM48&amp;" segundos | "),CT49="A","Realizar alternadamente "&amp;CM48&amp;" repetições cada lado | ",CT49="U","Realizar "&amp;CM48&amp;" repetições de um lado e trocar para o outro na sequência | ",CS49="P",OFFSET(Biblioteca!$H$2,MATCH(CT48,Biblioteca!$A$3:$A$200,0),0),TRUE,"")&amp;IF(CU49="R","Ajuste a carga para que tenha "&amp;$K$2&amp;" repetições de reserva",""))</f>
        <v/>
      </c>
      <c r="CL49" s="118" t="str">
        <f>IF(CH48="","",IFS(CS49="H","Carga Sugerida: "&amp;ROUNDUP(CV48/2,0)&amp;" kg de cada lado (Total: "&amp;ROUNDUP(CV48/2,0)*2&amp;" kg)",CS49="C","Este exercício usa o Peso Corporal como carga",CS49="E","Este exercício usa a resistência da banda elástica como carga",CS49="O","Carga Sugerida: "&amp;INT(CV48)&amp;" kg",TRUE,""))</f>
        <v/>
      </c>
      <c r="CQ49" s="66"/>
      <c r="CR49" s="126">
        <f>CR48</f>
        <v>1</v>
      </c>
      <c r="CS49" s="120" t="str">
        <f>LEFT(CV49)</f>
        <v/>
      </c>
      <c r="CT49" s="121" t="str">
        <f>MID(CV49,2,1)</f>
        <v/>
      </c>
      <c r="CU49" s="122" t="str">
        <f>RIGHT(CV49)</f>
        <v/>
      </c>
      <c r="CV49" s="123" t="str">
        <f>IF(CT48="","",OFFSET(Biblioteca!$I$2,MATCH(CT48,Biblioteca!$A$3:$A$200,0),0))</f>
        <v/>
      </c>
      <c r="CW49" s="57"/>
      <c r="CX49" s="125"/>
      <c r="CY49" s="117" t="str">
        <f>IF(CY48="","",IFS(DJ49="A",Montagem!$I$230,DL49="T","Realizar a maior quantidade de repetições por "&amp;DD48&amp;" segundos | ",DL49="I",IF(DK49="U","Manter a posição por "&amp;DD48&amp;" segundos de um lado e trocar para o outro na sequência | ","Manter a posição por "&amp;DD48&amp;" segundos | "),DK49="A","Realizar alternadamente "&amp;DD48&amp;" repetições cada lado | ",DK49="U","Realizar "&amp;DD48&amp;" repetições de um lado e trocar para o outro na sequência | ",DJ49="P",OFFSET(Biblioteca!$H$2,MATCH(DK48,Biblioteca!$A$3:$A$200,0),0),TRUE,"")&amp;IF(DL49="R","Ajuste a carga para que tenha "&amp;$K$2&amp;" repetições de reserva",""))</f>
        <v/>
      </c>
      <c r="DC49" s="118" t="str">
        <f>IF(CY48="","",IFS(DJ49="H","Carga Sugerida: "&amp;ROUNDUP(DM48/2,0)&amp;" kg de cada lado (Total: "&amp;ROUNDUP(DM48/2,0)*2&amp;" kg)",DJ49="C","Este exercício usa o Peso Corporal como carga",DJ49="E","Este exercício usa a resistência da banda elástica como carga",DJ49="O","Carga Sugerida: "&amp;INT(DM48)&amp;" kg",TRUE,""))</f>
        <v/>
      </c>
      <c r="DH49" s="66"/>
      <c r="DI49" s="126">
        <f>DI48</f>
        <v>1</v>
      </c>
      <c r="DJ49" s="120" t="str">
        <f>LEFT(DM49)</f>
        <v/>
      </c>
      <c r="DK49" s="121" t="str">
        <f>MID(DM49,2,1)</f>
        <v/>
      </c>
      <c r="DL49" s="122" t="str">
        <f>RIGHT(DM49)</f>
        <v/>
      </c>
      <c r="DM49" s="123" t="str">
        <f>IF(DK48="","",OFFSET(Biblioteca!$I$2,MATCH(DK48,Biblioteca!$A$3:$A$200,0),0))</f>
        <v/>
      </c>
      <c r="DN49" s="57"/>
      <c r="DO49" s="125"/>
      <c r="DP49" s="57"/>
      <c r="DQ49" s="56"/>
      <c r="DR49" s="56"/>
      <c r="DS49" s="56"/>
      <c r="DT49" s="56"/>
      <c r="DU49" s="56"/>
      <c r="DV49" s="56"/>
      <c r="DW49" s="56"/>
      <c r="DX49" s="56"/>
      <c r="DY49" s="56"/>
    </row>
    <row r="50">
      <c r="A50" s="115" t="str">
        <f>IF(M50="","",HYPERLINK(OFFSET(Biblioteca!$B$2,MATCH(M50,Biblioteca!$A$3:$A$200,0),0),M50))</f>
        <v/>
      </c>
      <c r="D50" s="103" t="str">
        <f>Montagem!Q233</f>
        <v/>
      </c>
      <c r="E50" s="104" t="str">
        <f>Montagem!R233</f>
        <v/>
      </c>
      <c r="F50" s="104" t="str">
        <f>Montagem!S233</f>
        <v/>
      </c>
      <c r="G50" s="104" t="str">
        <f>Montagem!T233</f>
        <v/>
      </c>
      <c r="H50" s="104" t="str">
        <f>Montagem!U233</f>
        <v/>
      </c>
      <c r="I50" s="132" t="str">
        <f>Montagem!V233</f>
        <v/>
      </c>
      <c r="J50" s="105"/>
      <c r="K50" s="106">
        <f>Montagem!K233</f>
        <v>1</v>
      </c>
      <c r="L50" s="111" t="str">
        <f>Montagem!W233</f>
        <v/>
      </c>
      <c r="M50" s="111" t="str">
        <f>Montagem!L233</f>
        <v/>
      </c>
      <c r="N50" s="111" t="str">
        <f>Montagem!X233</f>
        <v/>
      </c>
      <c r="O50" s="106" t="str">
        <f>IF(N50="",L50,N50)</f>
        <v/>
      </c>
      <c r="P50" s="106" t="str">
        <f>IF(L51="C",'Dados de Base'!$D$5*0.1,IF(L51="E",5,IF(J50="",O50,J50)))</f>
        <v/>
      </c>
      <c r="Q50" s="108"/>
      <c r="R50" s="115" t="str">
        <f>IF(AD50="","",HYPERLINK(OFFSET(Biblioteca!$B$2,MATCH(AD50,Biblioteca!$A$3:$A$200,0),0),AD50))</f>
        <v/>
      </c>
      <c r="U50" s="109" t="str">
        <f>Montagem!AF233</f>
        <v/>
      </c>
      <c r="V50" s="110" t="str">
        <f>Montagem!AG233</f>
        <v/>
      </c>
      <c r="W50" s="110" t="str">
        <f>Montagem!AH233</f>
        <v/>
      </c>
      <c r="X50" s="110" t="str">
        <f>Montagem!AI233</f>
        <v/>
      </c>
      <c r="Y50" s="110" t="str">
        <f>Montagem!AJ233</f>
        <v/>
      </c>
      <c r="Z50" s="110" t="str">
        <f>Montagem!AK233</f>
        <v/>
      </c>
      <c r="AA50" s="113"/>
      <c r="AB50" s="111">
        <f>Montagem!Z233</f>
        <v>1</v>
      </c>
      <c r="AC50" s="111" t="str">
        <f>Montagem!AL233</f>
        <v/>
      </c>
      <c r="AD50" s="129" t="str">
        <f>Montagem!AA233</f>
        <v/>
      </c>
      <c r="AE50" s="111" t="str">
        <f>Montagem!AM233</f>
        <v/>
      </c>
      <c r="AF50" s="106" t="str">
        <f>IF(AE50="",AC50,AE50)</f>
        <v/>
      </c>
      <c r="AG50" s="106" t="str">
        <f>IF(AC51="C",'Dados de Base'!$D$5*0.1,IF(AC51="E",5,IF(AA50="",AF50,AA50)))</f>
        <v/>
      </c>
      <c r="AH50" s="108"/>
      <c r="AI50" s="115" t="str">
        <f>IF(AU50="","",HYPERLINK(OFFSET(Biblioteca!$B$2,MATCH(AU50,Biblioteca!$A$3:$A$200,0),0),AU50))</f>
        <v/>
      </c>
      <c r="AL50" s="109" t="str">
        <f>Montagem!AU233</f>
        <v/>
      </c>
      <c r="AM50" s="110" t="str">
        <f>Montagem!AV233</f>
        <v/>
      </c>
      <c r="AN50" s="110" t="str">
        <f>Montagem!AW233</f>
        <v/>
      </c>
      <c r="AO50" s="110" t="str">
        <f>Montagem!AX233</f>
        <v/>
      </c>
      <c r="AP50" s="110" t="str">
        <f>Montagem!AY233</f>
        <v/>
      </c>
      <c r="AQ50" s="110" t="str">
        <f>Montagem!AZ233</f>
        <v/>
      </c>
      <c r="AR50" s="114"/>
      <c r="AS50" s="111">
        <f>Montagem!AO233</f>
        <v>1</v>
      </c>
      <c r="AT50" s="111" t="str">
        <f>Montagem!BA233</f>
        <v/>
      </c>
      <c r="AU50" s="111" t="str">
        <f>Montagem!AP233</f>
        <v/>
      </c>
      <c r="AV50" s="111" t="str">
        <f>Montagem!BB233</f>
        <v/>
      </c>
      <c r="AW50" s="106" t="str">
        <f>IF(AV50="",AT50,AV50)</f>
        <v/>
      </c>
      <c r="AX50" s="106" t="str">
        <f>IF(AT51="C",'Dados de Base'!$D$5*0.1,IF(AT51="E",5,IF(AR50="",AW50,AR50)))</f>
        <v/>
      </c>
      <c r="AY50" s="108"/>
      <c r="AZ50" s="115" t="str">
        <f>IF(BL50="","",HYPERLINK(OFFSET(Biblioteca!$B$2,MATCH(BL50,Biblioteca!$A$3:$A$200,0),0),BL50))</f>
        <v/>
      </c>
      <c r="BC50" s="109" t="str">
        <f>Montagem!BJ233</f>
        <v/>
      </c>
      <c r="BD50" s="110" t="str">
        <f>Montagem!BK233</f>
        <v/>
      </c>
      <c r="BE50" s="110" t="str">
        <f>Montagem!BL233</f>
        <v/>
      </c>
      <c r="BF50" s="110" t="str">
        <f>Montagem!BM233</f>
        <v/>
      </c>
      <c r="BG50" s="110" t="str">
        <f>Montagem!BN233</f>
        <v/>
      </c>
      <c r="BH50" s="110" t="str">
        <f>Montagem!BO233</f>
        <v/>
      </c>
      <c r="BI50" s="113"/>
      <c r="BJ50" s="111">
        <f>Montagem!BD233</f>
        <v>1</v>
      </c>
      <c r="BK50" s="111" t="str">
        <f>Montagem!BP233</f>
        <v/>
      </c>
      <c r="BL50" s="111" t="str">
        <f>Montagem!BE233</f>
        <v/>
      </c>
      <c r="BM50" s="111" t="str">
        <f>Montagem!BQ233</f>
        <v/>
      </c>
      <c r="BN50" s="106" t="str">
        <f>IF(BM50="",BK50,BM50)</f>
        <v/>
      </c>
      <c r="BO50" s="106" t="str">
        <f>IF(BK51="C",'Dados de Base'!$D$5*0.1,IF(BK51="E",5,IF(BI50="",BN50,BI50)))</f>
        <v/>
      </c>
      <c r="BP50" s="108"/>
      <c r="BQ50" s="115" t="str">
        <f>IF(CC50="","",HYPERLINK(OFFSET(Biblioteca!$B$2,MATCH(CC50,Biblioteca!$A$3:$A$200,0),0),CC50))</f>
        <v/>
      </c>
      <c r="BT50" s="109" t="str">
        <f>Montagem!BY233</f>
        <v/>
      </c>
      <c r="BU50" s="110" t="str">
        <f>Montagem!BZ233</f>
        <v/>
      </c>
      <c r="BV50" s="110" t="str">
        <f>Montagem!CA233</f>
        <v/>
      </c>
      <c r="BW50" s="110" t="str">
        <f>Montagem!CB233</f>
        <v/>
      </c>
      <c r="BX50" s="110" t="str">
        <f>Montagem!CC233</f>
        <v/>
      </c>
      <c r="BY50" s="110" t="str">
        <f>Montagem!CD233</f>
        <v/>
      </c>
      <c r="BZ50" s="114"/>
      <c r="CA50" s="111">
        <f>Montagem!BS233</f>
        <v>1</v>
      </c>
      <c r="CB50" s="111" t="str">
        <f>Montagem!CE233</f>
        <v/>
      </c>
      <c r="CC50" s="111" t="str">
        <f>Montagem!BT233</f>
        <v/>
      </c>
      <c r="CD50" s="111" t="str">
        <f>Montagem!CF233</f>
        <v/>
      </c>
      <c r="CE50" s="106" t="str">
        <f>IF(CD50="",CB50,CD50)</f>
        <v/>
      </c>
      <c r="CF50" s="106" t="str">
        <f>IF(CB51="C",'Dados de Base'!$D$5*0.1,IF(CB51="E",5,IF(BZ50="",CE50,BZ50)))</f>
        <v/>
      </c>
      <c r="CG50" s="108"/>
      <c r="CH50" s="115" t="str">
        <f>IF(CT50="","",HYPERLINK(OFFSET(Biblioteca!$B$2,MATCH(CT50,Biblioteca!$A$3:$A$200,0),0),CT50))</f>
        <v/>
      </c>
      <c r="CK50" s="109" t="str">
        <f>Montagem!CN233</f>
        <v/>
      </c>
      <c r="CL50" s="110" t="str">
        <f>Montagem!CO233</f>
        <v/>
      </c>
      <c r="CM50" s="110" t="str">
        <f>Montagem!CP233</f>
        <v/>
      </c>
      <c r="CN50" s="110" t="str">
        <f>Montagem!CQ233</f>
        <v/>
      </c>
      <c r="CO50" s="110" t="str">
        <f>Montagem!CR233</f>
        <v/>
      </c>
      <c r="CP50" s="110" t="str">
        <f>Montagem!CS233</f>
        <v/>
      </c>
      <c r="CQ50" s="114"/>
      <c r="CR50" s="111">
        <f>Montagem!CH233</f>
        <v>1</v>
      </c>
      <c r="CS50" s="111" t="str">
        <f>Montagem!CT233</f>
        <v/>
      </c>
      <c r="CT50" s="111" t="str">
        <f>Montagem!CI233</f>
        <v/>
      </c>
      <c r="CU50" s="145" t="str">
        <f>Montagem!CU233</f>
        <v/>
      </c>
      <c r="CV50" s="106" t="str">
        <f>IF(CU50="",CS50,CU50)</f>
        <v/>
      </c>
      <c r="CW50" s="106" t="str">
        <f>IF(CS51="C",'Dados de Base'!$D$5*0.1,IF(CS51="E",5,IF(CQ50="",CV50,CQ50)))</f>
        <v/>
      </c>
      <c r="CX50" s="108"/>
      <c r="CY50" s="115" t="str">
        <f>IF(DK50="","",HYPERLINK(OFFSET(Biblioteca!$B$2,MATCH(DK50,Biblioteca!$A$3:$A$200,0),0),DK50))</f>
        <v/>
      </c>
      <c r="DB50" s="130" t="str">
        <f>Montagem!DC233</f>
        <v/>
      </c>
      <c r="DC50" s="131" t="str">
        <f>Montagem!DD233</f>
        <v/>
      </c>
      <c r="DD50" s="131" t="str">
        <f>Montagem!DE233</f>
        <v/>
      </c>
      <c r="DE50" s="131" t="str">
        <f>Montagem!DF233</f>
        <v/>
      </c>
      <c r="DF50" s="131" t="str">
        <f>Montagem!DG233</f>
        <v/>
      </c>
      <c r="DG50" s="131" t="str">
        <f>Montagem!DH233</f>
        <v/>
      </c>
      <c r="DH50" s="114"/>
      <c r="DI50" s="111">
        <f>Montagem!CW233</f>
        <v>1</v>
      </c>
      <c r="DJ50" s="111" t="str">
        <f>Montagem!DI233</f>
        <v/>
      </c>
      <c r="DK50" s="111" t="str">
        <f>Montagem!CX233</f>
        <v/>
      </c>
      <c r="DL50" s="145" t="str">
        <f>Montagem!DJ233</f>
        <v/>
      </c>
      <c r="DM50" s="106" t="str">
        <f>IF(DL50="",DJ50,DL50)</f>
        <v/>
      </c>
      <c r="DN50" s="106" t="str">
        <f>IF(DJ51="C",'Dados de Base'!$D$5*0.1,IF(DJ51="E",5,IF(DH50="",DM50,DH50)))</f>
        <v/>
      </c>
      <c r="DO50" s="108"/>
      <c r="DP50" s="106"/>
      <c r="DQ50" s="106"/>
      <c r="DR50" s="106"/>
      <c r="DS50" s="106"/>
      <c r="DT50" s="106"/>
      <c r="DU50" s="106"/>
      <c r="DV50" s="106"/>
      <c r="DW50" s="106"/>
      <c r="DX50" s="106"/>
      <c r="DY50" s="106"/>
    </row>
    <row r="51">
      <c r="A51" s="117" t="str">
        <f>IF(A50="","",IFS(L51="A",Montagem!$C$230,N51="T","Realizar a maior quantidade de repetições por "&amp;F50&amp;" segundos | ",N51="I",IF(M51="U","Manter a posição por "&amp;F50&amp;" segundos de um lado e trocar para o outro na sequência | ","Manter a posição por "&amp;F50&amp;" segundos | "),M51="A","Realizar alternadamente "&amp;F50&amp;" repetições cada lado | ",M51="U","Realizar "&amp;F50&amp;" repetições de um lado e trocar para o outro na sequência | ",L51="P",OFFSET(Biblioteca!$H$2,MATCH(M50,Biblioteca!$A$3:$A$200,0),0),TRUE,"")&amp;IF(N51="R","Ajuste a carga para que tenha "&amp;$K$2&amp;" repetições de reserva",""))</f>
        <v/>
      </c>
      <c r="E51" s="118" t="str">
        <f>IF(A50="","",IFS(L51="H","Carga Sugerida: "&amp;ROUNDUP(O50/2,0)&amp;" kg de cada lado (Total: "&amp;ROUNDUP(O50/2,0)*2&amp;" kg)",L51="C","Este exercício usa o Peso Corporal como carga",L51="E","Este exercício usa a resistência da banda elástica como carga",L51="O","Carga Sugerida: "&amp;INT(O50)&amp;" kg",TRUE,""))</f>
        <v/>
      </c>
      <c r="J51" s="66"/>
      <c r="K51" s="106">
        <f>K50</f>
        <v>1</v>
      </c>
      <c r="L51" s="120" t="str">
        <f>LEFT(O51)</f>
        <v/>
      </c>
      <c r="M51" s="121" t="str">
        <f>MID(O51,2,1)</f>
        <v/>
      </c>
      <c r="N51" s="122" t="str">
        <f>RIGHT(O51)</f>
        <v/>
      </c>
      <c r="O51" s="123" t="str">
        <f>IF(M50="","",OFFSET(Biblioteca!$I$2,MATCH(M50,Biblioteca!$A$3:$A$200,0),0))</f>
        <v/>
      </c>
      <c r="P51" s="57"/>
      <c r="Q51" s="125"/>
      <c r="R51" s="117" t="str">
        <f>IF(R50="","",IFS(AC51="A",Montagem!$D$230,AE51="T","Realizar a maior quantidade de repetições por "&amp;W50&amp;" segundos | ",AE51="I",IF(AD51="U","Manter a posição por "&amp;W50&amp;" segundos de um lado e trocar para o outro na sequência | ","Manter a posição por "&amp;W50&amp;" segundos | "),AD51="A","Realizar alternadamente "&amp;W50&amp;" repetições cada lado | ",AD51="U","Realizar "&amp;W50&amp;" repetições de um lado e trocar para o outro na sequência | ",AC51="P",OFFSET(Biblioteca!$H$2,MATCH(AD50,Biblioteca!$A$3:$A$200,0),0),TRUE,"")&amp;IF(AE51="R","Ajuste a carga para que tenha "&amp;$K$2&amp;" repetições de reserva",""))</f>
        <v/>
      </c>
      <c r="V51" s="118" t="str">
        <f>IF(R50="","",IFS(AC51="H","Carga Sugerida: "&amp;ROUNDUP(AF50/2,0)&amp;" kg de cada lado (Total: "&amp;ROUNDUP(AF50/2,0)*2&amp;" kg)",AC51="C","Este exercício usa o Peso Corporal como carga",AC51="E","Este exercício usa a resistência da banda elástica como carga",AC51="O","Carga Sugerida: "&amp;INT(AF50)&amp;" kg",TRUE,""))</f>
        <v/>
      </c>
      <c r="AA51" s="66"/>
      <c r="AB51" s="126">
        <f>AB50</f>
        <v>1</v>
      </c>
      <c r="AC51" s="120" t="str">
        <f>LEFT(AF51)</f>
        <v/>
      </c>
      <c r="AD51" s="121" t="str">
        <f>MID(AF51,2,1)</f>
        <v/>
      </c>
      <c r="AE51" s="122" t="str">
        <f>RIGHT(AF51)</f>
        <v/>
      </c>
      <c r="AF51" s="123" t="str">
        <f>IF(AD50="","",OFFSET(Biblioteca!$I$2,MATCH(AD50,Biblioteca!$A$3:$A$200,0),0))</f>
        <v/>
      </c>
      <c r="AG51" s="57"/>
      <c r="AH51" s="125"/>
      <c r="AI51" s="117" t="str">
        <f>IF(AI50="","",IFS(AT51="A",Montagem!$E$230,AV51="T","Realizar a maior quantidade de repetições por "&amp;AN50&amp;" segundos | ",AV51="I",IF(AU51="U","Manter a posição por "&amp;AN50&amp;" segundos de um lado e trocar para o outro na sequência | ","Manter a posição por "&amp;AN50&amp;" segundos | "),AU51="A","Realizar alternadamente "&amp;AN50&amp;" repetições cada lado | ",AU51="U","Realizar "&amp;AN50&amp;" repetições de um lado e trocar para o outro na sequência | ",AT51="P",OFFSET(Biblioteca!$H$2,MATCH(AU50,Biblioteca!$A$3:$A$200,0),0),TRUE,"")&amp;IF(AV51="R","Ajuste a carga para que tenha "&amp;$K$2&amp;" repetições de reserva",""))</f>
        <v/>
      </c>
      <c r="AM51" s="118" t="str">
        <f>IF(AI50="","",IFS(AT51="H","Carga Sugerida: "&amp;ROUNDUP(AW50/2,0)&amp;" kg de cada lado (Total: "&amp;ROUNDUP(AW50/2,0)*2&amp;" kg)",AT51="C","Este exercício usa o Peso Corporal como carga",AT51="E","Este exercício usa a resistência da banda elástica como carga",AT51="O","Carga Sugerida: "&amp;INT(AW50)&amp;" kg",TRUE,""))</f>
        <v/>
      </c>
      <c r="AR51" s="66"/>
      <c r="AS51" s="126">
        <f>AS50</f>
        <v>1</v>
      </c>
      <c r="AT51" s="120" t="str">
        <f>LEFT(AW51)</f>
        <v/>
      </c>
      <c r="AU51" s="121" t="str">
        <f>MID(AW51,2,1)</f>
        <v/>
      </c>
      <c r="AV51" s="122" t="str">
        <f>RIGHT(AW51)</f>
        <v/>
      </c>
      <c r="AW51" s="123" t="str">
        <f>IF(AU50="","",OFFSET(Biblioteca!$I$2,MATCH(AU50,Biblioteca!$A$3:$A$200,0),0))</f>
        <v/>
      </c>
      <c r="AX51" s="57"/>
      <c r="AY51" s="125"/>
      <c r="AZ51" s="117" t="str">
        <f>IF(AZ50="","",IFS(BK51="A",Montagem!$F$230,BM51="T","Realizar a maior quantidade de repetições por "&amp;BE50&amp;" segundos | ",BM51="I",IF(BL51="U","Manter a posição por "&amp;BE50&amp;" segundos de um lado e trocar para o outro na sequência | ","Manter a posição por "&amp;BE50&amp;" segundos | "),BL51="A","Realizar alternadamente "&amp;BE50&amp;" repetições cada lado | ",BL51="U","Realizar "&amp;BE50&amp;" repetições de um lado e trocar para o outro na sequência | ",BK51="P",OFFSET(Biblioteca!$H$2,MATCH(BL50,Biblioteca!$A$3:$A$200,0),0),TRUE,"")&amp;IF(BM51="R","Ajuste a carga para que tenha "&amp;$K$2&amp;" repetições de reserva",""))</f>
        <v/>
      </c>
      <c r="BD51" s="118" t="str">
        <f>IF(AZ50="","",IFS(BK51="H","Carga Sugerida: "&amp;ROUNDUP(BN50/2,0)&amp;" kg de cada lado (Total: "&amp;ROUNDUP(BN50/2,0)*2&amp;" kg)",BK51="C","Este exercício usa o Peso Corporal como carga",BK51="E","Este exercício usa a resistência da banda elástica como carga",BK51="O","Carga Sugerida: "&amp;INT(BN50)&amp;" kg",TRUE,""))</f>
        <v/>
      </c>
      <c r="BI51" s="66"/>
      <c r="BJ51" s="126">
        <f>BJ50</f>
        <v>1</v>
      </c>
      <c r="BK51" s="120" t="str">
        <f>LEFT(BN51)</f>
        <v/>
      </c>
      <c r="BL51" s="121" t="str">
        <f>MID(BN51,2,1)</f>
        <v/>
      </c>
      <c r="BM51" s="122" t="str">
        <f>RIGHT(BN51)</f>
        <v/>
      </c>
      <c r="BN51" s="123" t="str">
        <f>IF(BL50="","",OFFSET(Biblioteca!$I$2,MATCH(BL50,Biblioteca!$A$3:$A$200,0),0))</f>
        <v/>
      </c>
      <c r="BO51" s="57"/>
      <c r="BP51" s="125"/>
      <c r="BQ51" s="117" t="str">
        <f>IF(BQ50="","",IFS(CB51="A",Montagem!$G$230,CD51="T","Realizar a maior quantidade de repetições por "&amp;BV50&amp;" segundos | ",CD51="I",IF(CC51="U","Manter a posição por "&amp;BV50&amp;" segundos de um lado e trocar para o outro na sequência | ","Manter a posição por "&amp;BV50&amp;" segundos | "),CC51="A","Realizar alternadamente "&amp;BV50&amp;" repetições cada lado | ",CC51="U","Realizar "&amp;BV50&amp;" repetições de um lado e trocar para o outro na sequência | ",CB51="P",OFFSET(Biblioteca!$H$2,MATCH(CC50,Biblioteca!$A$3:$A$200,0),0),TRUE,"")&amp;IF(CD51="R","Ajuste a carga para que tenha "&amp;$K$2&amp;" repetições de reserva",""))</f>
        <v/>
      </c>
      <c r="BU51" s="118" t="str">
        <f>IF(BQ50="","",IFS(CB51="H","Carga Sugerida: "&amp;ROUNDUP(CE50/2,0)&amp;" kg de cada lado (Total: "&amp;ROUNDUP(CE50/2,0)*2&amp;" kg)",CB51="C","Este exercício usa o Peso Corporal como carga",CB51="E","Este exercício usa a resistência da banda elástica como carga",CB51="O","Carga Sugerida: "&amp;INT(CE50)&amp;" kg",TRUE,""))</f>
        <v/>
      </c>
      <c r="BZ51" s="66"/>
      <c r="CA51" s="126">
        <f>CA50</f>
        <v>1</v>
      </c>
      <c r="CB51" s="120" t="str">
        <f>LEFT(CE51)</f>
        <v/>
      </c>
      <c r="CC51" s="121" t="str">
        <f>MID(CE51,2,1)</f>
        <v/>
      </c>
      <c r="CD51" s="122" t="str">
        <f>RIGHT(CE51)</f>
        <v/>
      </c>
      <c r="CE51" s="123" t="str">
        <f>IF(CC50="","",OFFSET(Biblioteca!$I$2,MATCH(CC50,Biblioteca!$A$3:$A$200,0),0))</f>
        <v/>
      </c>
      <c r="CF51" s="57"/>
      <c r="CG51" s="125"/>
      <c r="CH51" s="117" t="str">
        <f>IF(CH50="","",IFS(CS51="A",Montagem!$H$230,CU51="T","Realizar a maior quantidade de repetições por "&amp;CM50&amp;" segundos | ",CU51="I",IF(CT51="U","Manter a posição por "&amp;CM50&amp;" segundos de um lado e trocar para o outro na sequência | ","Manter a posição por "&amp;CM50&amp;" segundos | "),CT51="A","Realizar alternadamente "&amp;CM50&amp;" repetições cada lado | ",CT51="U","Realizar "&amp;CM50&amp;" repetições de um lado e trocar para o outro na sequência | ",CS51="P",OFFSET(Biblioteca!$H$2,MATCH(CT50,Biblioteca!$A$3:$A$200,0),0),TRUE,"")&amp;IF(CU51="R","Ajuste a carga para que tenha "&amp;$K$2&amp;" repetições de reserva",""))</f>
        <v/>
      </c>
      <c r="CL51" s="118" t="str">
        <f>IF(CH50="","",IFS(CS51="H","Carga Sugerida: "&amp;ROUNDUP(CV50/2,0)&amp;" kg de cada lado (Total: "&amp;ROUNDUP(CV50/2,0)*2&amp;" kg)",CS51="C","Este exercício usa o Peso Corporal como carga",CS51="E","Este exercício usa a resistência da banda elástica como carga",CS51="O","Carga Sugerida: "&amp;INT(CV50)&amp;" kg",TRUE,""))</f>
        <v/>
      </c>
      <c r="CQ51" s="66"/>
      <c r="CR51" s="126">
        <f>CR50</f>
        <v>1</v>
      </c>
      <c r="CS51" s="120" t="str">
        <f>LEFT(CV51)</f>
        <v/>
      </c>
      <c r="CT51" s="121" t="str">
        <f>MID(CV51,2,1)</f>
        <v/>
      </c>
      <c r="CU51" s="122" t="str">
        <f>RIGHT(CV51)</f>
        <v/>
      </c>
      <c r="CV51" s="123" t="str">
        <f>IF(CT50="","",OFFSET(Biblioteca!$I$2,MATCH(CT50,Biblioteca!$A$3:$A$200,0),0))</f>
        <v/>
      </c>
      <c r="CW51" s="57"/>
      <c r="CX51" s="125"/>
      <c r="CY51" s="117" t="str">
        <f>IF(CY50="","",IFS(DJ51="A",Montagem!$I$230,DL51="T","Realizar a maior quantidade de repetições por "&amp;DD50&amp;" segundos | ",DL51="I",IF(DK51="U","Manter a posição por "&amp;DD50&amp;" segundos de um lado e trocar para o outro na sequência | ","Manter a posição por "&amp;DD50&amp;" segundos | "),DK51="A","Realizar alternadamente "&amp;DD50&amp;" repetições cada lado | ",DK51="U","Realizar "&amp;DD50&amp;" repetições de um lado e trocar para o outro na sequência | ",DJ51="P",OFFSET(Biblioteca!$H$2,MATCH(DK50,Biblioteca!$A$3:$A$200,0),0),TRUE,"")&amp;IF(DL51="R","Ajuste a carga para que tenha "&amp;$K$2&amp;" repetições de reserva",""))</f>
        <v/>
      </c>
      <c r="DC51" s="118" t="str">
        <f>IF(CY50="","",IFS(DJ51="H","Carga Sugerida: "&amp;ROUNDUP(DM50/2,0)&amp;" kg de cada lado (Total: "&amp;ROUNDUP(DM50/2,0)*2&amp;" kg)",DJ51="C","Este exercício usa o Peso Corporal como carga",DJ51="E","Este exercício usa a resistência da banda elástica como carga",DJ51="O","Carga Sugerida: "&amp;INT(DM50)&amp;" kg",TRUE,""))</f>
        <v/>
      </c>
      <c r="DH51" s="66"/>
      <c r="DI51" s="126">
        <f>DI50</f>
        <v>1</v>
      </c>
      <c r="DJ51" s="120" t="str">
        <f>LEFT(DM51)</f>
        <v/>
      </c>
      <c r="DK51" s="121" t="str">
        <f>MID(DM51,2,1)</f>
        <v/>
      </c>
      <c r="DL51" s="122" t="str">
        <f>RIGHT(DM51)</f>
        <v/>
      </c>
      <c r="DM51" s="123" t="str">
        <f>IF(DK50="","",OFFSET(Biblioteca!$I$2,MATCH(DK50,Biblioteca!$A$3:$A$200,0),0))</f>
        <v/>
      </c>
      <c r="DN51" s="57"/>
      <c r="DO51" s="125"/>
      <c r="DP51" s="57"/>
      <c r="DQ51" s="56"/>
      <c r="DR51" s="56"/>
      <c r="DS51" s="56"/>
      <c r="DT51" s="56"/>
      <c r="DU51" s="56"/>
      <c r="DV51" s="56"/>
      <c r="DW51" s="56"/>
      <c r="DX51" s="56"/>
      <c r="DY51" s="56"/>
    </row>
    <row r="52">
      <c r="A52" s="115" t="str">
        <f>IF(M52="","",HYPERLINK(OFFSET(Biblioteca!$B$2,MATCH(M52,Biblioteca!$A$3:$A$200,0),0),M52))</f>
        <v/>
      </c>
      <c r="D52" s="103" t="str">
        <f>Montagem!Q234</f>
        <v/>
      </c>
      <c r="E52" s="104" t="str">
        <f>Montagem!R234</f>
        <v/>
      </c>
      <c r="F52" s="104" t="str">
        <f>Montagem!S234</f>
        <v/>
      </c>
      <c r="G52" s="104" t="str">
        <f>Montagem!T234</f>
        <v/>
      </c>
      <c r="H52" s="104" t="str">
        <f>Montagem!U234</f>
        <v/>
      </c>
      <c r="I52" s="132" t="str">
        <f>Montagem!V234</f>
        <v/>
      </c>
      <c r="J52" s="144"/>
      <c r="K52" s="106">
        <f>Montagem!K234</f>
        <v>1</v>
      </c>
      <c r="L52" s="111" t="str">
        <f>Montagem!W234</f>
        <v/>
      </c>
      <c r="M52" s="111" t="str">
        <f>Montagem!L234</f>
        <v/>
      </c>
      <c r="N52" s="111" t="str">
        <f>Montagem!X234</f>
        <v/>
      </c>
      <c r="O52" s="106" t="str">
        <f>IF(N52="",L52,N52)</f>
        <v/>
      </c>
      <c r="P52" s="106" t="str">
        <f>IF(L53="C",'Dados de Base'!$D$5*0.1,IF(L53="E",5,IF(J52="",O52,J52)))</f>
        <v/>
      </c>
      <c r="Q52" s="108"/>
      <c r="R52" s="115" t="str">
        <f>IF(AD52="","",HYPERLINK(OFFSET(Biblioteca!$B$2,MATCH(AD52,Biblioteca!$A$3:$A$200,0),0),AD52))</f>
        <v/>
      </c>
      <c r="U52" s="109" t="str">
        <f>Montagem!AF234</f>
        <v/>
      </c>
      <c r="V52" s="110" t="str">
        <f>Montagem!AG234</f>
        <v/>
      </c>
      <c r="W52" s="110" t="str">
        <f>Montagem!AH234</f>
        <v/>
      </c>
      <c r="X52" s="110" t="str">
        <f>Montagem!AI234</f>
        <v/>
      </c>
      <c r="Y52" s="110" t="str">
        <f>Montagem!AJ234</f>
        <v/>
      </c>
      <c r="Z52" s="110" t="str">
        <f>Montagem!AK234</f>
        <v/>
      </c>
      <c r="AA52" s="113"/>
      <c r="AB52" s="111">
        <f>Montagem!Z234</f>
        <v>1</v>
      </c>
      <c r="AC52" s="111" t="str">
        <f>Montagem!AL234</f>
        <v/>
      </c>
      <c r="AD52" s="129" t="str">
        <f>Montagem!AA234</f>
        <v/>
      </c>
      <c r="AE52" s="111" t="str">
        <f>Montagem!AM234</f>
        <v/>
      </c>
      <c r="AF52" s="106" t="str">
        <f>IF(AE52="",AC52,AE52)</f>
        <v/>
      </c>
      <c r="AG52" s="106" t="str">
        <f>IF(AC53="C",'Dados de Base'!$D$5*0.1,IF(AC53="E",5,IF(AA52="",AF52,AA52)))</f>
        <v/>
      </c>
      <c r="AH52" s="108"/>
      <c r="AI52" s="115" t="str">
        <f>IF(AU52="","",HYPERLINK(OFFSET(Biblioteca!$B$2,MATCH(AU52,Biblioteca!$A$3:$A$200,0),0),AU52))</f>
        <v/>
      </c>
      <c r="AL52" s="109" t="str">
        <f>Montagem!AU234</f>
        <v/>
      </c>
      <c r="AM52" s="110" t="str">
        <f>Montagem!AV234</f>
        <v/>
      </c>
      <c r="AN52" s="110" t="str">
        <f>Montagem!AW234</f>
        <v/>
      </c>
      <c r="AO52" s="110" t="str">
        <f>Montagem!AX234</f>
        <v/>
      </c>
      <c r="AP52" s="110" t="str">
        <f>Montagem!AY234</f>
        <v/>
      </c>
      <c r="AQ52" s="110" t="str">
        <f>Montagem!AZ234</f>
        <v/>
      </c>
      <c r="AR52" s="114"/>
      <c r="AS52" s="111">
        <f>Montagem!AO234</f>
        <v>1</v>
      </c>
      <c r="AT52" s="111" t="str">
        <f>Montagem!BA234</f>
        <v/>
      </c>
      <c r="AU52" s="111" t="str">
        <f>Montagem!AP234</f>
        <v/>
      </c>
      <c r="AV52" s="111" t="str">
        <f>Montagem!BB234</f>
        <v/>
      </c>
      <c r="AW52" s="106" t="str">
        <f>IF(AV52="",AT52,AV52)</f>
        <v/>
      </c>
      <c r="AX52" s="106" t="str">
        <f>IF(AT53="C",'Dados de Base'!$D$5*0.1,IF(AT53="E",5,IF(AR52="",AW52,AR52)))</f>
        <v/>
      </c>
      <c r="AY52" s="108"/>
      <c r="AZ52" s="115" t="str">
        <f>IF(BL52="","",HYPERLINK(OFFSET(Biblioteca!$B$2,MATCH(BL52,Biblioteca!$A$3:$A$200,0),0),BL52))</f>
        <v/>
      </c>
      <c r="BC52" s="109" t="str">
        <f>Montagem!BJ234</f>
        <v/>
      </c>
      <c r="BD52" s="110" t="str">
        <f>Montagem!BK234</f>
        <v/>
      </c>
      <c r="BE52" s="110" t="str">
        <f>Montagem!BL234</f>
        <v/>
      </c>
      <c r="BF52" s="110" t="str">
        <f>Montagem!BM234</f>
        <v/>
      </c>
      <c r="BG52" s="110" t="str">
        <f>Montagem!BN234</f>
        <v/>
      </c>
      <c r="BH52" s="110" t="str">
        <f>Montagem!BO234</f>
        <v/>
      </c>
      <c r="BI52" s="114"/>
      <c r="BJ52" s="111">
        <f>Montagem!BD234</f>
        <v>1</v>
      </c>
      <c r="BK52" s="111" t="str">
        <f>Montagem!BP234</f>
        <v/>
      </c>
      <c r="BL52" s="111" t="str">
        <f>Montagem!BE234</f>
        <v/>
      </c>
      <c r="BM52" s="111" t="str">
        <f>Montagem!BQ234</f>
        <v/>
      </c>
      <c r="BN52" s="106" t="str">
        <f>IF(BM52="",BK52,BM52)</f>
        <v/>
      </c>
      <c r="BO52" s="106" t="str">
        <f>IF(BK53="C",'Dados de Base'!$D$5*0.1,IF(BK53="E",5,IF(BI52="",BN52,BI52)))</f>
        <v/>
      </c>
      <c r="BP52" s="108"/>
      <c r="BQ52" s="115" t="str">
        <f>IF(CC52="","",HYPERLINK(OFFSET(Biblioteca!$B$2,MATCH(CC52,Biblioteca!$A$3:$A$200,0),0),CC52))</f>
        <v/>
      </c>
      <c r="BT52" s="109" t="str">
        <f>Montagem!BY234</f>
        <v/>
      </c>
      <c r="BU52" s="110" t="str">
        <f>Montagem!BZ234</f>
        <v/>
      </c>
      <c r="BV52" s="110" t="str">
        <f>Montagem!CA234</f>
        <v/>
      </c>
      <c r="BW52" s="110" t="str">
        <f>Montagem!CB234</f>
        <v/>
      </c>
      <c r="BX52" s="110" t="str">
        <f>Montagem!CC234</f>
        <v/>
      </c>
      <c r="BY52" s="110" t="str">
        <f>Montagem!CD234</f>
        <v/>
      </c>
      <c r="BZ52" s="114"/>
      <c r="CA52" s="111">
        <f>Montagem!BS234</f>
        <v>1</v>
      </c>
      <c r="CB52" s="111" t="str">
        <f>Montagem!CE234</f>
        <v/>
      </c>
      <c r="CC52" s="111" t="str">
        <f>Montagem!BT234</f>
        <v/>
      </c>
      <c r="CD52" s="111" t="str">
        <f>Montagem!CF234</f>
        <v/>
      </c>
      <c r="CE52" s="106" t="str">
        <f>IF(CD52="",CB52,CD52)</f>
        <v/>
      </c>
      <c r="CF52" s="106" t="str">
        <f>IF(CB53="C",'Dados de Base'!$D$5*0.1,IF(CB53="E",5,IF(BZ52="",CE52,BZ52)))</f>
        <v/>
      </c>
      <c r="CG52" s="108"/>
      <c r="CH52" s="115" t="str">
        <f>IF(CT52="","",HYPERLINK(OFFSET(Biblioteca!$B$2,MATCH(CT52,Biblioteca!$A$3:$A$200,0),0),CT52))</f>
        <v/>
      </c>
      <c r="CK52" s="109" t="str">
        <f>Montagem!CN234</f>
        <v/>
      </c>
      <c r="CL52" s="110" t="str">
        <f>Montagem!CO234</f>
        <v/>
      </c>
      <c r="CM52" s="110" t="str">
        <f>Montagem!CP234</f>
        <v/>
      </c>
      <c r="CN52" s="110" t="str">
        <f>Montagem!CQ234</f>
        <v/>
      </c>
      <c r="CO52" s="110" t="str">
        <f>Montagem!CR234</f>
        <v/>
      </c>
      <c r="CP52" s="110" t="str">
        <f>Montagem!CS234</f>
        <v/>
      </c>
      <c r="CQ52" s="114"/>
      <c r="CR52" s="111">
        <f>Montagem!CH234</f>
        <v>1</v>
      </c>
      <c r="CS52" s="111" t="str">
        <f>Montagem!CT234</f>
        <v/>
      </c>
      <c r="CT52" s="111" t="str">
        <f>Montagem!CI234</f>
        <v/>
      </c>
      <c r="CU52" s="145" t="str">
        <f>Montagem!CU234</f>
        <v/>
      </c>
      <c r="CV52" s="106" t="str">
        <f>IF(CU52="",CS52,CU52)</f>
        <v/>
      </c>
      <c r="CW52" s="106" t="str">
        <f>IF(CS53="C",'Dados de Base'!$D$5*0.1,IF(CS53="E",5,IF(CQ52="",CV52,CQ52)))</f>
        <v/>
      </c>
      <c r="CX52" s="108"/>
      <c r="CY52" s="115" t="str">
        <f>IF(DK52="","",HYPERLINK(OFFSET(Biblioteca!$B$2,MATCH(DK52,Biblioteca!$A$3:$A$200,0),0),DK52))</f>
        <v/>
      </c>
      <c r="DB52" s="130" t="str">
        <f>Montagem!DC234</f>
        <v/>
      </c>
      <c r="DC52" s="131" t="str">
        <f>Montagem!DD234</f>
        <v/>
      </c>
      <c r="DD52" s="131" t="str">
        <f>Montagem!DE234</f>
        <v/>
      </c>
      <c r="DE52" s="131" t="str">
        <f>Montagem!DF234</f>
        <v/>
      </c>
      <c r="DF52" s="131" t="str">
        <f>Montagem!DG234</f>
        <v/>
      </c>
      <c r="DG52" s="131" t="str">
        <f>Montagem!DH234</f>
        <v/>
      </c>
      <c r="DH52" s="114"/>
      <c r="DI52" s="111">
        <f>Montagem!CW234</f>
        <v>1</v>
      </c>
      <c r="DJ52" s="111" t="str">
        <f>Montagem!DI234</f>
        <v/>
      </c>
      <c r="DK52" s="111" t="str">
        <f>Montagem!CX234</f>
        <v/>
      </c>
      <c r="DL52" s="145" t="str">
        <f>Montagem!DJ234</f>
        <v/>
      </c>
      <c r="DM52" s="106" t="str">
        <f>IF(DL52="",DJ52,DL52)</f>
        <v/>
      </c>
      <c r="DN52" s="106" t="str">
        <f>IF(DJ53="C",'Dados de Base'!$D$5*0.1,IF(DJ53="E",5,IF(DH52="",DM52,DH52)))</f>
        <v/>
      </c>
      <c r="DO52" s="108"/>
      <c r="DP52" s="106"/>
      <c r="DQ52" s="106"/>
      <c r="DR52" s="106"/>
      <c r="DS52" s="106"/>
      <c r="DT52" s="106"/>
      <c r="DU52" s="106"/>
      <c r="DV52" s="106"/>
      <c r="DW52" s="106"/>
      <c r="DX52" s="106"/>
      <c r="DY52" s="106"/>
    </row>
    <row r="53">
      <c r="A53" s="117" t="str">
        <f>IF(A52="","",IFS(L53="A",Montagem!$C$230,N53="T","Realizar a maior quantidade de repetições por "&amp;F52&amp;" segundos | ",N53="I",IF(M53="U","Manter a posição por "&amp;F52&amp;" segundos de um lado e trocar para o outro na sequência | ","Manter a posição por "&amp;F52&amp;" segundos | "),M53="A","Realizar alternadamente "&amp;F52&amp;" repetições cada lado | ",M53="U","Realizar "&amp;F52&amp;" repetições de um lado e trocar para o outro na sequência | ",L53="P",OFFSET(Biblioteca!$H$2,MATCH(M52,Biblioteca!$A$3:$A$200,0),0),TRUE,"")&amp;IF(N53="R","Ajuste a carga para que tenha "&amp;$K$2&amp;" repetições de reserva",""))</f>
        <v/>
      </c>
      <c r="E53" s="118" t="str">
        <f>IF(A52="","",IFS(L53="H","Carga Sugerida: "&amp;ROUNDUP(O52/2,0)&amp;" kg de cada lado (Total: "&amp;ROUNDUP(O52/2,0)*2&amp;" kg)",L53="C","Este exercício usa o Peso Corporal como carga",L53="E","Este exercício usa a resistência da banda elástica como carga",L53="O","Carga Sugerida: "&amp;INT(O52)&amp;" kg",TRUE,""))</f>
        <v/>
      </c>
      <c r="J53" s="66"/>
      <c r="K53" s="106">
        <f>K52</f>
        <v>1</v>
      </c>
      <c r="L53" s="120" t="str">
        <f>LEFT(O53)</f>
        <v/>
      </c>
      <c r="M53" s="121" t="str">
        <f>MID(O53,2,1)</f>
        <v/>
      </c>
      <c r="N53" s="122" t="str">
        <f>RIGHT(O53)</f>
        <v/>
      </c>
      <c r="O53" s="123" t="str">
        <f>IF(M52="","",OFFSET(Biblioteca!$I$2,MATCH(M52,Biblioteca!$A$3:$A$200,0),0))</f>
        <v/>
      </c>
      <c r="P53" s="57"/>
      <c r="Q53" s="125"/>
      <c r="R53" s="117" t="str">
        <f>IF(R52="","",IFS(AC53="A",Montagem!$D$230,AE53="T","Realizar a maior quantidade de repetições por "&amp;W52&amp;" segundos | ",AE53="I",IF(AD53="U","Manter a posição por "&amp;W52&amp;" segundos de um lado e trocar para o outro na sequência | ","Manter a posição por "&amp;W52&amp;" segundos | "),AD53="A","Realizar alternadamente "&amp;W52&amp;" repetições cada lado | ",AD53="U","Realizar "&amp;W52&amp;" repetições de um lado e trocar para o outro na sequência | ",AC53="P",OFFSET(Biblioteca!$H$2,MATCH(AD52,Biblioteca!$A$3:$A$200,0),0),TRUE,"")&amp;IF(AE53="R","Ajuste a carga para que tenha "&amp;$K$2&amp;" repetições de reserva",""))</f>
        <v/>
      </c>
      <c r="V53" s="118" t="str">
        <f>IF(R52="","",IFS(AC53="H","Carga Sugerida: "&amp;ROUNDUP(AF52/2,0)&amp;" kg de cada lado (Total: "&amp;ROUNDUP(AF52/2,0)*2&amp;" kg)",AC53="C","Este exercício usa o Peso Corporal como carga",AC53="E","Este exercício usa a resistência da banda elástica como carga",AC53="O","Carga Sugerida: "&amp;INT(AF52)&amp;" kg",TRUE,""))</f>
        <v/>
      </c>
      <c r="AA53" s="66"/>
      <c r="AB53" s="126">
        <f>AB52</f>
        <v>1</v>
      </c>
      <c r="AC53" s="120" t="str">
        <f>LEFT(AF53)</f>
        <v/>
      </c>
      <c r="AD53" s="121" t="str">
        <f>MID(AF53,2,1)</f>
        <v/>
      </c>
      <c r="AE53" s="122" t="str">
        <f>RIGHT(AF53)</f>
        <v/>
      </c>
      <c r="AF53" s="123" t="str">
        <f>IF(AD52="","",OFFSET(Biblioteca!$I$2,MATCH(AD52,Biblioteca!$A$3:$A$200,0),0))</f>
        <v/>
      </c>
      <c r="AG53" s="57"/>
      <c r="AH53" s="125"/>
      <c r="AI53" s="117" t="str">
        <f>IF(AI52="","",IFS(AT53="A",Montagem!$E$230,AV53="T","Realizar a maior quantidade de repetições por "&amp;AN52&amp;" segundos | ",AV53="I",IF(AU53="U","Manter a posição por "&amp;AN52&amp;" segundos de um lado e trocar para o outro na sequência | ","Manter a posição por "&amp;AN52&amp;" segundos | "),AU53="A","Realizar alternadamente "&amp;AN52&amp;" repetições cada lado | ",AU53="U","Realizar "&amp;AN52&amp;" repetições de um lado e trocar para o outro na sequência | ",AT53="P",OFFSET(Biblioteca!$H$2,MATCH(AU52,Biblioteca!$A$3:$A$200,0),0),TRUE,"")&amp;IF(AV53="R","Ajuste a carga para que tenha "&amp;$K$2&amp;" repetições de reserva",""))</f>
        <v/>
      </c>
      <c r="AM53" s="118" t="str">
        <f>IF(AI52="","",IFS(AT53="H","Carga Sugerida: "&amp;ROUNDUP(AW52/2,0)&amp;" kg de cada lado (Total: "&amp;ROUNDUP(AW52/2,0)*2&amp;" kg)",AT53="C","Este exercício usa o Peso Corporal como carga",AT53="E","Este exercício usa a resistência da banda elástica como carga",AT53="O","Carga Sugerida: "&amp;INT(AW52)&amp;" kg",TRUE,""))</f>
        <v/>
      </c>
      <c r="AR53" s="66"/>
      <c r="AS53" s="126">
        <f>AS52</f>
        <v>1</v>
      </c>
      <c r="AT53" s="120" t="str">
        <f>LEFT(AW53)</f>
        <v/>
      </c>
      <c r="AU53" s="121" t="str">
        <f>MID(AW53,2,1)</f>
        <v/>
      </c>
      <c r="AV53" s="122" t="str">
        <f>RIGHT(AW53)</f>
        <v/>
      </c>
      <c r="AW53" s="123" t="str">
        <f>IF(AU52="","",OFFSET(Biblioteca!$I$2,MATCH(AU52,Biblioteca!$A$3:$A$200,0),0))</f>
        <v/>
      </c>
      <c r="AX53" s="57"/>
      <c r="AY53" s="125"/>
      <c r="AZ53" s="117" t="str">
        <f>IF(AZ52="","",IFS(BK53="A",Montagem!$F$230,BM53="T","Realizar a maior quantidade de repetições por "&amp;BE52&amp;" segundos | ",BM53="I",IF(BL53="U","Manter a posição por "&amp;BE52&amp;" segundos de um lado e trocar para o outro na sequência | ","Manter a posição por "&amp;BE52&amp;" segundos | "),BL53="A","Realizar alternadamente "&amp;BE52&amp;" repetições cada lado | ",BL53="U","Realizar "&amp;BE52&amp;" repetições de um lado e trocar para o outro na sequência | ",BK53="P",OFFSET(Biblioteca!$H$2,MATCH(BL52,Biblioteca!$A$3:$A$200,0),0),TRUE,"")&amp;IF(BM53="R","Ajuste a carga para que tenha "&amp;$K$2&amp;" repetições de reserva",""))</f>
        <v/>
      </c>
      <c r="BD53" s="118" t="str">
        <f>IF(AZ52="","",IFS(BK53="H","Carga Sugerida: "&amp;ROUNDUP(BN52/2,0)&amp;" kg de cada lado (Total: "&amp;ROUNDUP(BN52/2,0)*2&amp;" kg)",BK53="C","Este exercício usa o Peso Corporal como carga",BK53="E","Este exercício usa a resistência da banda elástica como carga",BK53="O","Carga Sugerida: "&amp;INT(BN52)&amp;" kg",TRUE,""))</f>
        <v/>
      </c>
      <c r="BI53" s="66"/>
      <c r="BJ53" s="126">
        <f>BJ52</f>
        <v>1</v>
      </c>
      <c r="BK53" s="120" t="str">
        <f>LEFT(BN53)</f>
        <v/>
      </c>
      <c r="BL53" s="121" t="str">
        <f>MID(BN53,2,1)</f>
        <v/>
      </c>
      <c r="BM53" s="122" t="str">
        <f>RIGHT(BN53)</f>
        <v/>
      </c>
      <c r="BN53" s="123" t="str">
        <f>IF(BL52="","",OFFSET(Biblioteca!$I$2,MATCH(BL52,Biblioteca!$A$3:$A$200,0),0))</f>
        <v/>
      </c>
      <c r="BO53" s="57"/>
      <c r="BP53" s="125"/>
      <c r="BQ53" s="117" t="str">
        <f>IF(BQ52="","",IFS(CB53="A",Montagem!$G$230,CD53="T","Realizar a maior quantidade de repetições por "&amp;BV52&amp;" segundos | ",CD53="I",IF(CC53="U","Manter a posição por "&amp;BV52&amp;" segundos de um lado e trocar para o outro na sequência | ","Manter a posição por "&amp;BV52&amp;" segundos | "),CC53="A","Realizar alternadamente "&amp;BV52&amp;" repetições cada lado | ",CC53="U","Realizar "&amp;BV52&amp;" repetições de um lado e trocar para o outro na sequência | ",CB53="P",OFFSET(Biblioteca!$H$2,MATCH(CC52,Biblioteca!$A$3:$A$200,0),0),TRUE,"")&amp;IF(CD53="R","Ajuste a carga para que tenha "&amp;$K$2&amp;" repetições de reserva",""))</f>
        <v/>
      </c>
      <c r="BU53" s="118" t="str">
        <f>IF(BQ52="","",IFS(CB53="H","Carga Sugerida: "&amp;ROUNDUP(CE52/2,0)&amp;" kg de cada lado (Total: "&amp;ROUNDUP(CE52/2,0)*2&amp;" kg)",CB53="C","Este exercício usa o Peso Corporal como carga",CB53="E","Este exercício usa a resistência da banda elástica como carga",CB53="O","Carga Sugerida: "&amp;INT(CE52)&amp;" kg",TRUE,""))</f>
        <v/>
      </c>
      <c r="BZ53" s="66"/>
      <c r="CA53" s="126">
        <f>CA52</f>
        <v>1</v>
      </c>
      <c r="CB53" s="120" t="str">
        <f>LEFT(CE53)</f>
        <v/>
      </c>
      <c r="CC53" s="121" t="str">
        <f>MID(CE53,2,1)</f>
        <v/>
      </c>
      <c r="CD53" s="122" t="str">
        <f>RIGHT(CE53)</f>
        <v/>
      </c>
      <c r="CE53" s="123" t="str">
        <f>IF(CC52="","",OFFSET(Biblioteca!$I$2,MATCH(CC52,Biblioteca!$A$3:$A$200,0),0))</f>
        <v/>
      </c>
      <c r="CF53" s="57"/>
      <c r="CG53" s="125"/>
      <c r="CH53" s="117" t="str">
        <f>IF(CH52="","",IFS(CS53="A",Montagem!$H$230,CU53="T","Realizar a maior quantidade de repetições por "&amp;CM52&amp;" segundos | ",CU53="I",IF(CT53="U","Manter a posição por "&amp;CM52&amp;" segundos de um lado e trocar para o outro na sequência | ","Manter a posição por "&amp;CM52&amp;" segundos | "),CT53="A","Realizar alternadamente "&amp;CM52&amp;" repetições cada lado | ",CT53="U","Realizar "&amp;CM52&amp;" repetições de um lado e trocar para o outro na sequência | ",CS53="P",OFFSET(Biblioteca!$H$2,MATCH(CT52,Biblioteca!$A$3:$A$200,0),0),TRUE,"")&amp;IF(CU53="R","Ajuste a carga para que tenha "&amp;$K$2&amp;" repetições de reserva",""))</f>
        <v/>
      </c>
      <c r="CL53" s="118" t="str">
        <f>IF(CH52="","",IFS(CS53="H","Carga Sugerida: "&amp;ROUNDUP(CV52/2,0)&amp;" kg de cada lado (Total: "&amp;ROUNDUP(CV52/2,0)*2&amp;" kg)",CS53="C","Este exercício usa o Peso Corporal como carga",CS53="E","Este exercício usa a resistência da banda elástica como carga",CS53="O","Carga Sugerida: "&amp;INT(CV52)&amp;" kg",TRUE,""))</f>
        <v/>
      </c>
      <c r="CQ53" s="66"/>
      <c r="CR53" s="126">
        <f>CR52</f>
        <v>1</v>
      </c>
      <c r="CS53" s="120" t="str">
        <f>LEFT(CV53)</f>
        <v/>
      </c>
      <c r="CT53" s="121" t="str">
        <f>MID(CV53,2,1)</f>
        <v/>
      </c>
      <c r="CU53" s="122" t="str">
        <f>RIGHT(CV53)</f>
        <v/>
      </c>
      <c r="CV53" s="123" t="str">
        <f>IF(CT52="","",OFFSET(Biblioteca!$I$2,MATCH(CT52,Biblioteca!$A$3:$A$200,0),0))</f>
        <v/>
      </c>
      <c r="CW53" s="57"/>
      <c r="CX53" s="125"/>
      <c r="CY53" s="117" t="str">
        <f>IF(CY52="","",IFS(DJ53="A",Montagem!$I$230,DL53="T","Realizar a maior quantidade de repetições por "&amp;DD52&amp;" segundos | ",DL53="I",IF(DK53="U","Manter a posição por "&amp;DD52&amp;" segundos de um lado e trocar para o outro na sequência | ","Manter a posição por "&amp;DD52&amp;" segundos | "),DK53="A","Realizar alternadamente "&amp;DD52&amp;" repetições cada lado | ",DK53="U","Realizar "&amp;DD52&amp;" repetições de um lado e trocar para o outro na sequência | ",DJ53="P",OFFSET(Biblioteca!$H$2,MATCH(DK52,Biblioteca!$A$3:$A$200,0),0),TRUE,"")&amp;IF(DL53="R","Ajuste a carga para que tenha "&amp;$K$2&amp;" repetições de reserva",""))</f>
        <v/>
      </c>
      <c r="DC53" s="118" t="str">
        <f>IF(CY52="","",IFS(DJ53="H","Carga Sugerida: "&amp;ROUNDUP(DM52/2,0)&amp;" kg de cada lado (Total: "&amp;ROUNDUP(DM52/2,0)*2&amp;" kg)",DJ53="C","Este exercício usa o Peso Corporal como carga",DJ53="E","Este exercício usa a resistência da banda elástica como carga",DJ53="O","Carga Sugerida: "&amp;INT(DM52)&amp;" kg",TRUE,""))</f>
        <v/>
      </c>
      <c r="DH53" s="66"/>
      <c r="DI53" s="126">
        <f>DI52</f>
        <v>1</v>
      </c>
      <c r="DJ53" s="120" t="str">
        <f>LEFT(DM53)</f>
        <v/>
      </c>
      <c r="DK53" s="121" t="str">
        <f>MID(DM53,2,1)</f>
        <v/>
      </c>
      <c r="DL53" s="122" t="str">
        <f>RIGHT(DM53)</f>
        <v/>
      </c>
      <c r="DM53" s="123" t="str">
        <f>IF(DK52="","",OFFSET(Biblioteca!$I$2,MATCH(DK52,Biblioteca!$A$3:$A$200,0),0))</f>
        <v/>
      </c>
      <c r="DN53" s="57"/>
      <c r="DO53" s="125"/>
      <c r="DP53" s="57"/>
      <c r="DQ53" s="56"/>
      <c r="DR53" s="56"/>
      <c r="DS53" s="56"/>
      <c r="DT53" s="56"/>
      <c r="DU53" s="56"/>
      <c r="DV53" s="56"/>
      <c r="DW53" s="56"/>
      <c r="DX53" s="56"/>
      <c r="DY53" s="56"/>
    </row>
    <row r="54">
      <c r="A54" s="115" t="str">
        <f>IF(M54="","",HYPERLINK(OFFSET(Biblioteca!$B$2,MATCH(M54,Biblioteca!$A$3:$A$200,0),0),M54))</f>
        <v/>
      </c>
      <c r="D54" s="103" t="str">
        <f>Montagem!Q235</f>
        <v/>
      </c>
      <c r="E54" s="104" t="str">
        <f>Montagem!R235</f>
        <v/>
      </c>
      <c r="F54" s="104" t="str">
        <f>Montagem!S235</f>
        <v/>
      </c>
      <c r="G54" s="104" t="str">
        <f>Montagem!T235</f>
        <v/>
      </c>
      <c r="H54" s="104" t="str">
        <f>Montagem!U235</f>
        <v/>
      </c>
      <c r="I54" s="132" t="str">
        <f>Montagem!V235</f>
        <v/>
      </c>
      <c r="J54" s="144"/>
      <c r="K54" s="106">
        <f>Montagem!K235</f>
        <v>1</v>
      </c>
      <c r="L54" s="111" t="str">
        <f>Montagem!W235</f>
        <v/>
      </c>
      <c r="M54" s="111" t="str">
        <f>Montagem!L235</f>
        <v/>
      </c>
      <c r="N54" s="111" t="str">
        <f>Montagem!X235</f>
        <v/>
      </c>
      <c r="O54" s="106" t="str">
        <f>IF(N54="",L54,N54)</f>
        <v/>
      </c>
      <c r="P54" s="106" t="str">
        <f>IF(L55="C",'Dados de Base'!$D$5*0.1,IF(L55="E",5,IF(J54="",O54,J54)))</f>
        <v/>
      </c>
      <c r="Q54" s="108"/>
      <c r="R54" s="115" t="str">
        <f>IF(AD54="","",HYPERLINK(OFFSET(Biblioteca!$B$2,MATCH(AD54,Biblioteca!$A$3:$A$200,0),0),AD54))</f>
        <v/>
      </c>
      <c r="U54" s="109" t="str">
        <f>Montagem!AF235</f>
        <v/>
      </c>
      <c r="V54" s="110" t="str">
        <f>Montagem!AG235</f>
        <v/>
      </c>
      <c r="W54" s="110" t="str">
        <f>Montagem!AH235</f>
        <v/>
      </c>
      <c r="X54" s="110" t="str">
        <f>Montagem!AI235</f>
        <v/>
      </c>
      <c r="Y54" s="110" t="str">
        <f>Montagem!AJ235</f>
        <v/>
      </c>
      <c r="Z54" s="110" t="str">
        <f>Montagem!AK235</f>
        <v/>
      </c>
      <c r="AA54" s="113"/>
      <c r="AB54" s="111">
        <f>Montagem!Z235</f>
        <v>1</v>
      </c>
      <c r="AC54" s="111" t="str">
        <f>Montagem!AL235</f>
        <v/>
      </c>
      <c r="AD54" s="129" t="str">
        <f>Montagem!AA235</f>
        <v/>
      </c>
      <c r="AE54" s="111" t="str">
        <f>Montagem!AM235</f>
        <v/>
      </c>
      <c r="AF54" s="106" t="str">
        <f>IF(AE54="",AC54,AE54)</f>
        <v/>
      </c>
      <c r="AG54" s="106" t="str">
        <f>IF(AC55="C",'Dados de Base'!$D$5*0.1,IF(AC55="E",5,IF(AA54="",AF54,AA54)))</f>
        <v/>
      </c>
      <c r="AH54" s="108"/>
      <c r="AI54" s="115" t="str">
        <f>IF(AU54="","",HYPERLINK(OFFSET(Biblioteca!$B$2,MATCH(AU54,Biblioteca!$A$3:$A$200,0),0),AU54))</f>
        <v/>
      </c>
      <c r="AL54" s="109" t="str">
        <f>Montagem!AU235</f>
        <v/>
      </c>
      <c r="AM54" s="110" t="str">
        <f>Montagem!AV235</f>
        <v/>
      </c>
      <c r="AN54" s="110" t="str">
        <f>Montagem!AW235</f>
        <v/>
      </c>
      <c r="AO54" s="110" t="str">
        <f>Montagem!AX235</f>
        <v/>
      </c>
      <c r="AP54" s="110" t="str">
        <f>Montagem!AY235</f>
        <v/>
      </c>
      <c r="AQ54" s="110" t="str">
        <f>Montagem!AZ235</f>
        <v/>
      </c>
      <c r="AR54" s="114"/>
      <c r="AS54" s="111">
        <f>Montagem!AO235</f>
        <v>1</v>
      </c>
      <c r="AT54" s="111" t="str">
        <f>Montagem!BA235</f>
        <v/>
      </c>
      <c r="AU54" s="111" t="str">
        <f>Montagem!AP235</f>
        <v/>
      </c>
      <c r="AV54" s="111" t="str">
        <f>Montagem!BB235</f>
        <v/>
      </c>
      <c r="AW54" s="106" t="str">
        <f>IF(AV54="",AT54,AV54)</f>
        <v/>
      </c>
      <c r="AX54" s="106" t="str">
        <f>IF(AT55="C",'Dados de Base'!$D$5*0.1,IF(AT55="E",5,IF(AR54="",AW54,AR54)))</f>
        <v/>
      </c>
      <c r="AY54" s="108"/>
      <c r="AZ54" s="115" t="str">
        <f>IF(BL54="","",HYPERLINK(OFFSET(Biblioteca!$B$2,MATCH(BL54,Biblioteca!$A$3:$A$200,0),0),BL54))</f>
        <v/>
      </c>
      <c r="BC54" s="109" t="str">
        <f>Montagem!BJ235</f>
        <v/>
      </c>
      <c r="BD54" s="110" t="str">
        <f>Montagem!BK235</f>
        <v/>
      </c>
      <c r="BE54" s="110" t="str">
        <f>Montagem!BL235</f>
        <v/>
      </c>
      <c r="BF54" s="110" t="str">
        <f>Montagem!BM235</f>
        <v/>
      </c>
      <c r="BG54" s="110" t="str">
        <f>Montagem!BN235</f>
        <v/>
      </c>
      <c r="BH54" s="110" t="str">
        <f>Montagem!BO235</f>
        <v/>
      </c>
      <c r="BI54" s="114"/>
      <c r="BJ54" s="111">
        <f>Montagem!BD235</f>
        <v>1</v>
      </c>
      <c r="BK54" s="111" t="str">
        <f>Montagem!BP235</f>
        <v/>
      </c>
      <c r="BL54" s="111" t="str">
        <f>Montagem!BE235</f>
        <v/>
      </c>
      <c r="BM54" s="111" t="str">
        <f>Montagem!BQ235</f>
        <v/>
      </c>
      <c r="BN54" s="106" t="str">
        <f>IF(BM54="",BK54,BM54)</f>
        <v/>
      </c>
      <c r="BO54" s="106" t="str">
        <f>IF(BK55="C",'Dados de Base'!$D$5*0.1,IF(BK55="E",5,IF(BI54="",BN54,BI54)))</f>
        <v/>
      </c>
      <c r="BP54" s="108"/>
      <c r="BQ54" s="115" t="str">
        <f>IF(CC54="","",HYPERLINK(OFFSET(Biblioteca!$B$2,MATCH(CC54,Biblioteca!$A$3:$A$200,0),0),CC54))</f>
        <v/>
      </c>
      <c r="BT54" s="109" t="str">
        <f>Montagem!BY235</f>
        <v/>
      </c>
      <c r="BU54" s="110" t="str">
        <f>Montagem!BZ235</f>
        <v/>
      </c>
      <c r="BV54" s="110" t="str">
        <f>Montagem!CA235</f>
        <v/>
      </c>
      <c r="BW54" s="110" t="str">
        <f>Montagem!CB235</f>
        <v/>
      </c>
      <c r="BX54" s="110" t="str">
        <f>Montagem!CC235</f>
        <v/>
      </c>
      <c r="BY54" s="110" t="str">
        <f>Montagem!CD235</f>
        <v/>
      </c>
      <c r="BZ54" s="114"/>
      <c r="CA54" s="111">
        <f>Montagem!BS235</f>
        <v>1</v>
      </c>
      <c r="CB54" s="111" t="str">
        <f>Montagem!CE235</f>
        <v/>
      </c>
      <c r="CC54" s="111" t="str">
        <f>Montagem!BT235</f>
        <v/>
      </c>
      <c r="CD54" s="111" t="str">
        <f>Montagem!CF235</f>
        <v/>
      </c>
      <c r="CE54" s="106" t="str">
        <f>IF(CD54="",CB54,CD54)</f>
        <v/>
      </c>
      <c r="CF54" s="106" t="str">
        <f>IF(CB55="C",'Dados de Base'!$D$5*0.1,IF(CB55="E",5,IF(BZ54="",CE54,BZ54)))</f>
        <v/>
      </c>
      <c r="CG54" s="108"/>
      <c r="CH54" s="115" t="str">
        <f>IF(CT54="","",HYPERLINK(OFFSET(Biblioteca!$B$2,MATCH(CT54,Biblioteca!$A$3:$A$200,0),0),CT54))</f>
        <v/>
      </c>
      <c r="CK54" s="109" t="str">
        <f>Montagem!CN235</f>
        <v/>
      </c>
      <c r="CL54" s="110" t="str">
        <f>Montagem!CO235</f>
        <v/>
      </c>
      <c r="CM54" s="110" t="str">
        <f>Montagem!CP235</f>
        <v/>
      </c>
      <c r="CN54" s="110" t="str">
        <f>Montagem!CQ235</f>
        <v/>
      </c>
      <c r="CO54" s="110" t="str">
        <f>Montagem!CR235</f>
        <v/>
      </c>
      <c r="CP54" s="110" t="str">
        <f>Montagem!CS235</f>
        <v/>
      </c>
      <c r="CQ54" s="114"/>
      <c r="CR54" s="111">
        <f>Montagem!CH235</f>
        <v>1</v>
      </c>
      <c r="CS54" s="111" t="str">
        <f>Montagem!CT235</f>
        <v/>
      </c>
      <c r="CT54" s="111" t="str">
        <f>Montagem!CI235</f>
        <v/>
      </c>
      <c r="CU54" s="145" t="str">
        <f>Montagem!CU235</f>
        <v/>
      </c>
      <c r="CV54" s="106" t="str">
        <f>IF(CU54="",CS54,CU54)</f>
        <v/>
      </c>
      <c r="CW54" s="106" t="str">
        <f>IF(CS55="C",'Dados de Base'!$D$5*0.1,IF(CS55="E",5,IF(CQ54="",CV54,CQ54)))</f>
        <v/>
      </c>
      <c r="CX54" s="108"/>
      <c r="CY54" s="115" t="str">
        <f>IF(DK54="","",HYPERLINK(OFFSET(Biblioteca!$B$2,MATCH(DK54,Biblioteca!$A$3:$A$200,0),0),DK54))</f>
        <v/>
      </c>
      <c r="DB54" s="130" t="str">
        <f>Montagem!DC235</f>
        <v/>
      </c>
      <c r="DC54" s="131" t="str">
        <f>Montagem!DD235</f>
        <v/>
      </c>
      <c r="DD54" s="131" t="str">
        <f>Montagem!DE235</f>
        <v/>
      </c>
      <c r="DE54" s="131" t="str">
        <f>Montagem!DF235</f>
        <v/>
      </c>
      <c r="DF54" s="131" t="str">
        <f>Montagem!DG235</f>
        <v/>
      </c>
      <c r="DG54" s="131" t="str">
        <f>Montagem!DH235</f>
        <v/>
      </c>
      <c r="DH54" s="114"/>
      <c r="DI54" s="111">
        <f>Montagem!CW235</f>
        <v>1</v>
      </c>
      <c r="DJ54" s="111" t="str">
        <f>Montagem!DI235</f>
        <v/>
      </c>
      <c r="DK54" s="111" t="str">
        <f>Montagem!CX235</f>
        <v/>
      </c>
      <c r="DL54" s="145" t="str">
        <f>Montagem!DJ235</f>
        <v/>
      </c>
      <c r="DM54" s="106" t="str">
        <f>IF(DL54="",DJ54,DL54)</f>
        <v/>
      </c>
      <c r="DN54" s="106" t="str">
        <f>IF(DJ55="C",'Dados de Base'!$D$5*0.1,IF(DJ55="E",5,IF(DH54="",DM54,DH54)))</f>
        <v/>
      </c>
      <c r="DO54" s="146"/>
      <c r="DP54" s="116">
        <v>2.0</v>
      </c>
      <c r="DQ54" s="116">
        <v>3.0</v>
      </c>
      <c r="DR54" s="116">
        <v>4.0</v>
      </c>
      <c r="DS54" s="116">
        <v>5.0</v>
      </c>
      <c r="DT54" s="106"/>
      <c r="DU54" s="116">
        <v>6.0</v>
      </c>
      <c r="DV54" s="106"/>
      <c r="DW54" s="106"/>
      <c r="DX54" s="116">
        <v>7.0</v>
      </c>
      <c r="DY54" s="106"/>
    </row>
    <row r="55">
      <c r="A55" s="117" t="str">
        <f>IF(A54="","",IFS(L55="A",Montagem!$C$230,N55="T","Realizar a maior quantidade de repetições por "&amp;F54&amp;" segundos | ",N55="I",IF(M55="U","Manter a posição por "&amp;F54&amp;" segundos de um lado e trocar para o outro na sequência | ","Manter a posição por "&amp;F54&amp;" segundos | "),M55="A","Realizar alternadamente "&amp;F54&amp;" repetições cada lado | ",M55="U","Realizar "&amp;F54&amp;" repetições de um lado e trocar para o outro na sequência | ",L55="P",OFFSET(Biblioteca!$H$2,MATCH(M54,Biblioteca!$A$3:$A$200,0),0),TRUE,"")&amp;IF(N55="R","Ajuste a carga para que tenha "&amp;$K$2&amp;" repetições de reserva",""))</f>
        <v/>
      </c>
      <c r="E55" s="118" t="str">
        <f>IF(A54="","",IFS(L55="H","Carga Sugerida: "&amp;ROUNDUP(O54/2,0)&amp;" kg de cada lado (Total: "&amp;ROUNDUP(O54/2,0)*2&amp;" kg)",L55="C","Este exercício usa o Peso Corporal como carga",L55="E","Este exercício usa a resistência da banda elástica como carga",L55="O","Carga Sugerida: "&amp;INT(O54)&amp;" kg",TRUE,""))</f>
        <v/>
      </c>
      <c r="J55" s="66"/>
      <c r="K55" s="106">
        <f>K54</f>
        <v>1</v>
      </c>
      <c r="L55" s="120" t="str">
        <f>LEFT(O55)</f>
        <v/>
      </c>
      <c r="M55" s="121" t="str">
        <f>MID(O55,2,1)</f>
        <v/>
      </c>
      <c r="N55" s="122" t="str">
        <f>RIGHT(O55)</f>
        <v/>
      </c>
      <c r="O55" s="123" t="str">
        <f>IF(M54="","",OFFSET(Biblioteca!$I$2,MATCH(M54,Biblioteca!$A$3:$A$200,0),0))</f>
        <v/>
      </c>
      <c r="P55" s="57"/>
      <c r="Q55" s="125"/>
      <c r="R55" s="117" t="str">
        <f>IF(R54="","",IFS(AC55="A",Montagem!$D$230,AE55="T","Realizar a maior quantidade de repetições por "&amp;W54&amp;" segundos | ",AE55="I",IF(AD55="U","Manter a posição por "&amp;W54&amp;" segundos de um lado e trocar para o outro na sequência | ","Manter a posição por "&amp;W54&amp;" segundos | "),AD55="A","Realizar alternadamente "&amp;W54&amp;" repetições cada lado | ",AD55="U","Realizar "&amp;W54&amp;" repetições de um lado e trocar para o outro na sequência | ",AC55="P",OFFSET(Biblioteca!$H$2,MATCH(AD54,Biblioteca!$A$3:$A$200,0),0),TRUE,"")&amp;IF(AE55="R","Ajuste a carga para que tenha "&amp;$K$2&amp;" repetições de reserva",""))</f>
        <v/>
      </c>
      <c r="V55" s="118" t="str">
        <f>IF(R54="","",IFS(AC55="H","Carga Sugerida: "&amp;ROUNDUP(AF54/2,0)&amp;" kg de cada lado (Total: "&amp;ROUNDUP(AF54/2,0)*2&amp;" kg)",AC55="C","Este exercício usa o Peso Corporal como carga",AC55="E","Este exercício usa a resistência da banda elástica como carga",AC55="O","Carga Sugerida: "&amp;INT(AF54)&amp;" kg",TRUE,""))</f>
        <v/>
      </c>
      <c r="AA55" s="66"/>
      <c r="AB55" s="126">
        <f>AB54</f>
        <v>1</v>
      </c>
      <c r="AC55" s="120" t="str">
        <f>LEFT(AF55)</f>
        <v/>
      </c>
      <c r="AD55" s="121" t="str">
        <f>MID(AF55,2,1)</f>
        <v/>
      </c>
      <c r="AE55" s="122" t="str">
        <f>RIGHT(AF55)</f>
        <v/>
      </c>
      <c r="AF55" s="123" t="str">
        <f>IF(AD54="","",OFFSET(Biblioteca!$I$2,MATCH(AD54,Biblioteca!$A$3:$A$200,0),0))</f>
        <v/>
      </c>
      <c r="AG55" s="57"/>
      <c r="AH55" s="125"/>
      <c r="AI55" s="117" t="str">
        <f>IF(AI54="","",IFS(AT55="A",Montagem!$E$230,AV55="T","Realizar a maior quantidade de repetições por "&amp;AN54&amp;" segundos | ",AV55="I",IF(AU55="U","Manter a posição por "&amp;AN54&amp;" segundos de um lado e trocar para o outro na sequência | ","Manter a posição por "&amp;AN54&amp;" segundos | "),AU55="A","Realizar alternadamente "&amp;AN54&amp;" repetições cada lado | ",AU55="U","Realizar "&amp;AN54&amp;" repetições de um lado e trocar para o outro na sequência | ",AT55="P",OFFSET(Biblioteca!$H$2,MATCH(AU54,Biblioteca!$A$3:$A$200,0),0),TRUE,"")&amp;IF(AV55="R","Ajuste a carga para que tenha "&amp;$K$2&amp;" repetições de reserva",""))</f>
        <v/>
      </c>
      <c r="AM55" s="118" t="str">
        <f>IF(AI54="","",IFS(AT55="H","Carga Sugerida: "&amp;ROUNDUP(AW54/2,0)&amp;" kg de cada lado (Total: "&amp;ROUNDUP(AW54/2,0)*2&amp;" kg)",AT55="C","Este exercício usa o Peso Corporal como carga",AT55="E","Este exercício usa a resistência da banda elástica como carga",AT55="O","Carga Sugerida: "&amp;INT(AW54)&amp;" kg",TRUE,""))</f>
        <v/>
      </c>
      <c r="AR55" s="66"/>
      <c r="AS55" s="126">
        <f>AS54</f>
        <v>1</v>
      </c>
      <c r="AT55" s="120" t="str">
        <f>LEFT(AW55)</f>
        <v/>
      </c>
      <c r="AU55" s="121" t="str">
        <f>MID(AW55,2,1)</f>
        <v/>
      </c>
      <c r="AV55" s="122" t="str">
        <f>RIGHT(AW55)</f>
        <v/>
      </c>
      <c r="AW55" s="123" t="str">
        <f>IF(AU54="","",OFFSET(Biblioteca!$I$2,MATCH(AU54,Biblioteca!$A$3:$A$200,0),0))</f>
        <v/>
      </c>
      <c r="AX55" s="57"/>
      <c r="AY55" s="125"/>
      <c r="AZ55" s="117" t="str">
        <f>IF(AZ54="","",IFS(BK55="A",Montagem!$F$230,BM55="T","Realizar a maior quantidade de repetições por "&amp;BE54&amp;" segundos | ",BM55="I",IF(BL55="U","Manter a posição por "&amp;BE54&amp;" segundos de um lado e trocar para o outro na sequência | ","Manter a posição por "&amp;BE54&amp;" segundos | "),BL55="A","Realizar alternadamente "&amp;BE54&amp;" repetições cada lado | ",BL55="U","Realizar "&amp;BE54&amp;" repetições de um lado e trocar para o outro na sequência | ",BK55="P",OFFSET(Biblioteca!$H$2,MATCH(BL54,Biblioteca!$A$3:$A$200,0),0),TRUE,"")&amp;IF(BM55="R","Ajuste a carga para que tenha "&amp;$K$2&amp;" repetições de reserva",""))</f>
        <v/>
      </c>
      <c r="BD55" s="118" t="str">
        <f>IF(AZ54="","",IFS(BK55="H","Carga Sugerida: "&amp;ROUNDUP(BN54/2,0)&amp;" kg de cada lado (Total: "&amp;ROUNDUP(BN54/2,0)*2&amp;" kg)",BK55="C","Este exercício usa o Peso Corporal como carga",BK55="E","Este exercício usa a resistência da banda elástica como carga",BK55="O","Carga Sugerida: "&amp;INT(BN54)&amp;" kg",TRUE,""))</f>
        <v/>
      </c>
      <c r="BI55" s="66"/>
      <c r="BJ55" s="126">
        <f>BJ54</f>
        <v>1</v>
      </c>
      <c r="BK55" s="120" t="str">
        <f>LEFT(BN55)</f>
        <v/>
      </c>
      <c r="BL55" s="121" t="str">
        <f>MID(BN55,2,1)</f>
        <v/>
      </c>
      <c r="BM55" s="122" t="str">
        <f>RIGHT(BN55)</f>
        <v/>
      </c>
      <c r="BN55" s="123" t="str">
        <f>IF(BL54="","",OFFSET(Biblioteca!$I$2,MATCH(BL54,Biblioteca!$A$3:$A$200,0),0))</f>
        <v/>
      </c>
      <c r="BO55" s="57"/>
      <c r="BP55" s="125"/>
      <c r="BQ55" s="117" t="str">
        <f>IF(BQ54="","",IFS(CB55="A",Montagem!$G$230,CD55="T","Realizar a maior quantidade de repetições por "&amp;BV54&amp;" segundos | ",CD55="I",IF(CC55="U","Manter a posição por "&amp;BV54&amp;" segundos de um lado e trocar para o outro na sequência | ","Manter a posição por "&amp;BV54&amp;" segundos | "),CC55="A","Realizar alternadamente "&amp;BV54&amp;" repetições cada lado | ",CC55="U","Realizar "&amp;BV54&amp;" repetições de um lado e trocar para o outro na sequência | ",CB55="P",OFFSET(Biblioteca!$H$2,MATCH(CC54,Biblioteca!$A$3:$A$200,0),0),TRUE,"")&amp;IF(CD55="R","Ajuste a carga para que tenha "&amp;$K$2&amp;" repetições de reserva",""))</f>
        <v/>
      </c>
      <c r="BU55" s="118" t="str">
        <f>IF(BQ54="","",IFS(CB55="H","Carga Sugerida: "&amp;ROUNDUP(CE54/2,0)&amp;" kg de cada lado (Total: "&amp;ROUNDUP(CE54/2,0)*2&amp;" kg)",CB55="C","Este exercício usa o Peso Corporal como carga",CB55="E","Este exercício usa a resistência da banda elástica como carga",CB55="O","Carga Sugerida: "&amp;INT(CE54)&amp;" kg",TRUE,""))</f>
        <v/>
      </c>
      <c r="BZ55" s="66"/>
      <c r="CA55" s="126">
        <f>CA54</f>
        <v>1</v>
      </c>
      <c r="CB55" s="120" t="str">
        <f>LEFT(CE55)</f>
        <v/>
      </c>
      <c r="CC55" s="121" t="str">
        <f>MID(CE55,2,1)</f>
        <v/>
      </c>
      <c r="CD55" s="122" t="str">
        <f>RIGHT(CE55)</f>
        <v/>
      </c>
      <c r="CE55" s="123" t="str">
        <f>IF(CC54="","",OFFSET(Biblioteca!$I$2,MATCH(CC54,Biblioteca!$A$3:$A$200,0),0))</f>
        <v/>
      </c>
      <c r="CF55" s="57"/>
      <c r="CG55" s="125"/>
      <c r="CH55" s="117" t="str">
        <f>IF(CH54="","",IFS(CS55="A",Montagem!$H$230,CU55="T","Realizar a maior quantidade de repetições por "&amp;CM54&amp;" segundos | ",CU55="I",IF(CT55="U","Manter a posição por "&amp;CM54&amp;" segundos de um lado e trocar para o outro na sequência | ","Manter a posição por "&amp;CM54&amp;" segundos | "),CT55="A","Realizar alternadamente "&amp;CM54&amp;" repetições cada lado | ",CT55="U","Realizar "&amp;CM54&amp;" repetições de um lado e trocar para o outro na sequência | ",CS55="P",OFFSET(Biblioteca!$H$2,MATCH(CT54,Biblioteca!$A$3:$A$200,0),0),TRUE,"")&amp;IF(CU55="R","Ajuste a carga para que tenha "&amp;$K$2&amp;" repetições de reserva",""))</f>
        <v/>
      </c>
      <c r="CL55" s="118" t="str">
        <f>IF(CH54="","",IFS(CS55="H","Carga Sugerida: "&amp;ROUNDUP(CV54/2,0)&amp;" kg de cada lado (Total: "&amp;ROUNDUP(CV54/2,0)*2&amp;" kg)",CS55="C","Este exercício usa o Peso Corporal como carga",CS55="E","Este exercício usa a resistência da banda elástica como carga",CS55="O","Carga Sugerida: "&amp;INT(CV54)&amp;" kg",TRUE,""))</f>
        <v/>
      </c>
      <c r="CQ55" s="66"/>
      <c r="CR55" s="126">
        <f>CR54</f>
        <v>1</v>
      </c>
      <c r="CS55" s="120" t="str">
        <f>LEFT(CV55)</f>
        <v/>
      </c>
      <c r="CT55" s="121" t="str">
        <f>MID(CV55,2,1)</f>
        <v/>
      </c>
      <c r="CU55" s="122" t="str">
        <f>RIGHT(CV55)</f>
        <v/>
      </c>
      <c r="CV55" s="123" t="str">
        <f>IF(CT54="","",OFFSET(Biblioteca!$I$2,MATCH(CT54,Biblioteca!$A$3:$A$200,0),0))</f>
        <v/>
      </c>
      <c r="CW55" s="57"/>
      <c r="CX55" s="125"/>
      <c r="CY55" s="117" t="str">
        <f>IF(CY54="","",IFS(DJ55="A",Montagem!$I$230,DL55="T","Realizar a maior quantidade de repetições por "&amp;DD54&amp;" segundos | ",DL55="I",IF(DK55="U","Manter a posição por "&amp;DD54&amp;" segundos de um lado e trocar para o outro na sequência | ","Manter a posição por "&amp;DD54&amp;" segundos | "),DK55="A","Realizar alternadamente "&amp;DD54&amp;" repetições cada lado | ",DK55="U","Realizar "&amp;DD54&amp;" repetições de um lado e trocar para o outro na sequência | ",DJ55="P",OFFSET(Biblioteca!$H$2,MATCH(DK54,Biblioteca!$A$3:$A$200,0),0),TRUE,"")&amp;IF(DL55="R","Ajuste a carga para que tenha "&amp;$K$2&amp;" repetições de reserva",""))</f>
        <v/>
      </c>
      <c r="DC55" s="118" t="str">
        <f>IF(CY54="","",IFS(DJ55="H","Carga Sugerida: "&amp;ROUNDUP(DM54/2,0)&amp;" kg de cada lado (Total: "&amp;ROUNDUP(DM54/2,0)*2&amp;" kg)",DJ55="C","Este exercício usa o Peso Corporal como carga",DJ55="E","Este exercício usa a resistência da banda elástica como carga",DJ55="O","Carga Sugerida: "&amp;INT(DM54)&amp;" kg",TRUE,""))</f>
        <v/>
      </c>
      <c r="DH55" s="66"/>
      <c r="DI55" s="126">
        <f>DI54</f>
        <v>1</v>
      </c>
      <c r="DJ55" s="120" t="str">
        <f>LEFT(DM55)</f>
        <v/>
      </c>
      <c r="DK55" s="121" t="str">
        <f>MID(DM55,2,1)</f>
        <v/>
      </c>
      <c r="DL55" s="122" t="str">
        <f>RIGHT(DM55)</f>
        <v/>
      </c>
      <c r="DM55" s="123" t="str">
        <f>IF(DK54="","",OFFSET(Biblioteca!$I$2,MATCH(DK54,Biblioteca!$A$3:$A$200,0),0))</f>
        <v/>
      </c>
      <c r="DN55" s="57"/>
      <c r="DO55" s="147"/>
      <c r="DP55" s="57">
        <f>AND(J2&gt;1,DQ18&lt;2)+0</f>
        <v>0</v>
      </c>
      <c r="DQ55" s="56">
        <f>AND(J2&gt;2,DQ18&lt;3)+0</f>
        <v>0</v>
      </c>
      <c r="DR55" s="56">
        <f>AND(J2&gt;3,DQ18&lt;4)+0</f>
        <v>0</v>
      </c>
      <c r="DS55" s="56">
        <f>AND(J2&gt;4,DQ18&lt;5)+0</f>
        <v>0</v>
      </c>
      <c r="DT55" s="56"/>
      <c r="DU55" s="56">
        <f>AND(J2&gt;5,DQ18&lt;6)+0</f>
        <v>0</v>
      </c>
      <c r="DV55" s="56"/>
      <c r="DW55" s="56"/>
      <c r="DX55" s="148">
        <f>AND(J2=7,DQ18&lt;7)+0</f>
        <v>0</v>
      </c>
      <c r="DY55" s="56"/>
    </row>
    <row r="56">
      <c r="A56" s="115" t="str">
        <f>IF(M56="","",HYPERLINK(OFFSET(Biblioteca!$B$2,MATCH(M56,Biblioteca!$A$3:$A$200,0),0),M56))</f>
        <v/>
      </c>
      <c r="D56" s="103" t="str">
        <f>Montagem!Q236</f>
        <v/>
      </c>
      <c r="E56" s="104" t="str">
        <f>Montagem!R236</f>
        <v/>
      </c>
      <c r="F56" s="104" t="str">
        <f>Montagem!S236</f>
        <v/>
      </c>
      <c r="G56" s="104" t="str">
        <f>Montagem!T236</f>
        <v/>
      </c>
      <c r="H56" s="104" t="str">
        <f>Montagem!U236</f>
        <v/>
      </c>
      <c r="I56" s="132" t="str">
        <f>Montagem!V236</f>
        <v/>
      </c>
      <c r="J56" s="144"/>
      <c r="K56" s="106">
        <f>Montagem!K236</f>
        <v>1</v>
      </c>
      <c r="L56" s="111" t="str">
        <f>Montagem!W236</f>
        <v/>
      </c>
      <c r="M56" s="111" t="str">
        <f>Montagem!L236</f>
        <v/>
      </c>
      <c r="N56" s="111" t="str">
        <f>Montagem!X236</f>
        <v/>
      </c>
      <c r="O56" s="106" t="str">
        <f>IF(N56="",L56,N56)</f>
        <v/>
      </c>
      <c r="P56" s="106" t="str">
        <f>IF(L57="C",'Dados de Base'!$D$5*0.1,IF(L57="E",5,IF(J56="",O56,J56)))</f>
        <v/>
      </c>
      <c r="Q56" s="108"/>
      <c r="R56" s="115" t="str">
        <f>IF(AD56="","",HYPERLINK(OFFSET(Biblioteca!$B$2,MATCH(AD56,Biblioteca!$A$3:$A$200,0),0),AD56))</f>
        <v/>
      </c>
      <c r="U56" s="109" t="str">
        <f>Montagem!AF236</f>
        <v/>
      </c>
      <c r="V56" s="110" t="str">
        <f>Montagem!AG236</f>
        <v/>
      </c>
      <c r="W56" s="110" t="str">
        <f>Montagem!AH236</f>
        <v/>
      </c>
      <c r="X56" s="110" t="str">
        <f>Montagem!AI236</f>
        <v/>
      </c>
      <c r="Y56" s="110" t="str">
        <f>Montagem!AJ236</f>
        <v/>
      </c>
      <c r="Z56" s="110" t="str">
        <f>Montagem!AK236</f>
        <v/>
      </c>
      <c r="AA56" s="113"/>
      <c r="AB56" s="111">
        <f>Montagem!Z236</f>
        <v>1</v>
      </c>
      <c r="AC56" s="111" t="str">
        <f>Montagem!AL236</f>
        <v/>
      </c>
      <c r="AD56" s="129" t="str">
        <f>Montagem!AA236</f>
        <v/>
      </c>
      <c r="AE56" s="111" t="str">
        <f>Montagem!AM236</f>
        <v/>
      </c>
      <c r="AF56" s="106" t="str">
        <f>IF(AE56="",AC56,AE56)</f>
        <v/>
      </c>
      <c r="AG56" s="106" t="str">
        <f>IF(AC57="C",'Dados de Base'!$D$5*0.1,IF(AC57="E",5,IF(AA56="",AF56,AA56)))</f>
        <v/>
      </c>
      <c r="AH56" s="108"/>
      <c r="AI56" s="115" t="str">
        <f>IF(AU56="","",HYPERLINK(OFFSET(Biblioteca!$B$2,MATCH(AU56,Biblioteca!$A$3:$A$200,0),0),AU56))</f>
        <v/>
      </c>
      <c r="AL56" s="109" t="str">
        <f>Montagem!AU236</f>
        <v/>
      </c>
      <c r="AM56" s="110" t="str">
        <f>Montagem!AV236</f>
        <v/>
      </c>
      <c r="AN56" s="110" t="str">
        <f>Montagem!AW236</f>
        <v/>
      </c>
      <c r="AO56" s="110" t="str">
        <f>Montagem!AX236</f>
        <v/>
      </c>
      <c r="AP56" s="110" t="str">
        <f>Montagem!AY236</f>
        <v/>
      </c>
      <c r="AQ56" s="110" t="str">
        <f>Montagem!AZ236</f>
        <v/>
      </c>
      <c r="AR56" s="114"/>
      <c r="AS56" s="111">
        <f>Montagem!AO236</f>
        <v>1</v>
      </c>
      <c r="AT56" s="111" t="str">
        <f>Montagem!BA236</f>
        <v/>
      </c>
      <c r="AU56" s="111" t="str">
        <f>Montagem!AP236</f>
        <v/>
      </c>
      <c r="AV56" s="111" t="str">
        <f>Montagem!BB236</f>
        <v/>
      </c>
      <c r="AW56" s="106" t="str">
        <f>IF(AV56="",AT56,AV56)</f>
        <v/>
      </c>
      <c r="AX56" s="106" t="str">
        <f>IF(AT57="C",'Dados de Base'!$D$5*0.1,IF(AT57="E",5,IF(AR56="",AW56,AR56)))</f>
        <v/>
      </c>
      <c r="AY56" s="108"/>
      <c r="AZ56" s="115" t="str">
        <f>IF(BL56="","",HYPERLINK(OFFSET(Biblioteca!$B$2,MATCH(BL56,Biblioteca!$A$3:$A$200,0),0),BL56))</f>
        <v/>
      </c>
      <c r="BC56" s="109" t="str">
        <f>Montagem!BJ236</f>
        <v/>
      </c>
      <c r="BD56" s="110" t="str">
        <f>Montagem!BK236</f>
        <v/>
      </c>
      <c r="BE56" s="110" t="str">
        <f>Montagem!BL236</f>
        <v/>
      </c>
      <c r="BF56" s="110" t="str">
        <f>Montagem!BM236</f>
        <v/>
      </c>
      <c r="BG56" s="110" t="str">
        <f>Montagem!BN236</f>
        <v/>
      </c>
      <c r="BH56" s="110" t="str">
        <f>Montagem!BO236</f>
        <v/>
      </c>
      <c r="BI56" s="114"/>
      <c r="BJ56" s="111">
        <f>Montagem!BD236</f>
        <v>1</v>
      </c>
      <c r="BK56" s="111" t="str">
        <f>Montagem!BP236</f>
        <v/>
      </c>
      <c r="BL56" s="111" t="str">
        <f>Montagem!BE236</f>
        <v/>
      </c>
      <c r="BM56" s="111" t="str">
        <f>Montagem!BQ236</f>
        <v/>
      </c>
      <c r="BN56" s="106" t="str">
        <f>IF(BM56="",BK56,BM56)</f>
        <v/>
      </c>
      <c r="BO56" s="106" t="str">
        <f>IF(BK57="C",'Dados de Base'!$D$5*0.1,IF(BK57="E",5,IF(BI56="",BN56,BI56)))</f>
        <v/>
      </c>
      <c r="BP56" s="108"/>
      <c r="BQ56" s="115" t="str">
        <f>IF(CC56="","",HYPERLINK(OFFSET(Biblioteca!$B$2,MATCH(CC56,Biblioteca!$A$3:$A$200,0),0),CC56))</f>
        <v/>
      </c>
      <c r="BT56" s="109" t="str">
        <f>Montagem!BY236</f>
        <v/>
      </c>
      <c r="BU56" s="110" t="str">
        <f>Montagem!BZ236</f>
        <v/>
      </c>
      <c r="BV56" s="110" t="str">
        <f>Montagem!CA236</f>
        <v/>
      </c>
      <c r="BW56" s="110" t="str">
        <f>Montagem!CB236</f>
        <v/>
      </c>
      <c r="BX56" s="110" t="str">
        <f>Montagem!CC236</f>
        <v/>
      </c>
      <c r="BY56" s="110" t="str">
        <f>Montagem!CD236</f>
        <v/>
      </c>
      <c r="BZ56" s="114"/>
      <c r="CA56" s="111">
        <f>Montagem!BS236</f>
        <v>1</v>
      </c>
      <c r="CB56" s="111" t="str">
        <f>Montagem!CE236</f>
        <v/>
      </c>
      <c r="CC56" s="111" t="str">
        <f>Montagem!BT236</f>
        <v/>
      </c>
      <c r="CD56" s="111" t="str">
        <f>Montagem!CF236</f>
        <v/>
      </c>
      <c r="CE56" s="106" t="str">
        <f>IF(CD56="",CB56,CD56)</f>
        <v/>
      </c>
      <c r="CF56" s="106" t="str">
        <f>IF(CB57="C",'Dados de Base'!$D$5*0.1,IF(CB57="E",5,IF(BZ56="",CE56,BZ56)))</f>
        <v/>
      </c>
      <c r="CG56" s="108"/>
      <c r="CH56" s="115" t="str">
        <f>IF(CT56="","",HYPERLINK(OFFSET(Biblioteca!$B$2,MATCH(CT56,Biblioteca!$A$3:$A$200,0),0),CT56))</f>
        <v/>
      </c>
      <c r="CK56" s="109" t="str">
        <f>Montagem!CN236</f>
        <v/>
      </c>
      <c r="CL56" s="110" t="str">
        <f>Montagem!CO236</f>
        <v/>
      </c>
      <c r="CM56" s="110" t="str">
        <f>Montagem!CP236</f>
        <v/>
      </c>
      <c r="CN56" s="110" t="str">
        <f>Montagem!CQ236</f>
        <v/>
      </c>
      <c r="CO56" s="110" t="str">
        <f>Montagem!CR236</f>
        <v/>
      </c>
      <c r="CP56" s="110" t="str">
        <f>Montagem!CS236</f>
        <v/>
      </c>
      <c r="CQ56" s="114"/>
      <c r="CR56" s="111">
        <f>Montagem!CH236</f>
        <v>1</v>
      </c>
      <c r="CS56" s="111" t="str">
        <f>Montagem!CT236</f>
        <v/>
      </c>
      <c r="CT56" s="111" t="str">
        <f>Montagem!CI236</f>
        <v/>
      </c>
      <c r="CU56" s="145" t="str">
        <f>Montagem!CU236</f>
        <v/>
      </c>
      <c r="CV56" s="106" t="str">
        <f>IF(CU56="",CS56,CU56)</f>
        <v/>
      </c>
      <c r="CW56" s="106" t="str">
        <f>IF(CS57="C",'Dados de Base'!$D$5*0.1,IF(CS57="E",5,IF(CQ56="",CV56,CQ56)))</f>
        <v/>
      </c>
      <c r="CX56" s="108"/>
      <c r="CY56" s="115" t="str">
        <f>IF(DK56="","",HYPERLINK(OFFSET(Biblioteca!$B$2,MATCH(DK56,Biblioteca!$A$3:$A$200,0),0),DK56))</f>
        <v/>
      </c>
      <c r="DB56" s="130" t="str">
        <f>Montagem!DC236</f>
        <v/>
      </c>
      <c r="DC56" s="131" t="str">
        <f>Montagem!DD236</f>
        <v/>
      </c>
      <c r="DD56" s="131" t="str">
        <f>Montagem!DE236</f>
        <v/>
      </c>
      <c r="DE56" s="131" t="str">
        <f>Montagem!DF236</f>
        <v/>
      </c>
      <c r="DF56" s="131" t="str">
        <f>Montagem!DG236</f>
        <v/>
      </c>
      <c r="DG56" s="131" t="str">
        <f>Montagem!DH236</f>
        <v/>
      </c>
      <c r="DH56" s="114"/>
      <c r="DI56" s="111">
        <f>Montagem!CW236</f>
        <v>1</v>
      </c>
      <c r="DJ56" s="111" t="str">
        <f>Montagem!DI236</f>
        <v/>
      </c>
      <c r="DK56" s="111" t="str">
        <f>Montagem!CX236</f>
        <v/>
      </c>
      <c r="DL56" s="145" t="str">
        <f>Montagem!DJ236</f>
        <v/>
      </c>
      <c r="DM56" s="106" t="str">
        <f>IF(DL56="",DJ56,DL56)</f>
        <v/>
      </c>
      <c r="DN56" s="106" t="str">
        <f>IF(DJ57="C",'Dados de Base'!$D$5*0.1,IF(DJ57="E",5,IF(DH56="",DM56,DH56)))</f>
        <v/>
      </c>
      <c r="DO56" s="146"/>
      <c r="DP56" s="106">
        <f>AND(J2&gt;1,DQ18&gt;1)+0</f>
        <v>0</v>
      </c>
      <c r="DQ56" s="106">
        <f>AND(J2&gt;2,DQ18&gt;2)+0</f>
        <v>0</v>
      </c>
      <c r="DR56" s="106">
        <f>AND(J2&gt;3,DQ18&gt;3)+0</f>
        <v>0</v>
      </c>
      <c r="DS56" s="106">
        <f>AND(J2&gt;4,DQ18&gt;4)+0</f>
        <v>0</v>
      </c>
      <c r="DT56" s="106"/>
      <c r="DU56" s="106">
        <f>AND(J2&gt;5,DQ18&gt;5)+0</f>
        <v>0</v>
      </c>
      <c r="DV56" s="106"/>
      <c r="DW56" s="106"/>
      <c r="DX56" s="106">
        <f>AND(J2=7,DQ18&gt;6)+0</f>
        <v>0</v>
      </c>
      <c r="DY56" s="106"/>
    </row>
    <row r="57">
      <c r="A57" s="117" t="str">
        <f>IF(A56="","",IFS(L57="A",Montagem!$C$230,N57="T","Realizar a maior quantidade de repetições por "&amp;F56&amp;" segundos | ",N57="I",IF(M57="U","Manter a posição por "&amp;F56&amp;" segundos de um lado e trocar para o outro na sequência | ","Manter a posição por "&amp;F56&amp;" segundos | "),M57="A","Realizar alternadamente "&amp;F56&amp;" repetições cada lado | ",M57="U","Realizar "&amp;F56&amp;" repetições de um lado e trocar para o outro na sequência | ",L57="P",OFFSET(Biblioteca!$H$2,MATCH(M56,Biblioteca!$A$3:$A$200,0),0),TRUE,"")&amp;IF(N57="R","Ajuste a carga para que tenha "&amp;$K$2&amp;" repetições de reserva",""))</f>
        <v/>
      </c>
      <c r="E57" s="118" t="str">
        <f>IF(A56="","",IFS(L57="H","Carga Sugerida: "&amp;ROUNDUP(O56/2,0)&amp;" kg de cada lado (Total: "&amp;ROUNDUP(O56/2,0)*2&amp;" kg)",L57="C","Este exercício usa o Peso Corporal como carga",L57="E","Este exercício usa a resistência da banda elástica como carga",L57="O","Carga Sugerida: "&amp;INT(O56)&amp;" kg",TRUE,""))</f>
        <v/>
      </c>
      <c r="J57" s="66"/>
      <c r="K57" s="106">
        <f>K56</f>
        <v>1</v>
      </c>
      <c r="L57" s="120" t="str">
        <f>LEFT(O57)</f>
        <v/>
      </c>
      <c r="M57" s="121" t="str">
        <f>MID(O57,2,1)</f>
        <v/>
      </c>
      <c r="N57" s="122" t="str">
        <f>RIGHT(O57)</f>
        <v/>
      </c>
      <c r="O57" s="123" t="str">
        <f>IF(M56="","",OFFSET(Biblioteca!$I$2,MATCH(M56,Biblioteca!$A$3:$A$200,0),0))</f>
        <v/>
      </c>
      <c r="P57" s="57"/>
      <c r="Q57" s="125"/>
      <c r="R57" s="117" t="str">
        <f>IF(R56="","",IFS(AC57="A",Montagem!$D$230,AE57="T","Realizar a maior quantidade de repetições por "&amp;W56&amp;" segundos | ",AE57="I",IF(AD57="U","Manter a posição por "&amp;W56&amp;" segundos de um lado e trocar para o outro na sequência | ","Manter a posição por "&amp;W56&amp;" segundos | "),AD57="A","Realizar alternadamente "&amp;W56&amp;" repetições cada lado | ",AD57="U","Realizar "&amp;W56&amp;" repetições de um lado e trocar para o outro na sequência | ",AC57="P",OFFSET(Biblioteca!$H$2,MATCH(AD56,Biblioteca!$A$3:$A$200,0),0),TRUE,"")&amp;IF(AE57="R","Ajuste a carga para que tenha "&amp;$K$2&amp;" repetições de reserva",""))</f>
        <v/>
      </c>
      <c r="V57" s="118" t="str">
        <f>IF(R56="","",IFS(AC57="H","Carga Sugerida: "&amp;ROUNDUP(AF56/2,0)&amp;" kg de cada lado (Total: "&amp;ROUNDUP(AF56/2,0)*2&amp;" kg)",AC57="C","Este exercício usa o Peso Corporal como carga",AC57="E","Este exercício usa a resistência da banda elástica como carga",AC57="O","Carga Sugerida: "&amp;INT(AF56)&amp;" kg",TRUE,""))</f>
        <v/>
      </c>
      <c r="AA57" s="66"/>
      <c r="AB57" s="126">
        <f>AB56</f>
        <v>1</v>
      </c>
      <c r="AC57" s="120" t="str">
        <f>LEFT(AF57)</f>
        <v/>
      </c>
      <c r="AD57" s="121" t="str">
        <f>MID(AF57,2,1)</f>
        <v/>
      </c>
      <c r="AE57" s="122" t="str">
        <f>RIGHT(AF57)</f>
        <v/>
      </c>
      <c r="AF57" s="123" t="str">
        <f>IF(AD56="","",OFFSET(Biblioteca!$I$2,MATCH(AD56,Biblioteca!$A$3:$A$200,0),0))</f>
        <v/>
      </c>
      <c r="AG57" s="57"/>
      <c r="AH57" s="125"/>
      <c r="AI57" s="117" t="str">
        <f>IF(AI56="","",IFS(AT57="A",Montagem!$E$230,AV57="T","Realizar a maior quantidade de repetições por "&amp;AN56&amp;" segundos | ",AV57="I",IF(AU57="U","Manter a posição por "&amp;AN56&amp;" segundos de um lado e trocar para o outro na sequência | ","Manter a posição por "&amp;AN56&amp;" segundos | "),AU57="A","Realizar alternadamente "&amp;AN56&amp;" repetições cada lado | ",AU57="U","Realizar "&amp;AN56&amp;" repetições de um lado e trocar para o outro na sequência | ",AT57="P",OFFSET(Biblioteca!$H$2,MATCH(AU56,Biblioteca!$A$3:$A$200,0),0),TRUE,"")&amp;IF(AV57="R","Ajuste a carga para que tenha "&amp;$K$2&amp;" repetições de reserva",""))</f>
        <v/>
      </c>
      <c r="AM57" s="118" t="str">
        <f>IF(AI56="","",IFS(AT57="H","Carga Sugerida: "&amp;ROUNDUP(AW56/2,0)&amp;" kg de cada lado (Total: "&amp;ROUNDUP(AW56/2,0)*2&amp;" kg)",AT57="C","Este exercício usa o Peso Corporal como carga",AT57="E","Este exercício usa a resistência da banda elástica como carga",AT57="O","Carga Sugerida: "&amp;INT(AW56)&amp;" kg",TRUE,""))</f>
        <v/>
      </c>
      <c r="AR57" s="66"/>
      <c r="AS57" s="126">
        <f>AS56</f>
        <v>1</v>
      </c>
      <c r="AT57" s="120" t="str">
        <f>LEFT(AW57)</f>
        <v/>
      </c>
      <c r="AU57" s="121" t="str">
        <f>MID(AW57,2,1)</f>
        <v/>
      </c>
      <c r="AV57" s="122" t="str">
        <f>RIGHT(AW57)</f>
        <v/>
      </c>
      <c r="AW57" s="123" t="str">
        <f>IF(AU56="","",OFFSET(Biblioteca!$I$2,MATCH(AU56,Biblioteca!$A$3:$A$200,0),0))</f>
        <v/>
      </c>
      <c r="AX57" s="57"/>
      <c r="AY57" s="125"/>
      <c r="AZ57" s="117" t="str">
        <f>IF(AZ56="","",IFS(BK57="A",Montagem!$F$230,BM57="T","Realizar a maior quantidade de repetições por "&amp;BE56&amp;" segundos | ",BM57="I",IF(BL57="U","Manter a posição por "&amp;BE56&amp;" segundos de um lado e trocar para o outro na sequência | ","Manter a posição por "&amp;BE56&amp;" segundos | "),BL57="A","Realizar alternadamente "&amp;BE56&amp;" repetições cada lado | ",BL57="U","Realizar "&amp;BE56&amp;" repetições de um lado e trocar para o outro na sequência | ",BK57="P",OFFSET(Biblioteca!$H$2,MATCH(BL56,Biblioteca!$A$3:$A$200,0),0),TRUE,"")&amp;IF(BM57="R","Ajuste a carga para que tenha "&amp;$K$2&amp;" repetições de reserva",""))</f>
        <v/>
      </c>
      <c r="BD57" s="118" t="str">
        <f>IF(AZ56="","",IFS(BK57="H","Carga Sugerida: "&amp;ROUNDUP(BN56/2,0)&amp;" kg de cada lado (Total: "&amp;ROUNDUP(BN56/2,0)*2&amp;" kg)",BK57="C","Este exercício usa o Peso Corporal como carga",BK57="E","Este exercício usa a resistência da banda elástica como carga",BK57="O","Carga Sugerida: "&amp;INT(BN56)&amp;" kg",TRUE,""))</f>
        <v/>
      </c>
      <c r="BI57" s="66"/>
      <c r="BJ57" s="126">
        <f>BJ56</f>
        <v>1</v>
      </c>
      <c r="BK57" s="120" t="str">
        <f>LEFT(BN57)</f>
        <v/>
      </c>
      <c r="BL57" s="121" t="str">
        <f>MID(BN57,2,1)</f>
        <v/>
      </c>
      <c r="BM57" s="122" t="str">
        <f>RIGHT(BN57)</f>
        <v/>
      </c>
      <c r="BN57" s="123" t="str">
        <f>IF(BL56="","",OFFSET(Biblioteca!$I$2,MATCH(BL56,Biblioteca!$A$3:$A$200,0),0))</f>
        <v/>
      </c>
      <c r="BO57" s="57"/>
      <c r="BP57" s="125"/>
      <c r="BQ57" s="117" t="str">
        <f>IF(BQ56="","",IFS(CB57="A",Montagem!$G$230,CD57="T","Realizar a maior quantidade de repetições por "&amp;BV56&amp;" segundos | ",CD57="I",IF(CC57="U","Manter a posição por "&amp;BV56&amp;" segundos de um lado e trocar para o outro na sequência | ","Manter a posição por "&amp;BV56&amp;" segundos | "),CC57="A","Realizar alternadamente "&amp;BV56&amp;" repetições cada lado | ",CC57="U","Realizar "&amp;BV56&amp;" repetições de um lado e trocar para o outro na sequência | ",CB57="P",OFFSET(Biblioteca!$H$2,MATCH(CC56,Biblioteca!$A$3:$A$200,0),0),TRUE,"")&amp;IF(CD57="R","Ajuste a carga para que tenha "&amp;$K$2&amp;" repetições de reserva",""))</f>
        <v/>
      </c>
      <c r="BU57" s="118" t="str">
        <f>IF(BQ56="","",IFS(CB57="H","Carga Sugerida: "&amp;ROUNDUP(CE56/2,0)&amp;" kg de cada lado (Total: "&amp;ROUNDUP(CE56/2,0)*2&amp;" kg)",CB57="C","Este exercício usa o Peso Corporal como carga",CB57="E","Este exercício usa a resistência da banda elástica como carga",CB57="O","Carga Sugerida: "&amp;INT(CE56)&amp;" kg",TRUE,""))</f>
        <v/>
      </c>
      <c r="BZ57" s="66"/>
      <c r="CA57" s="126">
        <f>CA56</f>
        <v>1</v>
      </c>
      <c r="CB57" s="120" t="str">
        <f>LEFT(CE57)</f>
        <v/>
      </c>
      <c r="CC57" s="121" t="str">
        <f>MID(CE57,2,1)</f>
        <v/>
      </c>
      <c r="CD57" s="122" t="str">
        <f>RIGHT(CE57)</f>
        <v/>
      </c>
      <c r="CE57" s="123" t="str">
        <f>IF(CC56="","",OFFSET(Biblioteca!$I$2,MATCH(CC56,Biblioteca!$A$3:$A$200,0),0))</f>
        <v/>
      </c>
      <c r="CF57" s="57"/>
      <c r="CG57" s="125"/>
      <c r="CH57" s="117" t="str">
        <f>IF(CH56="","",IFS(CS57="A",Montagem!$H$230,CU57="T","Realizar a maior quantidade de repetições por "&amp;CM56&amp;" segundos | ",CU57="I",IF(CT57="U","Manter a posição por "&amp;CM56&amp;" segundos de um lado e trocar para o outro na sequência | ","Manter a posição por "&amp;CM56&amp;" segundos | "),CT57="A","Realizar alternadamente "&amp;CM56&amp;" repetições cada lado | ",CT57="U","Realizar "&amp;CM56&amp;" repetições de um lado e trocar para o outro na sequência | ",CS57="P",OFFSET(Biblioteca!$H$2,MATCH(CT56,Biblioteca!$A$3:$A$200,0),0),TRUE,"")&amp;IF(CU57="R","Ajuste a carga para que tenha "&amp;$K$2&amp;" repetições de reserva",""))</f>
        <v/>
      </c>
      <c r="CL57" s="118" t="str">
        <f>IF(CH56="","",IFS(CS57="H","Carga Sugerida: "&amp;ROUNDUP(CV56/2,0)&amp;" kg de cada lado (Total: "&amp;ROUNDUP(CV56/2,0)*2&amp;" kg)",CS57="C","Este exercício usa o Peso Corporal como carga",CS57="E","Este exercício usa a resistência da banda elástica como carga",CS57="O","Carga Sugerida: "&amp;INT(CV56)&amp;" kg",TRUE,""))</f>
        <v/>
      </c>
      <c r="CQ57" s="66"/>
      <c r="CR57" s="126">
        <f>CR56</f>
        <v>1</v>
      </c>
      <c r="CS57" s="120" t="str">
        <f>LEFT(CV57)</f>
        <v/>
      </c>
      <c r="CT57" s="121" t="str">
        <f>MID(CV57,2,1)</f>
        <v/>
      </c>
      <c r="CU57" s="122" t="str">
        <f>RIGHT(CV57)</f>
        <v/>
      </c>
      <c r="CV57" s="123" t="str">
        <f>IF(CT56="","",OFFSET(Biblioteca!$I$2,MATCH(CT56,Biblioteca!$A$3:$A$200,0),0))</f>
        <v/>
      </c>
      <c r="CW57" s="57"/>
      <c r="CX57" s="125"/>
      <c r="CY57" s="117" t="str">
        <f>IF(CY56="","",IFS(DJ57="A",Montagem!$I$230,DL57="T","Realizar a maior quantidade de repetições por "&amp;DD56&amp;" segundos | ",DL57="I",IF(DK57="U","Manter a posição por "&amp;DD56&amp;" segundos de um lado e trocar para o outro na sequência | ","Manter a posição por "&amp;DD56&amp;" segundos | "),DK57="A","Realizar alternadamente "&amp;DD56&amp;" repetições cada lado | ",DK57="U","Realizar "&amp;DD56&amp;" repetições de um lado e trocar para o outro na sequência | ",DJ57="P",OFFSET(Biblioteca!$H$2,MATCH(DK56,Biblioteca!$A$3:$A$200,0),0),TRUE,"")&amp;IF(DL57="R","Ajuste a carga para que tenha "&amp;$K$2&amp;" repetições de reserva",""))</f>
        <v/>
      </c>
      <c r="DC57" s="118" t="str">
        <f>IF(CY56="","",IFS(DJ57="H","Carga Sugerida: "&amp;ROUNDUP(DM56/2,0)&amp;" kg de cada lado (Total: "&amp;ROUNDUP(DM56/2,0)*2&amp;" kg)",DJ57="C","Este exercício usa o Peso Corporal como carga",DJ57="E","Este exercício usa a resistência da banda elástica como carga",DJ57="O","Carga Sugerida: "&amp;INT(DM56)&amp;" kg",TRUE,""))</f>
        <v/>
      </c>
      <c r="DH57" s="66"/>
      <c r="DI57" s="126">
        <f>DI56</f>
        <v>1</v>
      </c>
      <c r="DJ57" s="120" t="str">
        <f>LEFT(DM57)</f>
        <v/>
      </c>
      <c r="DK57" s="121" t="str">
        <f>MID(DM57,2,1)</f>
        <v/>
      </c>
      <c r="DL57" s="122" t="str">
        <f>RIGHT(DM57)</f>
        <v/>
      </c>
      <c r="DM57" s="123" t="str">
        <f>IF(DK56="","",OFFSET(Biblioteca!$I$2,MATCH(DK56,Biblioteca!$A$3:$A$200,0),0))</f>
        <v/>
      </c>
      <c r="DN57" s="57"/>
      <c r="DO57" s="147"/>
      <c r="DP57" s="149"/>
      <c r="DQ57" s="150"/>
      <c r="DR57" s="56"/>
      <c r="DS57" s="151"/>
      <c r="DU57" s="151"/>
      <c r="DX57" s="152"/>
      <c r="DY57" s="152"/>
    </row>
    <row r="58">
      <c r="A58" s="115" t="str">
        <f>IF(M58="","",HYPERLINK(OFFSET(Biblioteca!$B$2,MATCH(M58,Biblioteca!$A$3:$A$200,0),0),M58))</f>
        <v/>
      </c>
      <c r="D58" s="103" t="str">
        <f>Montagem!Q237</f>
        <v/>
      </c>
      <c r="E58" s="104" t="str">
        <f>Montagem!R237</f>
        <v/>
      </c>
      <c r="F58" s="104" t="str">
        <f>Montagem!S237</f>
        <v/>
      </c>
      <c r="G58" s="104" t="str">
        <f>Montagem!T237</f>
        <v/>
      </c>
      <c r="H58" s="104" t="str">
        <f>Montagem!U237</f>
        <v/>
      </c>
      <c r="I58" s="132" t="str">
        <f>Montagem!V237</f>
        <v/>
      </c>
      <c r="J58" s="144"/>
      <c r="K58" s="106">
        <f>Montagem!K237</f>
        <v>1</v>
      </c>
      <c r="L58" s="111" t="str">
        <f>Montagem!W237</f>
        <v/>
      </c>
      <c r="M58" s="111" t="str">
        <f>Montagem!L237</f>
        <v/>
      </c>
      <c r="N58" s="111" t="str">
        <f>Montagem!X237</f>
        <v/>
      </c>
      <c r="O58" s="106" t="str">
        <f>IF(N58="",L58,N58)</f>
        <v/>
      </c>
      <c r="P58" s="106" t="str">
        <f>IF(L59="C",'Dados de Base'!$D$5*0.1,IF(L59="E",5,IF(J58="",O58,J58)))</f>
        <v/>
      </c>
      <c r="Q58" s="108"/>
      <c r="R58" s="115" t="str">
        <f>IF(AD58="","",HYPERLINK(OFFSET(Biblioteca!$B$2,MATCH(AD58,Biblioteca!$A$3:$A$200,0),0),AD58))</f>
        <v/>
      </c>
      <c r="U58" s="109" t="str">
        <f>Montagem!AF237</f>
        <v/>
      </c>
      <c r="V58" s="110" t="str">
        <f>Montagem!AG237</f>
        <v/>
      </c>
      <c r="W58" s="110" t="str">
        <f>Montagem!AH237</f>
        <v/>
      </c>
      <c r="X58" s="110" t="str">
        <f>Montagem!AI237</f>
        <v/>
      </c>
      <c r="Y58" s="110" t="str">
        <f>Montagem!AJ237</f>
        <v/>
      </c>
      <c r="Z58" s="110" t="str">
        <f>Montagem!AK237</f>
        <v/>
      </c>
      <c r="AA58" s="113"/>
      <c r="AB58" s="111">
        <f>Montagem!Z237</f>
        <v>1</v>
      </c>
      <c r="AC58" s="111" t="str">
        <f>Montagem!AL237</f>
        <v/>
      </c>
      <c r="AD58" s="129" t="str">
        <f>Montagem!AA237</f>
        <v/>
      </c>
      <c r="AE58" s="111" t="str">
        <f>Montagem!AM237</f>
        <v/>
      </c>
      <c r="AF58" s="106" t="str">
        <f>IF(AE58="",AC58,AE58)</f>
        <v/>
      </c>
      <c r="AG58" s="106" t="str">
        <f>IF(AC59="C",'Dados de Base'!$D$5*0.1,IF(AC59="E",5,IF(AA58="",AF58,AA58)))</f>
        <v/>
      </c>
      <c r="AH58" s="108"/>
      <c r="AI58" s="115" t="str">
        <f>IF(AU58="","",HYPERLINK(OFFSET(Biblioteca!$B$2,MATCH(AU58,Biblioteca!$A$3:$A$200,0),0),AU58))</f>
        <v/>
      </c>
      <c r="AL58" s="109" t="str">
        <f>Montagem!AU237</f>
        <v/>
      </c>
      <c r="AM58" s="110" t="str">
        <f>Montagem!AV237</f>
        <v/>
      </c>
      <c r="AN58" s="110" t="str">
        <f>Montagem!AW237</f>
        <v/>
      </c>
      <c r="AO58" s="110" t="str">
        <f>Montagem!AX237</f>
        <v/>
      </c>
      <c r="AP58" s="110" t="str">
        <f>Montagem!AY237</f>
        <v/>
      </c>
      <c r="AQ58" s="110" t="str">
        <f>Montagem!AZ237</f>
        <v/>
      </c>
      <c r="AR58" s="114"/>
      <c r="AS58" s="111">
        <f>Montagem!AO237</f>
        <v>1</v>
      </c>
      <c r="AT58" s="111" t="str">
        <f>Montagem!BA237</f>
        <v/>
      </c>
      <c r="AU58" s="111" t="str">
        <f>Montagem!AP237</f>
        <v/>
      </c>
      <c r="AV58" s="111" t="str">
        <f>Montagem!BB237</f>
        <v/>
      </c>
      <c r="AW58" s="106" t="str">
        <f>IF(AV58="",AT58,AV58)</f>
        <v/>
      </c>
      <c r="AX58" s="106" t="str">
        <f>IF(AT59="C",'Dados de Base'!$D$5*0.1,IF(AT59="E",5,IF(AR58="",AW58,AR58)))</f>
        <v/>
      </c>
      <c r="AY58" s="108"/>
      <c r="AZ58" s="115" t="str">
        <f>IF(BL58="","",HYPERLINK(OFFSET(Biblioteca!$B$2,MATCH(BL58,Biblioteca!$A$3:$A$200,0),0),BL58))</f>
        <v/>
      </c>
      <c r="BC58" s="109" t="str">
        <f>Montagem!BJ237</f>
        <v/>
      </c>
      <c r="BD58" s="110" t="str">
        <f>Montagem!BK237</f>
        <v/>
      </c>
      <c r="BE58" s="110" t="str">
        <f>Montagem!BL237</f>
        <v/>
      </c>
      <c r="BF58" s="110" t="str">
        <f>Montagem!BM237</f>
        <v/>
      </c>
      <c r="BG58" s="110" t="str">
        <f>Montagem!BN237</f>
        <v/>
      </c>
      <c r="BH58" s="110" t="str">
        <f>Montagem!BO237</f>
        <v/>
      </c>
      <c r="BI58" s="114"/>
      <c r="BJ58" s="111">
        <f>Montagem!BD237</f>
        <v>1</v>
      </c>
      <c r="BK58" s="111" t="str">
        <f>Montagem!BP237</f>
        <v/>
      </c>
      <c r="BL58" s="111" t="str">
        <f>Montagem!BE237</f>
        <v/>
      </c>
      <c r="BM58" s="111" t="str">
        <f>Montagem!BQ237</f>
        <v/>
      </c>
      <c r="BN58" s="106" t="str">
        <f>IF(BM58="",BK58,BM58)</f>
        <v/>
      </c>
      <c r="BO58" s="106" t="str">
        <f>IF(BK59="C",'Dados de Base'!$D$5*0.1,IF(BK59="E",5,IF(BI58="",BN58,BI58)))</f>
        <v/>
      </c>
      <c r="BP58" s="108"/>
      <c r="BQ58" s="115" t="str">
        <f>IF(CC58="","",HYPERLINK(OFFSET(Biblioteca!$B$2,MATCH(CC58,Biblioteca!$A$3:$A$200,0),0),CC58))</f>
        <v/>
      </c>
      <c r="BT58" s="109" t="str">
        <f>Montagem!BY237</f>
        <v/>
      </c>
      <c r="BU58" s="110" t="str">
        <f>Montagem!BZ237</f>
        <v/>
      </c>
      <c r="BV58" s="110" t="str">
        <f>Montagem!CA237</f>
        <v/>
      </c>
      <c r="BW58" s="110" t="str">
        <f>Montagem!CB237</f>
        <v/>
      </c>
      <c r="BX58" s="110" t="str">
        <f>Montagem!CC237</f>
        <v/>
      </c>
      <c r="BY58" s="110" t="str">
        <f>Montagem!CD237</f>
        <v/>
      </c>
      <c r="BZ58" s="114"/>
      <c r="CA58" s="111">
        <f>Montagem!BS237</f>
        <v>1</v>
      </c>
      <c r="CB58" s="111" t="str">
        <f>Montagem!CE237</f>
        <v/>
      </c>
      <c r="CC58" s="111" t="str">
        <f>Montagem!BT237</f>
        <v/>
      </c>
      <c r="CD58" s="111" t="str">
        <f>Montagem!CF237</f>
        <v/>
      </c>
      <c r="CE58" s="106" t="str">
        <f>IF(CD58="",CB58,CD58)</f>
        <v/>
      </c>
      <c r="CF58" s="106" t="str">
        <f>IF(CB59="C",'Dados de Base'!$D$5*0.1,IF(CB59="E",5,IF(BZ58="",CE58,BZ58)))</f>
        <v/>
      </c>
      <c r="CG58" s="108"/>
      <c r="CH58" s="115" t="str">
        <f>IF(CT58="","",HYPERLINK(OFFSET(Biblioteca!$B$2,MATCH(CT58,Biblioteca!$A$3:$A$200,0),0),CT58))</f>
        <v/>
      </c>
      <c r="CK58" s="109" t="str">
        <f>Montagem!CN237</f>
        <v/>
      </c>
      <c r="CL58" s="110" t="str">
        <f>Montagem!CO237</f>
        <v/>
      </c>
      <c r="CM58" s="110" t="str">
        <f>Montagem!CP237</f>
        <v/>
      </c>
      <c r="CN58" s="110" t="str">
        <f>Montagem!CQ237</f>
        <v/>
      </c>
      <c r="CO58" s="110" t="str">
        <f>Montagem!CR237</f>
        <v/>
      </c>
      <c r="CP58" s="110" t="str">
        <f>Montagem!CS237</f>
        <v/>
      </c>
      <c r="CQ58" s="114"/>
      <c r="CR58" s="111">
        <f>Montagem!CH237</f>
        <v>1</v>
      </c>
      <c r="CS58" s="111" t="str">
        <f>Montagem!CT237</f>
        <v/>
      </c>
      <c r="CT58" s="111" t="str">
        <f>Montagem!CI237</f>
        <v/>
      </c>
      <c r="CU58" s="145" t="str">
        <f>Montagem!CU237</f>
        <v/>
      </c>
      <c r="CV58" s="106" t="str">
        <f>IF(CU58="",CS58,CU58)</f>
        <v/>
      </c>
      <c r="CW58" s="106" t="str">
        <f>IF(CS59="C",'Dados de Base'!$D$5*0.1,IF(CS59="E",5,IF(CQ58="",CV58,CQ58)))</f>
        <v/>
      </c>
      <c r="CX58" s="108"/>
      <c r="CY58" s="115" t="str">
        <f>IF(DK58="","",HYPERLINK(OFFSET(Biblioteca!$B$2,MATCH(DK58,Biblioteca!$A$3:$A$200,0),0),DK58))</f>
        <v/>
      </c>
      <c r="DB58" s="130" t="str">
        <f>Montagem!DC237</f>
        <v/>
      </c>
      <c r="DC58" s="131" t="str">
        <f>Montagem!DD237</f>
        <v/>
      </c>
      <c r="DD58" s="131" t="str">
        <f>Montagem!DE237</f>
        <v/>
      </c>
      <c r="DE58" s="131" t="str">
        <f>Montagem!DF237</f>
        <v/>
      </c>
      <c r="DF58" s="131" t="str">
        <f>Montagem!DG237</f>
        <v/>
      </c>
      <c r="DG58" s="131" t="str">
        <f>Montagem!DH237</f>
        <v/>
      </c>
      <c r="DH58" s="114"/>
      <c r="DI58" s="111">
        <f>Montagem!CW237</f>
        <v>1</v>
      </c>
      <c r="DJ58" s="111" t="str">
        <f>Montagem!DI237</f>
        <v/>
      </c>
      <c r="DK58" s="111" t="str">
        <f>Montagem!CX237</f>
        <v/>
      </c>
      <c r="DL58" s="145" t="str">
        <f>Montagem!DJ237</f>
        <v/>
      </c>
      <c r="DM58" s="106" t="str">
        <f>IF(DL58="",DJ58,DL58)</f>
        <v/>
      </c>
      <c r="DN58" s="106" t="str">
        <f>IF(DJ59="C",'Dados de Base'!$D$5*0.1,IF(DJ59="E",5,IF(DH58="",DM58,DH58)))</f>
        <v/>
      </c>
      <c r="DO58" s="146"/>
      <c r="DP58" s="106"/>
      <c r="DQ58" s="106"/>
      <c r="DR58" s="106"/>
      <c r="DS58" s="106"/>
      <c r="DT58" s="106"/>
      <c r="DU58" s="106"/>
      <c r="DV58" s="106"/>
      <c r="DW58" s="106"/>
      <c r="DX58" s="106"/>
      <c r="DY58" s="106"/>
    </row>
    <row r="59">
      <c r="A59" s="117" t="str">
        <f>IF(A58="","",IFS(L59="A",Montagem!$C$230,N59="T","Realizar a maior quantidade de repetições por "&amp;F58&amp;" segundos | ",N59="I",IF(M59="U","Manter a posição por "&amp;F58&amp;" segundos de um lado e trocar para o outro na sequência | ","Manter a posição por "&amp;F58&amp;" segundos | "),M59="A","Realizar alternadamente "&amp;F58&amp;" repetições cada lado | ",M59="U","Realizar "&amp;F58&amp;" repetições de um lado e trocar para o outro na sequência | ",L59="P",OFFSET(Biblioteca!$H$2,MATCH(M58,Biblioteca!$A$3:$A$200,0),0),TRUE,"")&amp;IF(N59="R","Ajuste a carga para que tenha "&amp;$K$2&amp;" repetições de reserva",""))</f>
        <v/>
      </c>
      <c r="E59" s="118" t="str">
        <f>IF(A58="","",IFS(L59="H","Carga Sugerida: "&amp;ROUNDUP(O58/2,0)&amp;" kg de cada lado (Total: "&amp;ROUNDUP(O58/2,0)*2&amp;" kg)",L59="C","Este exercício usa o Peso Corporal como carga",L59="E","Este exercício usa a resistência da banda elástica como carga",L59="O","Carga Sugerida: "&amp;INT(O58)&amp;" kg",TRUE,""))</f>
        <v/>
      </c>
      <c r="J59" s="66"/>
      <c r="K59" s="106">
        <f>K58</f>
        <v>1</v>
      </c>
      <c r="L59" s="120" t="str">
        <f>LEFT(O59)</f>
        <v/>
      </c>
      <c r="M59" s="121" t="str">
        <f>MID(O59,2,1)</f>
        <v/>
      </c>
      <c r="N59" s="122" t="str">
        <f>RIGHT(O59)</f>
        <v/>
      </c>
      <c r="O59" s="123" t="str">
        <f>IF(M58="","",OFFSET(Biblioteca!$I$2,MATCH(M58,Biblioteca!$A$3:$A$200,0),0))</f>
        <v/>
      </c>
      <c r="P59" s="57"/>
      <c r="Q59" s="125"/>
      <c r="R59" s="117" t="str">
        <f>IF(R58="","",IFS(AC59="A",Montagem!$D$230,AE59="T","Realizar a maior quantidade de repetições por "&amp;W58&amp;" segundos | ",AE59="I",IF(AD59="U","Manter a posição por "&amp;W58&amp;" segundos de um lado e trocar para o outro na sequência | ","Manter a posição por "&amp;W58&amp;" segundos | "),AD59="A","Realizar alternadamente "&amp;W58&amp;" repetições cada lado | ",AD59="U","Realizar "&amp;W58&amp;" repetições de um lado e trocar para o outro na sequência | ",AC59="P",OFFSET(Biblioteca!$H$2,MATCH(AD58,Biblioteca!$A$3:$A$200,0),0),TRUE,"")&amp;IF(AE59="R","Ajuste a carga para que tenha "&amp;$K$2&amp;" repetições de reserva",""))</f>
        <v/>
      </c>
      <c r="V59" s="118" t="str">
        <f>IF(R58="","",IFS(AC59="H","Carga Sugerida: "&amp;ROUNDUP(AF58/2,0)&amp;" kg de cada lado (Total: "&amp;ROUNDUP(AF58/2,0)*2&amp;" kg)",AC59="C","Este exercício usa o Peso Corporal como carga",AC59="E","Este exercício usa a resistência da banda elástica como carga",AC59="O","Carga Sugerida: "&amp;INT(AF58)&amp;" kg",TRUE,""))</f>
        <v/>
      </c>
      <c r="AA59" s="66"/>
      <c r="AB59" s="126">
        <f>AB58</f>
        <v>1</v>
      </c>
      <c r="AC59" s="120" t="str">
        <f>LEFT(AF59)</f>
        <v/>
      </c>
      <c r="AD59" s="121" t="str">
        <f>MID(AF59,2,1)</f>
        <v/>
      </c>
      <c r="AE59" s="122" t="str">
        <f>RIGHT(AF59)</f>
        <v/>
      </c>
      <c r="AF59" s="123" t="str">
        <f>IF(AD58="","",OFFSET(Biblioteca!$I$2,MATCH(AD58,Biblioteca!$A$3:$A$200,0),0))</f>
        <v/>
      </c>
      <c r="AG59" s="57"/>
      <c r="AH59" s="125"/>
      <c r="AI59" s="117" t="str">
        <f>IF(AI58="","",IFS(AT59="A",Montagem!$E$230,AV59="T","Realizar a maior quantidade de repetições por "&amp;AN58&amp;" segundos | ",AV59="I",IF(AU59="U","Manter a posição por "&amp;AN58&amp;" segundos de um lado e trocar para o outro na sequência | ","Manter a posição por "&amp;AN58&amp;" segundos | "),AU59="A","Realizar alternadamente "&amp;AN58&amp;" repetições cada lado | ",AU59="U","Realizar "&amp;AN58&amp;" repetições de um lado e trocar para o outro na sequência | ",AT59="P",OFFSET(Biblioteca!$H$2,MATCH(AU58,Biblioteca!$A$3:$A$200,0),0),TRUE,"")&amp;IF(AV59="R","Ajuste a carga para que tenha "&amp;$K$2&amp;" repetições de reserva",""))</f>
        <v/>
      </c>
      <c r="AM59" s="118" t="str">
        <f>IF(AI58="","",IFS(AT59="H","Carga Sugerida: "&amp;ROUNDUP(AW58/2,0)&amp;" kg de cada lado (Total: "&amp;ROUNDUP(AW58/2,0)*2&amp;" kg)",AT59="C","Este exercício usa o Peso Corporal como carga",AT59="E","Este exercício usa a resistência da banda elástica como carga",AT59="O","Carga Sugerida: "&amp;INT(AW58)&amp;" kg",TRUE,""))</f>
        <v/>
      </c>
      <c r="AR59" s="66"/>
      <c r="AS59" s="126">
        <f>AS58</f>
        <v>1</v>
      </c>
      <c r="AT59" s="120" t="str">
        <f>LEFT(AW59)</f>
        <v/>
      </c>
      <c r="AU59" s="121" t="str">
        <f>MID(AW59,2,1)</f>
        <v/>
      </c>
      <c r="AV59" s="122" t="str">
        <f>RIGHT(AW59)</f>
        <v/>
      </c>
      <c r="AW59" s="123" t="str">
        <f>IF(AU58="","",OFFSET(Biblioteca!$I$2,MATCH(AU58,Biblioteca!$A$3:$A$200,0),0))</f>
        <v/>
      </c>
      <c r="AX59" s="57"/>
      <c r="AY59" s="125"/>
      <c r="AZ59" s="117" t="str">
        <f>IF(AZ58="","",IFS(BK59="A",Montagem!$F$230,BM59="T","Realizar a maior quantidade de repetições por "&amp;BE58&amp;" segundos | ",BM59="I",IF(BL59="U","Manter a posição por "&amp;BE58&amp;" segundos de um lado e trocar para o outro na sequência | ","Manter a posição por "&amp;BE58&amp;" segundos | "),BL59="A","Realizar alternadamente "&amp;BE58&amp;" repetições cada lado | ",BL59="U","Realizar "&amp;BE58&amp;" repetições de um lado e trocar para o outro na sequência | ",BK59="P",OFFSET(Biblioteca!$H$2,MATCH(BL58,Biblioteca!$A$3:$A$200,0),0),TRUE,"")&amp;IF(BM59="R","Ajuste a carga para que tenha "&amp;$K$2&amp;" repetições de reserva",""))</f>
        <v/>
      </c>
      <c r="BD59" s="118" t="str">
        <f>IF(AZ58="","",IFS(BK59="H","Carga Sugerida: "&amp;ROUNDUP(BN58/2,0)&amp;" kg de cada lado (Total: "&amp;ROUNDUP(BN58/2,0)*2&amp;" kg)",BK59="C","Este exercício usa o Peso Corporal como carga",BK59="E","Este exercício usa a resistência da banda elástica como carga",BK59="O","Carga Sugerida: "&amp;INT(BN58)&amp;" kg",TRUE,""))</f>
        <v/>
      </c>
      <c r="BI59" s="66"/>
      <c r="BJ59" s="126">
        <f>BJ58</f>
        <v>1</v>
      </c>
      <c r="BK59" s="120" t="str">
        <f>LEFT(BN59)</f>
        <v/>
      </c>
      <c r="BL59" s="121" t="str">
        <f>MID(BN59,2,1)</f>
        <v/>
      </c>
      <c r="BM59" s="122" t="str">
        <f>RIGHT(BN59)</f>
        <v/>
      </c>
      <c r="BN59" s="123" t="str">
        <f>IF(BL58="","",OFFSET(Biblioteca!$I$2,MATCH(BL58,Biblioteca!$A$3:$A$200,0),0))</f>
        <v/>
      </c>
      <c r="BO59" s="57"/>
      <c r="BP59" s="125"/>
      <c r="BQ59" s="117" t="str">
        <f>IF(BQ58="","",IFS(CB59="A",Montagem!$G$230,CD59="T","Realizar a maior quantidade de repetições por "&amp;BV58&amp;" segundos | ",CD59="I",IF(CC59="U","Manter a posição por "&amp;BV58&amp;" segundos de um lado e trocar para o outro na sequência | ","Manter a posição por "&amp;BV58&amp;" segundos | "),CC59="A","Realizar alternadamente "&amp;BV58&amp;" repetições cada lado | ",CC59="U","Realizar "&amp;BV58&amp;" repetições de um lado e trocar para o outro na sequência | ",CB59="P",OFFSET(Biblioteca!$H$2,MATCH(CC58,Biblioteca!$A$3:$A$200,0),0),TRUE,"")&amp;IF(CD59="R","Ajuste a carga para que tenha "&amp;$K$2&amp;" repetições de reserva",""))</f>
        <v/>
      </c>
      <c r="BU59" s="118" t="str">
        <f>IF(BQ58="","",IFS(CB59="H","Carga Sugerida: "&amp;ROUNDUP(CE58/2,0)&amp;" kg de cada lado (Total: "&amp;ROUNDUP(CE58/2,0)*2&amp;" kg)",CB59="C","Este exercício usa o Peso Corporal como carga",CB59="E","Este exercício usa a resistência da banda elástica como carga",CB59="O","Carga Sugerida: "&amp;INT(CE58)&amp;" kg",TRUE,""))</f>
        <v/>
      </c>
      <c r="BZ59" s="66"/>
      <c r="CA59" s="126">
        <f>CA58</f>
        <v>1</v>
      </c>
      <c r="CB59" s="120" t="str">
        <f>LEFT(CE59)</f>
        <v/>
      </c>
      <c r="CC59" s="121" t="str">
        <f>MID(CE59,2,1)</f>
        <v/>
      </c>
      <c r="CD59" s="122" t="str">
        <f>RIGHT(CE59)</f>
        <v/>
      </c>
      <c r="CE59" s="123" t="str">
        <f>IF(CC58="","",OFFSET(Biblioteca!$I$2,MATCH(CC58,Biblioteca!$A$3:$A$200,0),0))</f>
        <v/>
      </c>
      <c r="CF59" s="57"/>
      <c r="CG59" s="125"/>
      <c r="CH59" s="117" t="str">
        <f>IF(CH58="","",IFS(CS59="A",Montagem!$H$230,CU59="T","Realizar a maior quantidade de repetições por "&amp;CM58&amp;" segundos | ",CU59="I",IF(CT59="U","Manter a posição por "&amp;CM58&amp;" segundos de um lado e trocar para o outro na sequência | ","Manter a posição por "&amp;CM58&amp;" segundos | "),CT59="A","Realizar alternadamente "&amp;CM58&amp;" repetições cada lado | ",CT59="U","Realizar "&amp;CM58&amp;" repetições de um lado e trocar para o outro na sequência | ",CS59="P",OFFSET(Biblioteca!$H$2,MATCH(CT58,Biblioteca!$A$3:$A$200,0),0),TRUE,"")&amp;IF(CU59="R","Ajuste a carga para que tenha "&amp;$K$2&amp;" repetições de reserva",""))</f>
        <v/>
      </c>
      <c r="CL59" s="118" t="str">
        <f>IF(CH58="","",IFS(CS59="H","Carga Sugerida: "&amp;ROUNDUP(CV58/2,0)&amp;" kg de cada lado (Total: "&amp;ROUNDUP(CV58/2,0)*2&amp;" kg)",CS59="C","Este exercício usa o Peso Corporal como carga",CS59="E","Este exercício usa a resistência da banda elástica como carga",CS59="O","Carga Sugerida: "&amp;INT(CV58)&amp;" kg",TRUE,""))</f>
        <v/>
      </c>
      <c r="CQ59" s="66"/>
      <c r="CR59" s="126">
        <f>CR58</f>
        <v>1</v>
      </c>
      <c r="CS59" s="120" t="str">
        <f>LEFT(CV59)</f>
        <v/>
      </c>
      <c r="CT59" s="121" t="str">
        <f>MID(CV59,2,1)</f>
        <v/>
      </c>
      <c r="CU59" s="122" t="str">
        <f>RIGHT(CV59)</f>
        <v/>
      </c>
      <c r="CV59" s="123" t="str">
        <f>IF(CT58="","",OFFSET(Biblioteca!$I$2,MATCH(CT58,Biblioteca!$A$3:$A$200,0),0))</f>
        <v/>
      </c>
      <c r="CW59" s="57"/>
      <c r="CX59" s="125"/>
      <c r="CY59" s="117" t="str">
        <f>IF(CY58="","",IFS(DJ59="A",Montagem!$I$230,DL59="T","Realizar a maior quantidade de repetições por "&amp;DD58&amp;" segundos | ",DL59="I",IF(DK59="U","Manter a posição por "&amp;DD58&amp;" segundos de um lado e trocar para o outro na sequência | ","Manter a posição por "&amp;DD58&amp;" segundos | "),DK59="A","Realizar alternadamente "&amp;DD58&amp;" repetições cada lado | ",DK59="U","Realizar "&amp;DD58&amp;" repetições de um lado e trocar para o outro na sequência | ",DJ59="P",OFFSET(Biblioteca!$H$2,MATCH(DK58,Biblioteca!$A$3:$A$200,0),0),TRUE,"")&amp;IF(DL59="R","Ajuste a carga para que tenha "&amp;$K$2&amp;" repetições de reserva",""))</f>
        <v/>
      </c>
      <c r="DC59" s="118" t="str">
        <f>IF(CY58="","",IFS(DJ59="H","Carga Sugerida: "&amp;ROUNDUP(DM58/2,0)&amp;" kg de cada lado (Total: "&amp;ROUNDUP(DM58/2,0)*2&amp;" kg)",DJ59="C","Este exercício usa o Peso Corporal como carga",DJ59="E","Este exercício usa a resistência da banda elástica como carga",DJ59="O","Carga Sugerida: "&amp;INT(DM58)&amp;" kg",TRUE,""))</f>
        <v/>
      </c>
      <c r="DH59" s="66"/>
      <c r="DI59" s="126">
        <f>DI58</f>
        <v>1</v>
      </c>
      <c r="DJ59" s="120" t="str">
        <f>LEFT(DM59)</f>
        <v/>
      </c>
      <c r="DK59" s="121" t="str">
        <f>MID(DM59,2,1)</f>
        <v/>
      </c>
      <c r="DL59" s="122" t="str">
        <f>RIGHT(DM59)</f>
        <v/>
      </c>
      <c r="DM59" s="123" t="str">
        <f>IF(DK58="","",OFFSET(Biblioteca!$I$2,MATCH(DK58,Biblioteca!$A$3:$A$200,0),0))</f>
        <v/>
      </c>
      <c r="DN59" s="57"/>
      <c r="DO59" s="147"/>
      <c r="DP59" s="142"/>
      <c r="DQ59" s="56"/>
      <c r="DR59" s="56"/>
      <c r="DS59" s="56"/>
      <c r="DT59" s="56"/>
      <c r="DU59" s="56"/>
      <c r="DV59" s="56"/>
      <c r="DW59" s="56"/>
      <c r="DX59" s="56"/>
      <c r="DY59" s="56"/>
    </row>
    <row r="60">
      <c r="A60" s="115" t="str">
        <f>IF(M60="","",HYPERLINK(OFFSET(Biblioteca!$B$2,MATCH(M60,Biblioteca!$A$3:$A$200,0),0),M60))</f>
        <v/>
      </c>
      <c r="D60" s="103" t="str">
        <f>Montagem!Q238</f>
        <v/>
      </c>
      <c r="E60" s="104" t="str">
        <f>Montagem!R238</f>
        <v/>
      </c>
      <c r="F60" s="104" t="str">
        <f>Montagem!S238</f>
        <v/>
      </c>
      <c r="G60" s="104" t="str">
        <f>Montagem!T238</f>
        <v/>
      </c>
      <c r="H60" s="104" t="str">
        <f>Montagem!U238</f>
        <v/>
      </c>
      <c r="I60" s="132" t="str">
        <f>Montagem!V238</f>
        <v/>
      </c>
      <c r="J60" s="144"/>
      <c r="K60" s="106">
        <f>Montagem!K238</f>
        <v>1</v>
      </c>
      <c r="L60" s="111" t="str">
        <f>Montagem!W238</f>
        <v/>
      </c>
      <c r="M60" s="111" t="str">
        <f>Montagem!L238</f>
        <v/>
      </c>
      <c r="N60" s="111" t="str">
        <f>Montagem!X238</f>
        <v/>
      </c>
      <c r="O60" s="106" t="str">
        <f>IF(N60="",L60,N60)</f>
        <v/>
      </c>
      <c r="P60" s="106" t="str">
        <f>IF(L61="C",'Dados de Base'!$D$5*0.1,IF(L61="E",5,IF(J60="",O60,J60)))</f>
        <v/>
      </c>
      <c r="Q60" s="108"/>
      <c r="R60" s="115" t="str">
        <f>IF(AD60="","",HYPERLINK(OFFSET(Biblioteca!$B$2,MATCH(AD60,Biblioteca!$A$3:$A$200,0),0),AD60))</f>
        <v/>
      </c>
      <c r="U60" s="109" t="str">
        <f>Montagem!AF238</f>
        <v/>
      </c>
      <c r="V60" s="110" t="str">
        <f>Montagem!AG238</f>
        <v/>
      </c>
      <c r="W60" s="110" t="str">
        <f>Montagem!AH238</f>
        <v/>
      </c>
      <c r="X60" s="110" t="str">
        <f>Montagem!AI238</f>
        <v/>
      </c>
      <c r="Y60" s="110" t="str">
        <f>Montagem!AJ238</f>
        <v/>
      </c>
      <c r="Z60" s="110" t="str">
        <f>Montagem!AK238</f>
        <v/>
      </c>
      <c r="AA60" s="113"/>
      <c r="AB60" s="111">
        <f>Montagem!Z238</f>
        <v>1</v>
      </c>
      <c r="AC60" s="111" t="str">
        <f>Montagem!AL238</f>
        <v/>
      </c>
      <c r="AD60" s="129" t="str">
        <f>Montagem!AA238</f>
        <v/>
      </c>
      <c r="AE60" s="111" t="str">
        <f>Montagem!AM238</f>
        <v/>
      </c>
      <c r="AF60" s="106" t="str">
        <f>IF(AE60="",AC60,AE60)</f>
        <v/>
      </c>
      <c r="AG60" s="106" t="str">
        <f>IF(AC61="C",'Dados de Base'!$D$5*0.1,IF(AC61="E",5,IF(AA60="",AF60,AA60)))</f>
        <v/>
      </c>
      <c r="AH60" s="108"/>
      <c r="AI60" s="115" t="str">
        <f>IF(AU60="","",HYPERLINK(OFFSET(Biblioteca!$B$2,MATCH(AU60,Biblioteca!$A$3:$A$200,0),0),AU60))</f>
        <v/>
      </c>
      <c r="AL60" s="109" t="str">
        <f>Montagem!AU238</f>
        <v/>
      </c>
      <c r="AM60" s="110" t="str">
        <f>Montagem!AV238</f>
        <v/>
      </c>
      <c r="AN60" s="110" t="str">
        <f>Montagem!AW238</f>
        <v/>
      </c>
      <c r="AO60" s="110" t="str">
        <f>Montagem!AX238</f>
        <v/>
      </c>
      <c r="AP60" s="110" t="str">
        <f>Montagem!AY238</f>
        <v/>
      </c>
      <c r="AQ60" s="110" t="str">
        <f>Montagem!AZ238</f>
        <v/>
      </c>
      <c r="AR60" s="114"/>
      <c r="AS60" s="111">
        <f>Montagem!AO238</f>
        <v>1</v>
      </c>
      <c r="AT60" s="111" t="str">
        <f>Montagem!BA238</f>
        <v/>
      </c>
      <c r="AU60" s="111" t="str">
        <f>Montagem!AP238</f>
        <v/>
      </c>
      <c r="AV60" s="111" t="str">
        <f>Montagem!BB238</f>
        <v/>
      </c>
      <c r="AW60" s="106" t="str">
        <f>IF(AV60="",AT60,AV60)</f>
        <v/>
      </c>
      <c r="AX60" s="106" t="str">
        <f>IF(AT61="C",'Dados de Base'!$D$5*0.1,IF(AT61="E",5,IF(AR60="",AW60,AR60)))</f>
        <v/>
      </c>
      <c r="AY60" s="108"/>
      <c r="AZ60" s="115" t="str">
        <f>IF(BL60="","",HYPERLINK(OFFSET(Biblioteca!$B$2,MATCH(BL60,Biblioteca!$A$3:$A$200,0),0),BL60))</f>
        <v/>
      </c>
      <c r="BC60" s="109" t="str">
        <f>Montagem!BJ238</f>
        <v/>
      </c>
      <c r="BD60" s="110" t="str">
        <f>Montagem!BK238</f>
        <v/>
      </c>
      <c r="BE60" s="110" t="str">
        <f>Montagem!BL238</f>
        <v/>
      </c>
      <c r="BF60" s="110" t="str">
        <f>Montagem!BM238</f>
        <v/>
      </c>
      <c r="BG60" s="110" t="str">
        <f>Montagem!BN238</f>
        <v/>
      </c>
      <c r="BH60" s="110" t="str">
        <f>Montagem!BO238</f>
        <v/>
      </c>
      <c r="BI60" s="114"/>
      <c r="BJ60" s="111">
        <f>Montagem!BD238</f>
        <v>1</v>
      </c>
      <c r="BK60" s="111" t="str">
        <f>Montagem!BP238</f>
        <v/>
      </c>
      <c r="BL60" s="111" t="str">
        <f>Montagem!BE238</f>
        <v/>
      </c>
      <c r="BM60" s="111" t="str">
        <f>Montagem!BQ238</f>
        <v/>
      </c>
      <c r="BN60" s="106" t="str">
        <f>IF(BM60="",BK60,BM60)</f>
        <v/>
      </c>
      <c r="BO60" s="106" t="str">
        <f>IF(BK61="C",'Dados de Base'!$D$5*0.1,IF(BK61="E",5,IF(BI60="",BN60,BI60)))</f>
        <v/>
      </c>
      <c r="BP60" s="108"/>
      <c r="BQ60" s="115" t="str">
        <f>IF(CC60="","",HYPERLINK(OFFSET(Biblioteca!$B$2,MATCH(CC60,Biblioteca!$A$3:$A$200,0),0),CC60))</f>
        <v/>
      </c>
      <c r="BT60" s="109" t="str">
        <f>Montagem!BY238</f>
        <v/>
      </c>
      <c r="BU60" s="110" t="str">
        <f>Montagem!BZ238</f>
        <v/>
      </c>
      <c r="BV60" s="110" t="str">
        <f>Montagem!CA238</f>
        <v/>
      </c>
      <c r="BW60" s="110" t="str">
        <f>Montagem!CB238</f>
        <v/>
      </c>
      <c r="BX60" s="110" t="str">
        <f>Montagem!CC238</f>
        <v/>
      </c>
      <c r="BY60" s="110" t="str">
        <f>Montagem!CD238</f>
        <v/>
      </c>
      <c r="BZ60" s="114"/>
      <c r="CA60" s="111">
        <f>Montagem!BS238</f>
        <v>1</v>
      </c>
      <c r="CB60" s="111" t="str">
        <f>Montagem!CE238</f>
        <v/>
      </c>
      <c r="CC60" s="111" t="str">
        <f>Montagem!BT238</f>
        <v/>
      </c>
      <c r="CD60" s="111" t="str">
        <f>Montagem!CF238</f>
        <v/>
      </c>
      <c r="CE60" s="106" t="str">
        <f>IF(CD60="",CB60,CD60)</f>
        <v/>
      </c>
      <c r="CF60" s="106" t="str">
        <f>IF(CB61="C",'Dados de Base'!$D$5*0.1,IF(CB61="E",5,IF(BZ60="",CE60,BZ60)))</f>
        <v/>
      </c>
      <c r="CG60" s="108"/>
      <c r="CH60" s="115" t="str">
        <f>IF(CT60="","",HYPERLINK(OFFSET(Biblioteca!$B$2,MATCH(CT60,Biblioteca!$A$3:$A$200,0),0),CT60))</f>
        <v/>
      </c>
      <c r="CK60" s="109" t="str">
        <f>Montagem!CN238</f>
        <v/>
      </c>
      <c r="CL60" s="110" t="str">
        <f>Montagem!CO238</f>
        <v/>
      </c>
      <c r="CM60" s="110" t="str">
        <f>Montagem!CP238</f>
        <v/>
      </c>
      <c r="CN60" s="110" t="str">
        <f>Montagem!CQ238</f>
        <v/>
      </c>
      <c r="CO60" s="110" t="str">
        <f>Montagem!CR238</f>
        <v/>
      </c>
      <c r="CP60" s="110" t="str">
        <f>Montagem!CS238</f>
        <v/>
      </c>
      <c r="CQ60" s="114"/>
      <c r="CR60" s="111">
        <f>Montagem!CH238</f>
        <v>1</v>
      </c>
      <c r="CS60" s="111" t="str">
        <f>Montagem!CT238</f>
        <v/>
      </c>
      <c r="CT60" s="111" t="str">
        <f>Montagem!CI238</f>
        <v/>
      </c>
      <c r="CU60" s="145" t="str">
        <f>Montagem!CU238</f>
        <v/>
      </c>
      <c r="CV60" s="106" t="str">
        <f>IF(CU60="",CS60,CU60)</f>
        <v/>
      </c>
      <c r="CW60" s="106" t="str">
        <f>IF(CS61="C",'Dados de Base'!$D$5*0.1,IF(CS61="E",5,IF(CQ60="",CV60,CQ60)))</f>
        <v/>
      </c>
      <c r="CX60" s="108"/>
      <c r="CY60" s="115" t="str">
        <f>IF(DK60="","",HYPERLINK(OFFSET(Biblioteca!$B$2,MATCH(DK60,Biblioteca!$A$3:$A$200,0),0),DK60))</f>
        <v/>
      </c>
      <c r="DB60" s="130" t="str">
        <f>Montagem!DC238</f>
        <v/>
      </c>
      <c r="DC60" s="131" t="str">
        <f>Montagem!DD238</f>
        <v/>
      </c>
      <c r="DD60" s="131" t="str">
        <f>Montagem!DE238</f>
        <v/>
      </c>
      <c r="DE60" s="131" t="str">
        <f>Montagem!DF238</f>
        <v/>
      </c>
      <c r="DF60" s="131" t="str">
        <f>Montagem!DG238</f>
        <v/>
      </c>
      <c r="DG60" s="131" t="str">
        <f>Montagem!DH238</f>
        <v/>
      </c>
      <c r="DH60" s="114"/>
      <c r="DI60" s="111">
        <f>Montagem!CW238</f>
        <v>1</v>
      </c>
      <c r="DJ60" s="111" t="str">
        <f>Montagem!DI238</f>
        <v/>
      </c>
      <c r="DK60" s="111" t="str">
        <f>Montagem!CX238</f>
        <v/>
      </c>
      <c r="DL60" s="145" t="str">
        <f>Montagem!DJ238</f>
        <v/>
      </c>
      <c r="DM60" s="106" t="str">
        <f>IF(DL60="",DJ60,DL60)</f>
        <v/>
      </c>
      <c r="DN60" s="106" t="str">
        <f>IF(DJ61="C",'Dados de Base'!$D$5*0.1,IF(DJ61="E",5,IF(DH60="",DM60,DH60)))</f>
        <v/>
      </c>
      <c r="DO60" s="146"/>
      <c r="DP60" s="106"/>
      <c r="DQ60" s="106"/>
      <c r="DR60" s="106"/>
      <c r="DS60" s="106"/>
      <c r="DT60" s="106"/>
      <c r="DU60" s="106"/>
      <c r="DV60" s="106"/>
      <c r="DW60" s="106"/>
      <c r="DX60" s="106"/>
      <c r="DY60" s="106"/>
    </row>
    <row r="61">
      <c r="A61" s="117" t="str">
        <f>IF(A60="","",IFS(L61="A",Montagem!$C$230,N61="T","Realizar a maior quantidade de repetições por "&amp;F60&amp;" segundos | ",N61="I",IF(M61="U","Manter a posição por "&amp;F60&amp;" segundos de um lado e trocar para o outro na sequência | ","Manter a posição por "&amp;F60&amp;" segundos | "),M61="A","Realizar alternadamente "&amp;F60&amp;" repetições cada lado | ",M61="U","Realizar "&amp;F60&amp;" repetições de um lado e trocar para o outro na sequência | ",L61="P",OFFSET(Biblioteca!$H$2,MATCH(M60,Biblioteca!$A$3:$A$200,0),0),TRUE,"")&amp;IF(N61="R","Ajuste a carga para que tenha "&amp;$K$2&amp;" repetições de reserva",""))</f>
        <v/>
      </c>
      <c r="E61" s="118" t="str">
        <f>IF(A60="","",IFS(L61="H","Carga Sugerida: "&amp;ROUNDUP(O60/2,0)&amp;" kg de cada lado (Total: "&amp;ROUNDUP(O60/2,0)*2&amp;" kg)",L61="C","Este exercício usa o Peso Corporal como carga",L61="E","Este exercício usa a resistência da banda elástica como carga",L61="O","Carga Sugerida: "&amp;INT(O60)&amp;" kg",TRUE,""))</f>
        <v/>
      </c>
      <c r="J61" s="66"/>
      <c r="K61" s="106">
        <f>K60</f>
        <v>1</v>
      </c>
      <c r="L61" s="120" t="str">
        <f>LEFT(O61)</f>
        <v/>
      </c>
      <c r="M61" s="121" t="str">
        <f>MID(O61,2,1)</f>
        <v/>
      </c>
      <c r="N61" s="122" t="str">
        <f>RIGHT(O61)</f>
        <v/>
      </c>
      <c r="O61" s="123" t="str">
        <f>IF(M60="","",OFFSET(Biblioteca!$I$2,MATCH(M60,Biblioteca!$A$3:$A$200,0),0))</f>
        <v/>
      </c>
      <c r="P61" s="57"/>
      <c r="Q61" s="125"/>
      <c r="R61" s="117" t="str">
        <f>IF(R60="","",IFS(AC61="A",Montagem!$D$230,AE61="T","Realizar a maior quantidade de repetições por "&amp;W60&amp;" segundos | ",AE61="I",IF(AD61="U","Manter a posição por "&amp;W60&amp;" segundos de um lado e trocar para o outro na sequência | ","Manter a posição por "&amp;W60&amp;" segundos | "),AD61="A","Realizar alternadamente "&amp;W60&amp;" repetições cada lado | ",AD61="U","Realizar "&amp;W60&amp;" repetições de um lado e trocar para o outro na sequência | ",AC61="P",OFFSET(Biblioteca!$H$2,MATCH(AD60,Biblioteca!$A$3:$A$200,0),0),TRUE,"")&amp;IF(AE61="R","Ajuste a carga para que tenha "&amp;$K$2&amp;" repetições de reserva",""))</f>
        <v/>
      </c>
      <c r="V61" s="118" t="str">
        <f>IF(R60="","",IFS(AC61="H","Carga Sugerida: "&amp;ROUNDUP(AF60/2,0)&amp;" kg de cada lado (Total: "&amp;ROUNDUP(AF60/2,0)*2&amp;" kg)",AC61="C","Este exercício usa o Peso Corporal como carga",AC61="E","Este exercício usa a resistência da banda elástica como carga",AC61="O","Carga Sugerida: "&amp;INT(AF60)&amp;" kg",TRUE,""))</f>
        <v/>
      </c>
      <c r="AA61" s="66"/>
      <c r="AB61" s="126">
        <f>AB60</f>
        <v>1</v>
      </c>
      <c r="AC61" s="120" t="str">
        <f>LEFT(AF61)</f>
        <v/>
      </c>
      <c r="AD61" s="121" t="str">
        <f>MID(AF61,2,1)</f>
        <v/>
      </c>
      <c r="AE61" s="122" t="str">
        <f>RIGHT(AF61)</f>
        <v/>
      </c>
      <c r="AF61" s="123" t="str">
        <f>IF(AD60="","",OFFSET(Biblioteca!$I$2,MATCH(AD60,Biblioteca!$A$3:$A$200,0),0))</f>
        <v/>
      </c>
      <c r="AG61" s="57"/>
      <c r="AH61" s="125"/>
      <c r="AI61" s="117" t="str">
        <f>IF(AI60="","",IFS(AT61="A",Montagem!$E$230,AV61="T","Realizar a maior quantidade de repetições por "&amp;AN60&amp;" segundos | ",AV61="I",IF(AU61="U","Manter a posição por "&amp;AN60&amp;" segundos de um lado e trocar para o outro na sequência | ","Manter a posição por "&amp;AN60&amp;" segundos | "),AU61="A","Realizar alternadamente "&amp;AN60&amp;" repetições cada lado | ",AU61="U","Realizar "&amp;AN60&amp;" repetições de um lado e trocar para o outro na sequência | ",AT61="P",OFFSET(Biblioteca!$H$2,MATCH(AU60,Biblioteca!$A$3:$A$200,0),0),TRUE,"")&amp;IF(AV61="R","Ajuste a carga para que tenha "&amp;$K$2&amp;" repetições de reserva",""))</f>
        <v/>
      </c>
      <c r="AM61" s="118" t="str">
        <f>IF(AI60="","",IFS(AT61="H","Carga Sugerida: "&amp;ROUNDUP(AW60/2,0)&amp;" kg de cada lado (Total: "&amp;ROUNDUP(AW60/2,0)*2&amp;" kg)",AT61="C","Este exercício usa o Peso Corporal como carga",AT61="E","Este exercício usa a resistência da banda elástica como carga",AT61="O","Carga Sugerida: "&amp;INT(AW60)&amp;" kg",TRUE,""))</f>
        <v/>
      </c>
      <c r="AR61" s="66"/>
      <c r="AS61" s="126">
        <f>AS60</f>
        <v>1</v>
      </c>
      <c r="AT61" s="120" t="str">
        <f>LEFT(AW61)</f>
        <v/>
      </c>
      <c r="AU61" s="121" t="str">
        <f>MID(AW61,2,1)</f>
        <v/>
      </c>
      <c r="AV61" s="122" t="str">
        <f>RIGHT(AW61)</f>
        <v/>
      </c>
      <c r="AW61" s="123" t="str">
        <f>IF(AU60="","",OFFSET(Biblioteca!$I$2,MATCH(AU60,Biblioteca!$A$3:$A$200,0),0))</f>
        <v/>
      </c>
      <c r="AX61" s="57"/>
      <c r="AY61" s="125"/>
      <c r="AZ61" s="117" t="str">
        <f>IF(AZ60="","",IFS(BK61="A",Montagem!$F$230,BM61="T","Realizar a maior quantidade de repetições por "&amp;BE60&amp;" segundos | ",BM61="I",IF(BL61="U","Manter a posição por "&amp;BE60&amp;" segundos de um lado e trocar para o outro na sequência | ","Manter a posição por "&amp;BE60&amp;" segundos | "),BL61="A","Realizar alternadamente "&amp;BE60&amp;" repetições cada lado | ",BL61="U","Realizar "&amp;BE60&amp;" repetições de um lado e trocar para o outro na sequência | ",BK61="P",OFFSET(Biblioteca!$H$2,MATCH(BL60,Biblioteca!$A$3:$A$200,0),0),TRUE,"")&amp;IF(BM61="R","Ajuste a carga para que tenha "&amp;$K$2&amp;" repetições de reserva",""))</f>
        <v/>
      </c>
      <c r="BD61" s="118" t="str">
        <f>IF(AZ60="","",IFS(BK61="H","Carga Sugerida: "&amp;ROUNDUP(BN60/2,0)&amp;" kg de cada lado (Total: "&amp;ROUNDUP(BN60/2,0)*2&amp;" kg)",BK61="C","Este exercício usa o Peso Corporal como carga",BK61="E","Este exercício usa a resistência da banda elástica como carga",BK61="O","Carga Sugerida: "&amp;INT(BN60)&amp;" kg",TRUE,""))</f>
        <v/>
      </c>
      <c r="BI61" s="66"/>
      <c r="BJ61" s="126">
        <f>BJ60</f>
        <v>1</v>
      </c>
      <c r="BK61" s="120" t="str">
        <f>LEFT(BN61)</f>
        <v/>
      </c>
      <c r="BL61" s="121" t="str">
        <f>MID(BN61,2,1)</f>
        <v/>
      </c>
      <c r="BM61" s="122" t="str">
        <f>RIGHT(BN61)</f>
        <v/>
      </c>
      <c r="BN61" s="123" t="str">
        <f>IF(BL60="","",OFFSET(Biblioteca!$I$2,MATCH(BL60,Biblioteca!$A$3:$A$200,0),0))</f>
        <v/>
      </c>
      <c r="BO61" s="57"/>
      <c r="BP61" s="125"/>
      <c r="BQ61" s="117" t="str">
        <f>IF(BQ60="","",IFS(CB61="A",Montagem!$G$230,CD61="T","Realizar a maior quantidade de repetições por "&amp;BV60&amp;" segundos | ",CD61="I",IF(CC61="U","Manter a posição por "&amp;BV60&amp;" segundos de um lado e trocar para o outro na sequência | ","Manter a posição por "&amp;BV60&amp;" segundos | "),CC61="A","Realizar alternadamente "&amp;BV60&amp;" repetições cada lado | ",CC61="U","Realizar "&amp;BV60&amp;" repetições de um lado e trocar para o outro na sequência | ",CB61="P",OFFSET(Biblioteca!$H$2,MATCH(CC60,Biblioteca!$A$3:$A$200,0),0),TRUE,"")&amp;IF(CD61="R","Ajuste a carga para que tenha "&amp;$K$2&amp;" repetições de reserva",""))</f>
        <v/>
      </c>
      <c r="BU61" s="118" t="str">
        <f>IF(BQ60="","",IFS(CB61="H","Carga Sugerida: "&amp;ROUNDUP(CE60/2,0)&amp;" kg de cada lado (Total: "&amp;ROUNDUP(CE60/2,0)*2&amp;" kg)",CB61="C","Este exercício usa o Peso Corporal como carga",CB61="E","Este exercício usa a resistência da banda elástica como carga",CB61="O","Carga Sugerida: "&amp;INT(CE60)&amp;" kg",TRUE,""))</f>
        <v/>
      </c>
      <c r="BZ61" s="66"/>
      <c r="CA61" s="126">
        <f>CA60</f>
        <v>1</v>
      </c>
      <c r="CB61" s="120" t="str">
        <f>LEFT(CE61)</f>
        <v/>
      </c>
      <c r="CC61" s="121" t="str">
        <f>MID(CE61,2,1)</f>
        <v/>
      </c>
      <c r="CD61" s="122" t="str">
        <f>RIGHT(CE61)</f>
        <v/>
      </c>
      <c r="CE61" s="123" t="str">
        <f>IF(CC60="","",OFFSET(Biblioteca!$I$2,MATCH(CC60,Biblioteca!$A$3:$A$200,0),0))</f>
        <v/>
      </c>
      <c r="CF61" s="57"/>
      <c r="CG61" s="125"/>
      <c r="CH61" s="117" t="str">
        <f>IF(CH60="","",IFS(CS61="A",Montagem!$H$230,CU61="T","Realizar a maior quantidade de repetições por "&amp;CM60&amp;" segundos | ",CU61="I",IF(CT61="U","Manter a posição por "&amp;CM60&amp;" segundos de um lado e trocar para o outro na sequência | ","Manter a posição por "&amp;CM60&amp;" segundos | "),CT61="A","Realizar alternadamente "&amp;CM60&amp;" repetições cada lado | ",CT61="U","Realizar "&amp;CM60&amp;" repetições de um lado e trocar para o outro na sequência | ",CS61="P",OFFSET(Biblioteca!$H$2,MATCH(CT60,Biblioteca!$A$3:$A$200,0),0),TRUE,"")&amp;IF(CU61="R","Ajuste a carga para que tenha "&amp;$K$2&amp;" repetições de reserva",""))</f>
        <v/>
      </c>
      <c r="CL61" s="118" t="str">
        <f>IF(CH60="","",IFS(CS61="H","Carga Sugerida: "&amp;ROUNDUP(CV60/2,0)&amp;" kg de cada lado (Total: "&amp;ROUNDUP(CV60/2,0)*2&amp;" kg)",CS61="C","Este exercício usa o Peso Corporal como carga",CS61="E","Este exercício usa a resistência da banda elástica como carga",CS61="O","Carga Sugerida: "&amp;INT(CV60)&amp;" kg",TRUE,""))</f>
        <v/>
      </c>
      <c r="CQ61" s="66"/>
      <c r="CR61" s="126">
        <f>CR60</f>
        <v>1</v>
      </c>
      <c r="CS61" s="120" t="str">
        <f>LEFT(CV61)</f>
        <v/>
      </c>
      <c r="CT61" s="121" t="str">
        <f>MID(CV61,2,1)</f>
        <v/>
      </c>
      <c r="CU61" s="122" t="str">
        <f>RIGHT(CV61)</f>
        <v/>
      </c>
      <c r="CV61" s="123" t="str">
        <f>IF(CT60="","",OFFSET(Biblioteca!$I$2,MATCH(CT60,Biblioteca!$A$3:$A$200,0),0))</f>
        <v/>
      </c>
      <c r="CW61" s="57"/>
      <c r="CX61" s="125"/>
      <c r="CY61" s="117" t="str">
        <f>IF(CY60="","",IFS(DJ61="A",Montagem!$I$230,DL61="T","Realizar a maior quantidade de repetições por "&amp;DD60&amp;" segundos | ",DL61="I",IF(DK61="U","Manter a posição por "&amp;DD60&amp;" segundos de um lado e trocar para o outro na sequência | ","Manter a posição por "&amp;DD60&amp;" segundos | "),DK61="A","Realizar alternadamente "&amp;DD60&amp;" repetições cada lado | ",DK61="U","Realizar "&amp;DD60&amp;" repetições de um lado e trocar para o outro na sequência | ",DJ61="P",OFFSET(Biblioteca!$H$2,MATCH(DK60,Biblioteca!$A$3:$A$200,0),0),TRUE,"")&amp;IF(DL61="R","Ajuste a carga para que tenha "&amp;$K$2&amp;" repetições de reserva",""))</f>
        <v/>
      </c>
      <c r="DC61" s="118" t="str">
        <f>IF(CY60="","",IFS(DJ61="H","Carga Sugerida: "&amp;ROUNDUP(DM60/2,0)&amp;" kg de cada lado (Total: "&amp;ROUNDUP(DM60/2,0)*2&amp;" kg)",DJ61="C","Este exercício usa o Peso Corporal como carga",DJ61="E","Este exercício usa a resistência da banda elástica como carga",DJ61="O","Carga Sugerida: "&amp;INT(DM60)&amp;" kg",TRUE,""))</f>
        <v/>
      </c>
      <c r="DH61" s="66"/>
      <c r="DI61" s="126">
        <f>DI60</f>
        <v>1</v>
      </c>
      <c r="DJ61" s="120" t="str">
        <f>LEFT(DM61)</f>
        <v/>
      </c>
      <c r="DK61" s="121" t="str">
        <f>MID(DM61,2,1)</f>
        <v/>
      </c>
      <c r="DL61" s="122" t="str">
        <f>RIGHT(DM61)</f>
        <v/>
      </c>
      <c r="DM61" s="123" t="str">
        <f>IF(DK60="","",OFFSET(Biblioteca!$I$2,MATCH(DK60,Biblioteca!$A$3:$A$200,0),0))</f>
        <v/>
      </c>
      <c r="DN61" s="57"/>
      <c r="DO61" s="125"/>
      <c r="DP61" s="142"/>
      <c r="DQ61" s="56"/>
      <c r="DR61" s="56"/>
      <c r="DS61" s="56"/>
      <c r="DT61" s="56"/>
      <c r="DU61" s="56"/>
      <c r="DV61" s="56"/>
      <c r="DW61" s="56"/>
      <c r="DX61" s="56"/>
      <c r="DY61" s="56"/>
    </row>
    <row r="62">
      <c r="A62" s="115" t="str">
        <f>IF(M62="","",HYPERLINK(OFFSET(Biblioteca!$B$2,MATCH(M62,Biblioteca!$A$3:$A$200,0),0),M62))</f>
        <v/>
      </c>
      <c r="D62" s="103" t="str">
        <f>Montagem!Q239</f>
        <v/>
      </c>
      <c r="E62" s="104" t="str">
        <f>Montagem!R239</f>
        <v/>
      </c>
      <c r="F62" s="104" t="str">
        <f>Montagem!S239</f>
        <v/>
      </c>
      <c r="G62" s="104" t="str">
        <f>Montagem!T239</f>
        <v/>
      </c>
      <c r="H62" s="104" t="str">
        <f>Montagem!U239</f>
        <v/>
      </c>
      <c r="I62" s="132" t="str">
        <f>Montagem!V239</f>
        <v/>
      </c>
      <c r="J62" s="144"/>
      <c r="K62" s="106">
        <f>Montagem!K239</f>
        <v>1</v>
      </c>
      <c r="L62" s="111" t="str">
        <f>Montagem!W239</f>
        <v/>
      </c>
      <c r="M62" s="111" t="str">
        <f>Montagem!L239</f>
        <v/>
      </c>
      <c r="N62" s="111" t="str">
        <f>Montagem!X239</f>
        <v/>
      </c>
      <c r="O62" s="106" t="str">
        <f>IF(N62="",L62,N62)</f>
        <v/>
      </c>
      <c r="P62" s="106" t="str">
        <f>IF(L63="C",'Dados de Base'!$D$5*0.1,IF(L63="E",5,IF(J62="",O62,J62)))</f>
        <v/>
      </c>
      <c r="Q62" s="108"/>
      <c r="R62" s="115" t="str">
        <f>IF(AD62="","",HYPERLINK(OFFSET(Biblioteca!$B$2,MATCH(AD62,Biblioteca!$A$3:$A$200,0),0),AD62))</f>
        <v/>
      </c>
      <c r="U62" s="109" t="str">
        <f>Montagem!AF239</f>
        <v/>
      </c>
      <c r="V62" s="110" t="str">
        <f>Montagem!AG239</f>
        <v/>
      </c>
      <c r="W62" s="110" t="str">
        <f>Montagem!AH239</f>
        <v/>
      </c>
      <c r="X62" s="110" t="str">
        <f>Montagem!AI239</f>
        <v/>
      </c>
      <c r="Y62" s="110" t="str">
        <f>Montagem!AJ239</f>
        <v/>
      </c>
      <c r="Z62" s="110" t="str">
        <f>Montagem!AK239</f>
        <v/>
      </c>
      <c r="AA62" s="114"/>
      <c r="AB62" s="111">
        <f>Montagem!Z239</f>
        <v>1</v>
      </c>
      <c r="AC62" s="111" t="str">
        <f>Montagem!AL239</f>
        <v/>
      </c>
      <c r="AD62" s="129" t="str">
        <f>Montagem!AA239</f>
        <v/>
      </c>
      <c r="AE62" s="111" t="str">
        <f>Montagem!AM239</f>
        <v/>
      </c>
      <c r="AF62" s="106" t="str">
        <f>IF(AE62="",AC62,AE62)</f>
        <v/>
      </c>
      <c r="AG62" s="106" t="str">
        <f>IF(AC63="C",'Dados de Base'!$D$5*0.1,IF(AC63="E",5,IF(AA62="",AF62,AA62)))</f>
        <v/>
      </c>
      <c r="AH62" s="108"/>
      <c r="AI62" s="115" t="str">
        <f>IF(AU62="","",HYPERLINK(OFFSET(Biblioteca!$B$2,MATCH(AU62,Biblioteca!$A$3:$A$200,0),0),AU62))</f>
        <v/>
      </c>
      <c r="AL62" s="109" t="str">
        <f>Montagem!AU239</f>
        <v/>
      </c>
      <c r="AM62" s="110" t="str">
        <f>Montagem!AV239</f>
        <v/>
      </c>
      <c r="AN62" s="110" t="str">
        <f>Montagem!AW239</f>
        <v/>
      </c>
      <c r="AO62" s="110" t="str">
        <f>Montagem!AX239</f>
        <v/>
      </c>
      <c r="AP62" s="110" t="str">
        <f>Montagem!AY239</f>
        <v/>
      </c>
      <c r="AQ62" s="110" t="str">
        <f>Montagem!AZ239</f>
        <v/>
      </c>
      <c r="AR62" s="114"/>
      <c r="AS62" s="111">
        <f>Montagem!AO239</f>
        <v>1</v>
      </c>
      <c r="AT62" s="111" t="str">
        <f>Montagem!BA239</f>
        <v/>
      </c>
      <c r="AU62" s="111" t="str">
        <f>Montagem!AP239</f>
        <v/>
      </c>
      <c r="AV62" s="111" t="str">
        <f>Montagem!BB239</f>
        <v/>
      </c>
      <c r="AW62" s="106" t="str">
        <f>IF(AV62="",AT62,AV62)</f>
        <v/>
      </c>
      <c r="AX62" s="106" t="str">
        <f>IF(AT63="C",'Dados de Base'!$D$5*0.1,IF(AT63="E",5,IF(AR62="",AW62,AR62)))</f>
        <v/>
      </c>
      <c r="AY62" s="108"/>
      <c r="AZ62" s="115" t="str">
        <f>IF(BL62="","",HYPERLINK(OFFSET(Biblioteca!$B$2,MATCH(BL62,Biblioteca!$A$3:$A$200,0),0),BL62))</f>
        <v/>
      </c>
      <c r="BC62" s="109" t="str">
        <f>Montagem!BJ239</f>
        <v/>
      </c>
      <c r="BD62" s="110" t="str">
        <f>Montagem!BK239</f>
        <v/>
      </c>
      <c r="BE62" s="110" t="str">
        <f>Montagem!BL239</f>
        <v/>
      </c>
      <c r="BF62" s="110" t="str">
        <f>Montagem!BM239</f>
        <v/>
      </c>
      <c r="BG62" s="110" t="str">
        <f>Montagem!BN239</f>
        <v/>
      </c>
      <c r="BH62" s="110" t="str">
        <f>Montagem!BO239</f>
        <v/>
      </c>
      <c r="BI62" s="114"/>
      <c r="BJ62" s="111">
        <f>Montagem!BD239</f>
        <v>1</v>
      </c>
      <c r="BK62" s="111" t="str">
        <f>Montagem!BP239</f>
        <v/>
      </c>
      <c r="BL62" s="111" t="str">
        <f>Montagem!BE239</f>
        <v/>
      </c>
      <c r="BM62" s="111" t="str">
        <f>Montagem!BQ239</f>
        <v/>
      </c>
      <c r="BN62" s="106" t="str">
        <f>IF(BM62="",BK62,BM62)</f>
        <v/>
      </c>
      <c r="BO62" s="106" t="str">
        <f>IF(BK63="C",'Dados de Base'!$D$5*0.1,IF(BK63="E",5,IF(BI62="",BN62,BI62)))</f>
        <v/>
      </c>
      <c r="BP62" s="108"/>
      <c r="BQ62" s="115" t="str">
        <f>IF(CC62="","",HYPERLINK(OFFSET(Biblioteca!$B$2,MATCH(CC62,Biblioteca!$A$3:$A$200,0),0),CC62))</f>
        <v/>
      </c>
      <c r="BT62" s="109" t="str">
        <f>Montagem!BY239</f>
        <v/>
      </c>
      <c r="BU62" s="110" t="str">
        <f>Montagem!BZ239</f>
        <v/>
      </c>
      <c r="BV62" s="110" t="str">
        <f>Montagem!CA239</f>
        <v/>
      </c>
      <c r="BW62" s="110" t="str">
        <f>Montagem!CB239</f>
        <v/>
      </c>
      <c r="BX62" s="110" t="str">
        <f>Montagem!CC239</f>
        <v/>
      </c>
      <c r="BY62" s="110" t="str">
        <f>Montagem!CD239</f>
        <v/>
      </c>
      <c r="BZ62" s="114"/>
      <c r="CA62" s="111">
        <f>Montagem!BS239</f>
        <v>1</v>
      </c>
      <c r="CB62" s="111" t="str">
        <f>Montagem!CE239</f>
        <v/>
      </c>
      <c r="CC62" s="111" t="str">
        <f>Montagem!BT239</f>
        <v/>
      </c>
      <c r="CD62" s="111" t="str">
        <f>Montagem!CF239</f>
        <v/>
      </c>
      <c r="CE62" s="106" t="str">
        <f>IF(CD62="",CB62,CD62)</f>
        <v/>
      </c>
      <c r="CF62" s="106" t="str">
        <f>IF(CB63="C",'Dados de Base'!$D$5*0.1,IF(CB63="E",5,IF(BZ62="",CE62,BZ62)))</f>
        <v/>
      </c>
      <c r="CG62" s="108"/>
      <c r="CH62" s="115" t="str">
        <f>IF(CT62="","",HYPERLINK(OFFSET(Biblioteca!$B$2,MATCH(CT62,Biblioteca!$A$3:$A$200,0),0),CT62))</f>
        <v/>
      </c>
      <c r="CK62" s="109" t="str">
        <f>Montagem!CN239</f>
        <v/>
      </c>
      <c r="CL62" s="110" t="str">
        <f>Montagem!CO239</f>
        <v/>
      </c>
      <c r="CM62" s="110" t="str">
        <f>Montagem!CP239</f>
        <v/>
      </c>
      <c r="CN62" s="110" t="str">
        <f>Montagem!CQ239</f>
        <v/>
      </c>
      <c r="CO62" s="110" t="str">
        <f>Montagem!CR239</f>
        <v/>
      </c>
      <c r="CP62" s="110" t="str">
        <f>Montagem!CS239</f>
        <v/>
      </c>
      <c r="CQ62" s="114"/>
      <c r="CR62" s="111">
        <f>Montagem!CH239</f>
        <v>1</v>
      </c>
      <c r="CS62" s="111" t="str">
        <f>Montagem!CT239</f>
        <v/>
      </c>
      <c r="CT62" s="111" t="str">
        <f>Montagem!CI239</f>
        <v/>
      </c>
      <c r="CU62" s="145" t="str">
        <f>Montagem!CU239</f>
        <v/>
      </c>
      <c r="CV62" s="106" t="str">
        <f>IF(CU62="",CS62,CU62)</f>
        <v/>
      </c>
      <c r="CW62" s="106" t="str">
        <f>IF(CS63="C",'Dados de Base'!$D$5*0.1,IF(CS63="E",5,IF(CQ62="",CV62,CQ62)))</f>
        <v/>
      </c>
      <c r="CX62" s="108"/>
      <c r="CY62" s="115" t="str">
        <f>IF(DK62="","",HYPERLINK(OFFSET(Biblioteca!$B$2,MATCH(DK62,Biblioteca!$A$3:$A$200,0),0),DK62))</f>
        <v/>
      </c>
      <c r="DB62" s="130" t="str">
        <f>Montagem!DC239</f>
        <v/>
      </c>
      <c r="DC62" s="131" t="str">
        <f>Montagem!DD239</f>
        <v/>
      </c>
      <c r="DD62" s="131" t="str">
        <f>Montagem!DE239</f>
        <v/>
      </c>
      <c r="DE62" s="131" t="str">
        <f>Montagem!DF239</f>
        <v/>
      </c>
      <c r="DF62" s="131" t="str">
        <f>Montagem!DG239</f>
        <v/>
      </c>
      <c r="DG62" s="131" t="str">
        <f>Montagem!DH239</f>
        <v/>
      </c>
      <c r="DH62" s="114"/>
      <c r="DI62" s="111">
        <f>Montagem!CW239</f>
        <v>1</v>
      </c>
      <c r="DJ62" s="111" t="str">
        <f>Montagem!DI239</f>
        <v/>
      </c>
      <c r="DK62" s="111" t="str">
        <f>Montagem!CX239</f>
        <v/>
      </c>
      <c r="DL62" s="145" t="str">
        <f>Montagem!DJ239</f>
        <v/>
      </c>
      <c r="DM62" s="106" t="str">
        <f>IF(DL62="",DJ62,DL62)</f>
        <v/>
      </c>
      <c r="DN62" s="106" t="str">
        <f>IF(DJ63="C",'Dados de Base'!$D$5*0.1,IF(DJ63="E",5,IF(DH62="",DM62,DH62)))</f>
        <v/>
      </c>
      <c r="DO62" s="108"/>
      <c r="DP62" s="106"/>
      <c r="DQ62" s="106"/>
      <c r="DR62" s="106"/>
      <c r="DS62" s="106"/>
      <c r="DT62" s="106"/>
      <c r="DU62" s="106"/>
      <c r="DV62" s="106"/>
      <c r="DW62" s="106"/>
      <c r="DX62" s="106"/>
      <c r="DY62" s="106"/>
    </row>
    <row r="63">
      <c r="A63" s="117" t="str">
        <f>IF(A62="","",IFS(L63="A",Montagem!$C$230,N63="T","Realizar a maior quantidade de repetições por "&amp;F62&amp;" segundos | ",N63="I",IF(M63="U","Manter a posição por "&amp;F62&amp;" segundos de um lado e trocar para o outro na sequência | ","Manter a posição por "&amp;F62&amp;" segundos | "),M63="A","Realizar alternadamente "&amp;F62&amp;" repetições cada lado | ",M63="U","Realizar "&amp;F62&amp;" repetições de um lado e trocar para o outro na sequência | ",L63="P",OFFSET(Biblioteca!$H$2,MATCH(M62,Biblioteca!$A$3:$A$200,0),0),TRUE,"")&amp;IF(N63="R","Ajuste a carga para que tenha "&amp;$K$2&amp;" repetições de reserva",""))</f>
        <v/>
      </c>
      <c r="E63" s="118" t="str">
        <f>IF(A62="","",IFS(L63="H","Carga Sugerida: "&amp;ROUNDUP(O62/2,0)&amp;" kg de cada lado (Total: "&amp;ROUNDUP(O62/2,0)*2&amp;" kg)",L63="C","Este exercício usa o Peso Corporal como carga",L63="E","Este exercício usa a resistência da banda elástica como carga",L63="O","Carga Sugerida: "&amp;INT(O62)&amp;" kg",TRUE,""))</f>
        <v/>
      </c>
      <c r="J63" s="66"/>
      <c r="K63" s="106">
        <f>K62</f>
        <v>1</v>
      </c>
      <c r="L63" s="120" t="str">
        <f>LEFT(O63)</f>
        <v/>
      </c>
      <c r="M63" s="121" t="str">
        <f>MID(O63,2,1)</f>
        <v/>
      </c>
      <c r="N63" s="122" t="str">
        <f>RIGHT(O63)</f>
        <v/>
      </c>
      <c r="O63" s="123" t="str">
        <f>IF(M62="","",OFFSET(Biblioteca!$I$2,MATCH(M62,Biblioteca!$A$3:$A$200,0),0))</f>
        <v/>
      </c>
      <c r="P63" s="124"/>
      <c r="Q63" s="125"/>
      <c r="R63" s="117" t="str">
        <f>IF(R62="","",IFS(AC63="A",Montagem!$D$230,AE63="T","Realizar a maior quantidade de repetições por "&amp;W62&amp;" segundos | ",AE63="I",IF(AD63="U","Manter a posição por "&amp;W62&amp;" segundos de um lado e trocar para o outro na sequência | ","Manter a posição por "&amp;W62&amp;" segundos | "),AD63="A","Realizar alternadamente "&amp;W62&amp;" repetições cada lado | ",AD63="U","Realizar "&amp;W62&amp;" repetições de um lado e trocar para o outro na sequência | ",AC63="P",OFFSET(Biblioteca!$H$2,MATCH(AD62,Biblioteca!$A$3:$A$200,0),0),TRUE,"")&amp;IF(AE63="R","Ajuste a carga para que tenha "&amp;$K$2&amp;" repetições de reserva",""))</f>
        <v/>
      </c>
      <c r="V63" s="118" t="str">
        <f>IF(R62="","",IFS(AC63="H","Carga Sugerida: "&amp;ROUNDUP(AF62/2,0)&amp;" kg de cada lado (Total: "&amp;ROUNDUP(AF62/2,0)*2&amp;" kg)",AC63="C","Este exercício usa o Peso Corporal como carga",AC63="E","Este exercício usa a resistência da banda elástica como carga",AC63="O","Carga Sugerida: "&amp;INT(AF62)&amp;" kg",TRUE,""))</f>
        <v/>
      </c>
      <c r="AA63" s="66"/>
      <c r="AB63" s="126">
        <f>AB62</f>
        <v>1</v>
      </c>
      <c r="AC63" s="120" t="str">
        <f>LEFT(AF63)</f>
        <v/>
      </c>
      <c r="AD63" s="121" t="str">
        <f>MID(AF63,2,1)</f>
        <v/>
      </c>
      <c r="AE63" s="122" t="str">
        <f>RIGHT(AF63)</f>
        <v/>
      </c>
      <c r="AF63" s="123" t="str">
        <f>IF(AD62="","",OFFSET(Biblioteca!$I$2,MATCH(AD62,Biblioteca!$A$3:$A$200,0),0))</f>
        <v/>
      </c>
      <c r="AG63" s="124"/>
      <c r="AH63" s="125"/>
      <c r="AI63" s="117" t="str">
        <f>IF(AI62="","",IFS(AT63="A",Montagem!$E$230,AV63="T","Realizar a maior quantidade de repetições por "&amp;AN62&amp;" segundos | ",AV63="I",IF(AU63="U","Manter a posição por "&amp;AN62&amp;" segundos de um lado e trocar para o outro na sequência | ","Manter a posição por "&amp;AN62&amp;" segundos | "),AU63="A","Realizar alternadamente "&amp;AN62&amp;" repetições cada lado | ",AU63="U","Realizar "&amp;AN62&amp;" repetições de um lado e trocar para o outro na sequência | ",AT63="P",OFFSET(Biblioteca!$H$2,MATCH(AU62,Biblioteca!$A$3:$A$200,0),0),TRUE,"")&amp;IF(AV63="R","Ajuste a carga para que tenha "&amp;$K$2&amp;" repetições de reserva",""))</f>
        <v/>
      </c>
      <c r="AM63" s="118" t="str">
        <f>IF(AI62="","",IFS(AT63="H","Carga Sugerida: "&amp;ROUNDUP(AW62/2,0)&amp;" kg de cada lado (Total: "&amp;ROUNDUP(AW62/2,0)*2&amp;" kg)",AT63="C","Este exercício usa o Peso Corporal como carga",AT63="E","Este exercício usa a resistência da banda elástica como carga",AT63="O","Carga Sugerida: "&amp;INT(AW62)&amp;" kg",TRUE,""))</f>
        <v/>
      </c>
      <c r="AR63" s="66"/>
      <c r="AS63" s="126">
        <f>AS62</f>
        <v>1</v>
      </c>
      <c r="AT63" s="120" t="str">
        <f>LEFT(AW63)</f>
        <v/>
      </c>
      <c r="AU63" s="121" t="str">
        <f>MID(AW63,2,1)</f>
        <v/>
      </c>
      <c r="AV63" s="122" t="str">
        <f>RIGHT(AW63)</f>
        <v/>
      </c>
      <c r="AW63" s="123" t="str">
        <f>IF(AU62="","",OFFSET(Biblioteca!$I$2,MATCH(AU62,Biblioteca!$A$3:$A$200,0),0))</f>
        <v/>
      </c>
      <c r="AX63" s="124"/>
      <c r="AY63" s="125"/>
      <c r="AZ63" s="117" t="str">
        <f>IF(AZ62="","",IFS(BK63="A",Montagem!$F$230,BM63="T","Realizar a maior quantidade de repetições por "&amp;BE62&amp;" segundos | ",BM63="I",IF(BL63="U","Manter a posição por "&amp;BE62&amp;" segundos de um lado e trocar para o outro na sequência | ","Manter a posição por "&amp;BE62&amp;" segundos | "),BL63="A","Realizar alternadamente "&amp;BE62&amp;" repetições cada lado | ",BL63="U","Realizar "&amp;BE62&amp;" repetições de um lado e trocar para o outro na sequência | ",BK63="P",OFFSET(Biblioteca!$H$2,MATCH(BL62,Biblioteca!$A$3:$A$200,0),0),TRUE,"")&amp;IF(BM63="R","Ajuste a carga para que tenha "&amp;$K$2&amp;" repetições de reserva",""))</f>
        <v/>
      </c>
      <c r="BD63" s="118" t="str">
        <f>IF(AZ62="","",IFS(BK63="H","Carga Sugerida: "&amp;ROUNDUP(BN62/2,0)&amp;" kg de cada lado (Total: "&amp;ROUNDUP(BN62/2,0)*2&amp;" kg)",BK63="C","Este exercício usa o Peso Corporal como carga",BK63="E","Este exercício usa a resistência da banda elástica como carga",BK63="O","Carga Sugerida: "&amp;INT(BN62)&amp;" kg",TRUE,""))</f>
        <v/>
      </c>
      <c r="BI63" s="66"/>
      <c r="BJ63" s="126">
        <f>BJ62</f>
        <v>1</v>
      </c>
      <c r="BK63" s="120" t="str">
        <f>LEFT(BN63)</f>
        <v/>
      </c>
      <c r="BL63" s="121" t="str">
        <f>MID(BN63,2,1)</f>
        <v/>
      </c>
      <c r="BM63" s="122" t="str">
        <f>RIGHT(BN63)</f>
        <v/>
      </c>
      <c r="BN63" s="123" t="str">
        <f>IF(BL62="","",OFFSET(Biblioteca!$I$2,MATCH(BL62,Biblioteca!$A$3:$A$200,0),0))</f>
        <v/>
      </c>
      <c r="BO63" s="124"/>
      <c r="BP63" s="125"/>
      <c r="BQ63" s="117" t="str">
        <f>IF(BQ62="","",IFS(CB63="A",Montagem!$G$230,CD63="T","Realizar a maior quantidade de repetições por "&amp;BV62&amp;" segundos | ",CD63="I",IF(CC63="U","Manter a posição por "&amp;BV62&amp;" segundos de um lado e trocar para o outro na sequência | ","Manter a posição por "&amp;BV62&amp;" segundos | "),CC63="A","Realizar alternadamente "&amp;BV62&amp;" repetições cada lado | ",CC63="U","Realizar "&amp;BV62&amp;" repetições de um lado e trocar para o outro na sequência | ",CB63="P",OFFSET(Biblioteca!$H$2,MATCH(CC62,Biblioteca!$A$3:$A$200,0),0),TRUE,"")&amp;IF(CD63="R","Ajuste a carga para que tenha "&amp;$K$2&amp;" repetições de reserva",""))</f>
        <v/>
      </c>
      <c r="BU63" s="118" t="str">
        <f>IF(BQ62="","",IFS(CB63="H","Carga Sugerida: "&amp;ROUNDUP(CE62/2,0)&amp;" kg de cada lado (Total: "&amp;ROUNDUP(CE62/2,0)*2&amp;" kg)",CB63="C","Este exercício usa o Peso Corporal como carga",CB63="E","Este exercício usa a resistência da banda elástica como carga",CB63="O","Carga Sugerida: "&amp;INT(CE62)&amp;" kg",TRUE,""))</f>
        <v/>
      </c>
      <c r="BZ63" s="66"/>
      <c r="CA63" s="126">
        <f>CA62</f>
        <v>1</v>
      </c>
      <c r="CB63" s="120" t="str">
        <f>LEFT(CE63)</f>
        <v/>
      </c>
      <c r="CC63" s="121" t="str">
        <f>MID(CE63,2,1)</f>
        <v/>
      </c>
      <c r="CD63" s="122" t="str">
        <f>RIGHT(CE63)</f>
        <v/>
      </c>
      <c r="CE63" s="123" t="str">
        <f>IF(CC62="","",OFFSET(Biblioteca!$I$2,MATCH(CC62,Biblioteca!$A$3:$A$200,0),0))</f>
        <v/>
      </c>
      <c r="CF63" s="124"/>
      <c r="CG63" s="125"/>
      <c r="CH63" s="117" t="str">
        <f>IF(CH62="","",IFS(CS63="A",Montagem!$H$230,CU63="T","Realizar a maior quantidade de repetições por "&amp;CM62&amp;" segundos | ",CU63="I",IF(CT63="U","Manter a posição por "&amp;CM62&amp;" segundos de um lado e trocar para o outro na sequência | ","Manter a posição por "&amp;CM62&amp;" segundos | "),CT63="A","Realizar alternadamente "&amp;CM62&amp;" repetições cada lado | ",CT63="U","Realizar "&amp;CM62&amp;" repetições de um lado e trocar para o outro na sequência | ",CS63="P",OFFSET(Biblioteca!$H$2,MATCH(CT62,Biblioteca!$A$3:$A$200,0),0),TRUE,"")&amp;IF(CU63="R","Ajuste a carga para que tenha "&amp;$K$2&amp;" repetições de reserva",""))</f>
        <v/>
      </c>
      <c r="CL63" s="118" t="str">
        <f>IF(CH62="","",IFS(CS63="H","Carga Sugerida: "&amp;ROUNDUP(CV62/2,0)&amp;" kg de cada lado (Total: "&amp;ROUNDUP(CV62/2,0)*2&amp;" kg)",CS63="C","Este exercício usa o Peso Corporal como carga",CS63="E","Este exercício usa a resistência da banda elástica como carga",CS63="O","Carga Sugerida: "&amp;INT(CV62)&amp;" kg",TRUE,""))</f>
        <v/>
      </c>
      <c r="CQ63" s="66"/>
      <c r="CR63" s="126">
        <f>CR62</f>
        <v>1</v>
      </c>
      <c r="CS63" s="120" t="str">
        <f>LEFT(CV63)</f>
        <v/>
      </c>
      <c r="CT63" s="121" t="str">
        <f>MID(CV63,2,1)</f>
        <v/>
      </c>
      <c r="CU63" s="122" t="str">
        <f>RIGHT(CV63)</f>
        <v/>
      </c>
      <c r="CV63" s="123" t="str">
        <f>IF(CT62="","",OFFSET(Biblioteca!$I$2,MATCH(CT62,Biblioteca!$A$3:$A$200,0),0))</f>
        <v/>
      </c>
      <c r="CW63" s="124"/>
      <c r="CX63" s="125"/>
      <c r="CY63" s="117" t="str">
        <f>IF(CY62="","",IFS(DJ63="A",Montagem!$I$230,DL63="T","Realizar a maior quantidade de repetições por "&amp;DD62&amp;" segundos | ",DL63="I",IF(DK63="U","Manter a posição por "&amp;DD62&amp;" segundos de um lado e trocar para o outro na sequência | ","Manter a posição por "&amp;DD62&amp;" segundos | "),DK63="A","Realizar alternadamente "&amp;DD62&amp;" repetições cada lado | ",DK63="U","Realizar "&amp;DD62&amp;" repetições de um lado e trocar para o outro na sequência | ",DJ63="P",OFFSET(Biblioteca!$H$2,MATCH(DK62,Biblioteca!$A$3:$A$200,0),0),TRUE,"")&amp;IF(DL63="R","Ajuste a carga para que tenha "&amp;$K$2&amp;" repetições de reserva",""))</f>
        <v/>
      </c>
      <c r="DC63" s="118" t="str">
        <f>IF(CY62="","",IFS(DJ63="H","Carga Sugerida: "&amp;ROUNDUP(DM62/2,0)&amp;" kg de cada lado (Total: "&amp;ROUNDUP(DM62/2,0)*2&amp;" kg)",DJ63="C","Este exercício usa o Peso Corporal como carga",DJ63="E","Este exercício usa a resistência da banda elástica como carga",DJ63="O","Carga Sugerida: "&amp;INT(DM62)&amp;" kg",TRUE,""))</f>
        <v/>
      </c>
      <c r="DH63" s="66"/>
      <c r="DI63" s="126">
        <f>DI62</f>
        <v>1</v>
      </c>
      <c r="DJ63" s="120" t="str">
        <f>LEFT(DM63)</f>
        <v/>
      </c>
      <c r="DK63" s="121" t="str">
        <f>MID(DM63,2,1)</f>
        <v/>
      </c>
      <c r="DL63" s="122" t="str">
        <f>RIGHT(DM63)</f>
        <v/>
      </c>
      <c r="DM63" s="123" t="str">
        <f>IF(DK62="","",OFFSET(Biblioteca!$I$2,MATCH(DK62,Biblioteca!$A$3:$A$200,0),0))</f>
        <v/>
      </c>
      <c r="DN63" s="124"/>
      <c r="DO63" s="125"/>
      <c r="DP63" s="142"/>
      <c r="DQ63" s="56"/>
      <c r="DR63" s="56"/>
      <c r="DS63" s="56"/>
      <c r="DT63" s="56"/>
      <c r="DU63" s="56"/>
      <c r="DV63" s="56"/>
      <c r="DW63" s="56"/>
      <c r="DX63" s="56"/>
      <c r="DY63" s="56"/>
    </row>
    <row r="64">
      <c r="A64" s="115" t="str">
        <f>IF(M64="","",HYPERLINK(OFFSET(Biblioteca!$B$2,MATCH(M64,Biblioteca!$A$3:$A$200,0),0),M64))</f>
        <v/>
      </c>
      <c r="D64" s="103" t="str">
        <f>Montagem!Q240</f>
        <v/>
      </c>
      <c r="E64" s="104" t="str">
        <f>Montagem!R240</f>
        <v/>
      </c>
      <c r="F64" s="104" t="str">
        <f>Montagem!S240</f>
        <v/>
      </c>
      <c r="G64" s="104" t="str">
        <f>Montagem!T240</f>
        <v/>
      </c>
      <c r="H64" s="104" t="str">
        <f>Montagem!U240</f>
        <v/>
      </c>
      <c r="I64" s="132" t="str">
        <f>Montagem!V240</f>
        <v/>
      </c>
      <c r="J64" s="144"/>
      <c r="K64" s="106">
        <f>Montagem!K240</f>
        <v>1</v>
      </c>
      <c r="L64" s="111" t="str">
        <f>Montagem!W240</f>
        <v/>
      </c>
      <c r="M64" s="111" t="str">
        <f>Montagem!L240</f>
        <v/>
      </c>
      <c r="N64" s="111" t="str">
        <f>Montagem!X240</f>
        <v/>
      </c>
      <c r="O64" s="106" t="str">
        <f>IF(N64="",L64,N64)</f>
        <v/>
      </c>
      <c r="P64" s="106" t="str">
        <f>IF(L65="C",'Dados de Base'!$D$5*0.1,IF(L65="E",5,IF(J64="",O64,J64)))</f>
        <v/>
      </c>
      <c r="Q64" s="108"/>
      <c r="R64" s="115" t="str">
        <f>IF(AD64="","",HYPERLINK(OFFSET(Biblioteca!$B$2,MATCH(AD64,Biblioteca!$A$3:$A$200,0),0),AD64))</f>
        <v/>
      </c>
      <c r="U64" s="109" t="str">
        <f>Montagem!AF240</f>
        <v/>
      </c>
      <c r="V64" s="110" t="str">
        <f>Montagem!AG240</f>
        <v/>
      </c>
      <c r="W64" s="110" t="str">
        <f>Montagem!AH240</f>
        <v/>
      </c>
      <c r="X64" s="110" t="str">
        <f>Montagem!AI240</f>
        <v/>
      </c>
      <c r="Y64" s="110" t="str">
        <f>Montagem!AJ240</f>
        <v/>
      </c>
      <c r="Z64" s="110" t="str">
        <f>Montagem!AK240</f>
        <v/>
      </c>
      <c r="AA64" s="114"/>
      <c r="AB64" s="111">
        <f>Montagem!Z240</f>
        <v>1</v>
      </c>
      <c r="AC64" s="111" t="str">
        <f>Montagem!AL240</f>
        <v/>
      </c>
      <c r="AD64" s="129" t="str">
        <f>Montagem!AA240</f>
        <v/>
      </c>
      <c r="AE64" s="111" t="str">
        <f>Montagem!AM240</f>
        <v/>
      </c>
      <c r="AF64" s="106" t="str">
        <f>IF(AE64="",AC64,AE64)</f>
        <v/>
      </c>
      <c r="AG64" s="106" t="str">
        <f>IF(AC65="C",'Dados de Base'!$D$5*0.1,IF(AC65="E",5,IF(AA64="",AF64,AA64)))</f>
        <v/>
      </c>
      <c r="AH64" s="108"/>
      <c r="AI64" s="115" t="str">
        <f>IF(AU64="","",HYPERLINK(OFFSET(Biblioteca!$B$2,MATCH(AU64,Biblioteca!$A$3:$A$200,0),0),AU64))</f>
        <v/>
      </c>
      <c r="AL64" s="109" t="str">
        <f>Montagem!AU240</f>
        <v/>
      </c>
      <c r="AM64" s="110" t="str">
        <f>Montagem!AV240</f>
        <v/>
      </c>
      <c r="AN64" s="110" t="str">
        <f>Montagem!AW240</f>
        <v/>
      </c>
      <c r="AO64" s="110" t="str">
        <f>Montagem!AX240</f>
        <v/>
      </c>
      <c r="AP64" s="110" t="str">
        <f>Montagem!AY240</f>
        <v/>
      </c>
      <c r="AQ64" s="110" t="str">
        <f>Montagem!AZ240</f>
        <v/>
      </c>
      <c r="AR64" s="114"/>
      <c r="AS64" s="111">
        <f>Montagem!AO240</f>
        <v>1</v>
      </c>
      <c r="AT64" s="111" t="str">
        <f>Montagem!BA240</f>
        <v/>
      </c>
      <c r="AU64" s="111" t="str">
        <f>Montagem!AP240</f>
        <v/>
      </c>
      <c r="AV64" s="111" t="str">
        <f>Montagem!BB240</f>
        <v/>
      </c>
      <c r="AW64" s="106" t="str">
        <f>IF(AV64="",AT64,AV64)</f>
        <v/>
      </c>
      <c r="AX64" s="106" t="str">
        <f>IF(AT65="C",'Dados de Base'!$D$5*0.1,IF(AT65="E",5,IF(AR64="",AW64,AR64)))</f>
        <v/>
      </c>
      <c r="AY64" s="108"/>
      <c r="AZ64" s="115" t="str">
        <f>IF(BL64="","",HYPERLINK(OFFSET(Biblioteca!$B$2,MATCH(BL64,Biblioteca!$A$3:$A$200,0),0),BL64))</f>
        <v/>
      </c>
      <c r="BC64" s="109" t="str">
        <f>Montagem!BJ240</f>
        <v/>
      </c>
      <c r="BD64" s="110" t="str">
        <f>Montagem!BK240</f>
        <v/>
      </c>
      <c r="BE64" s="110" t="str">
        <f>Montagem!BL240</f>
        <v/>
      </c>
      <c r="BF64" s="110" t="str">
        <f>Montagem!BM240</f>
        <v/>
      </c>
      <c r="BG64" s="110" t="str">
        <f>Montagem!BN240</f>
        <v/>
      </c>
      <c r="BH64" s="110" t="str">
        <f>Montagem!BO240</f>
        <v/>
      </c>
      <c r="BI64" s="114"/>
      <c r="BJ64" s="111">
        <f>Montagem!BD240</f>
        <v>1</v>
      </c>
      <c r="BK64" s="111" t="str">
        <f>Montagem!BP240</f>
        <v/>
      </c>
      <c r="BL64" s="111" t="str">
        <f>Montagem!BE240</f>
        <v/>
      </c>
      <c r="BM64" s="111" t="str">
        <f>Montagem!BQ240</f>
        <v/>
      </c>
      <c r="BN64" s="106" t="str">
        <f>IF(BM64="",BK64,BM64)</f>
        <v/>
      </c>
      <c r="BO64" s="106" t="str">
        <f>IF(BK65="C",'Dados de Base'!$D$5*0.1,IF(BK65="E",5,IF(BI64="",BN64,BI64)))</f>
        <v/>
      </c>
      <c r="BP64" s="108"/>
      <c r="BQ64" s="115" t="str">
        <f>IF(CC64="","",HYPERLINK(OFFSET(Biblioteca!$B$2,MATCH(CC64,Biblioteca!$A$3:$A$200,0),0),CC64))</f>
        <v/>
      </c>
      <c r="BT64" s="109" t="str">
        <f>Montagem!BY240</f>
        <v/>
      </c>
      <c r="BU64" s="110" t="str">
        <f>Montagem!BZ240</f>
        <v/>
      </c>
      <c r="BV64" s="110" t="str">
        <f>Montagem!CA240</f>
        <v/>
      </c>
      <c r="BW64" s="110" t="str">
        <f>Montagem!CB240</f>
        <v/>
      </c>
      <c r="BX64" s="110" t="str">
        <f>Montagem!CC240</f>
        <v/>
      </c>
      <c r="BY64" s="110" t="str">
        <f>Montagem!CD240</f>
        <v/>
      </c>
      <c r="BZ64" s="114"/>
      <c r="CA64" s="111">
        <f>Montagem!BS240</f>
        <v>1</v>
      </c>
      <c r="CB64" s="111" t="str">
        <f>Montagem!CE240</f>
        <v/>
      </c>
      <c r="CC64" s="111" t="str">
        <f>Montagem!BT240</f>
        <v/>
      </c>
      <c r="CD64" s="111" t="str">
        <f>Montagem!CF240</f>
        <v/>
      </c>
      <c r="CE64" s="106" t="str">
        <f>IF(CD64="",CB64,CD64)</f>
        <v/>
      </c>
      <c r="CF64" s="106" t="str">
        <f>IF(CB65="C",'Dados de Base'!$D$5*0.1,IF(CB65="E",5,IF(BZ64="",CE64,BZ64)))</f>
        <v/>
      </c>
      <c r="CG64" s="108"/>
      <c r="CH64" s="115" t="str">
        <f>IF(CT64="","",HYPERLINK(OFFSET(Biblioteca!$B$2,MATCH(CT64,Biblioteca!$A$3:$A$200,0),0),CT64))</f>
        <v/>
      </c>
      <c r="CK64" s="109" t="str">
        <f>Montagem!CN240</f>
        <v/>
      </c>
      <c r="CL64" s="110" t="str">
        <f>Montagem!CO240</f>
        <v/>
      </c>
      <c r="CM64" s="110" t="str">
        <f>Montagem!CP240</f>
        <v/>
      </c>
      <c r="CN64" s="110" t="str">
        <f>Montagem!CQ240</f>
        <v/>
      </c>
      <c r="CO64" s="110" t="str">
        <f>Montagem!CR240</f>
        <v/>
      </c>
      <c r="CP64" s="110" t="str">
        <f>Montagem!CS240</f>
        <v/>
      </c>
      <c r="CQ64" s="114"/>
      <c r="CR64" s="111">
        <f>Montagem!CH240</f>
        <v>1</v>
      </c>
      <c r="CS64" s="111" t="str">
        <f>Montagem!CT240</f>
        <v/>
      </c>
      <c r="CT64" s="111" t="str">
        <f>Montagem!CI240</f>
        <v/>
      </c>
      <c r="CU64" s="145" t="str">
        <f>Montagem!CU240</f>
        <v/>
      </c>
      <c r="CV64" s="106" t="str">
        <f>IF(CU64="",CS64,CU64)</f>
        <v/>
      </c>
      <c r="CW64" s="106" t="str">
        <f>IF(CS65="C",'Dados de Base'!$D$5*0.1,IF(CS65="E",5,IF(CQ64="",CV64,CQ64)))</f>
        <v/>
      </c>
      <c r="CX64" s="108"/>
      <c r="CY64" s="115" t="str">
        <f>IF(DK64="","",HYPERLINK(OFFSET(Biblioteca!$B$2,MATCH(DK64,Biblioteca!$A$3:$A$200,0),0),DK64))</f>
        <v/>
      </c>
      <c r="DB64" s="130" t="str">
        <f>Montagem!DC240</f>
        <v/>
      </c>
      <c r="DC64" s="131" t="str">
        <f>Montagem!DD240</f>
        <v/>
      </c>
      <c r="DD64" s="131" t="str">
        <f>Montagem!DE240</f>
        <v/>
      </c>
      <c r="DE64" s="131" t="str">
        <f>Montagem!DF240</f>
        <v/>
      </c>
      <c r="DF64" s="131" t="str">
        <f>Montagem!DG240</f>
        <v/>
      </c>
      <c r="DG64" s="131" t="str">
        <f>Montagem!DH240</f>
        <v/>
      </c>
      <c r="DH64" s="114"/>
      <c r="DI64" s="111">
        <f>Montagem!CW240</f>
        <v>1</v>
      </c>
      <c r="DJ64" s="111" t="str">
        <f>Montagem!DI240</f>
        <v/>
      </c>
      <c r="DK64" s="111" t="str">
        <f>Montagem!CX240</f>
        <v/>
      </c>
      <c r="DL64" s="111" t="str">
        <f>Montagem!DJ240</f>
        <v/>
      </c>
      <c r="DM64" s="106" t="str">
        <f>IF(DL64="",DJ64,DL64)</f>
        <v/>
      </c>
      <c r="DN64" s="106" t="str">
        <f>IF(DJ65="C",'Dados de Base'!$D$5*0.1,IF(DJ65="E",5,IF(DH64="",DM64,DH64)))</f>
        <v/>
      </c>
      <c r="DO64" s="108"/>
      <c r="DP64" s="106"/>
      <c r="DQ64" s="106"/>
      <c r="DR64" s="106"/>
      <c r="DS64" s="106"/>
      <c r="DT64" s="106"/>
      <c r="DU64" s="106"/>
      <c r="DV64" s="106"/>
      <c r="DW64" s="106"/>
      <c r="DX64" s="106"/>
      <c r="DY64" s="106"/>
    </row>
    <row r="65">
      <c r="A65" s="117" t="str">
        <f>IF(A64="","",IFS(L65="A",Montagem!$C$230,N65="T","Realizar a maior quantidade de repetições por "&amp;F64&amp;" segundos | ",N65="I",IF(M65="U","Manter a posição por "&amp;F64&amp;" segundos de um lado e trocar para o outro na sequência | ","Manter a posição por "&amp;F64&amp;" segundos | "),M65="A","Realizar alternadamente "&amp;F64&amp;" repetições cada lado | ",M65="U","Realizar "&amp;F64&amp;" repetições de um lado e trocar para o outro na sequência | ",L65="P",OFFSET(Biblioteca!$H$2,MATCH(M64,Biblioteca!$A$3:$A$200,0),0),TRUE,"")&amp;IF(N65="R","Ajuste a carga para que tenha "&amp;$K$2&amp;" repetições de reserva",""))</f>
        <v/>
      </c>
      <c r="E65" s="118" t="str">
        <f>IF(A64="","",IFS(L65="H","Carga Sugerida: "&amp;ROUNDUP(O64/2,0)&amp;" kg de cada lado (Total: "&amp;ROUNDUP(O64/2,0)*2&amp;" kg)",L65="C","Este exercício usa o Peso Corporal como carga",L65="E","Este exercício usa a resistência da banda elástica como carga",L65="O","Carga Sugerida: "&amp;INT(O64)&amp;" kg",TRUE,""))</f>
        <v/>
      </c>
      <c r="J65" s="66"/>
      <c r="K65" s="106">
        <f>K64</f>
        <v>1</v>
      </c>
      <c r="L65" s="120" t="str">
        <f>LEFT(O65)</f>
        <v/>
      </c>
      <c r="M65" s="121" t="str">
        <f>MID(O65,2,1)</f>
        <v/>
      </c>
      <c r="N65" s="122" t="str">
        <f>RIGHT(O65)</f>
        <v/>
      </c>
      <c r="O65" s="123" t="str">
        <f>IF(M64="","",OFFSET(Biblioteca!$I$2,MATCH(M64,Biblioteca!$A$3:$A$200,0),0))</f>
        <v/>
      </c>
      <c r="P65" s="124"/>
      <c r="Q65" s="125"/>
      <c r="R65" s="117" t="str">
        <f>IF(R64="","",IFS(AC65="A",Montagem!$D$230,AE65="T","Realizar a maior quantidade de repetições por "&amp;W64&amp;" segundos | ",AE65="I",IF(AD65="U","Manter a posição por "&amp;W64&amp;" segundos de um lado e trocar para o outro na sequência | ","Manter a posição por "&amp;W64&amp;" segundos | "),AD65="A","Realizar alternadamente "&amp;W64&amp;" repetições cada lado | ",AD65="U","Realizar "&amp;W64&amp;" repetições de um lado e trocar para o outro na sequência | ",AC65="P",OFFSET(Biblioteca!$H$2,MATCH(AD64,Biblioteca!$A$3:$A$200,0),0),TRUE,"")&amp;IF(AE65="R","Ajuste a carga para que tenha "&amp;$K$2&amp;" repetições de reserva",""))</f>
        <v/>
      </c>
      <c r="V65" s="118" t="str">
        <f>IF(R64="","",IFS(AC65="H","Carga Sugerida: "&amp;ROUNDUP(AF64/2,0)&amp;" kg de cada lado (Total: "&amp;ROUNDUP(AF64/2,0)*2&amp;" kg)",AC65="C","Este exercício usa o Peso Corporal como carga",AC65="E","Este exercício usa a resistência da banda elástica como carga",AC65="O","Carga Sugerida: "&amp;INT(AF64)&amp;" kg",TRUE,""))</f>
        <v/>
      </c>
      <c r="AA65" s="66"/>
      <c r="AB65" s="126">
        <f>AB64</f>
        <v>1</v>
      </c>
      <c r="AC65" s="120" t="str">
        <f>LEFT(AF65)</f>
        <v/>
      </c>
      <c r="AD65" s="121" t="str">
        <f>MID(AF65,2,1)</f>
        <v/>
      </c>
      <c r="AE65" s="122" t="str">
        <f>RIGHT(AF65)</f>
        <v/>
      </c>
      <c r="AF65" s="123" t="str">
        <f>IF(AD64="","",OFFSET(Biblioteca!$I$2,MATCH(AD64,Biblioteca!$A$3:$A$200,0),0))</f>
        <v/>
      </c>
      <c r="AG65" s="124"/>
      <c r="AH65" s="125"/>
      <c r="AI65" s="117" t="str">
        <f>IF(AI64="","",IFS(AT65="A",Montagem!$E$230,AV65="T","Realizar a maior quantidade de repetições por "&amp;AN64&amp;" segundos | ",AV65="I",IF(AU65="U","Manter a posição por "&amp;AN64&amp;" segundos de um lado e trocar para o outro na sequência | ","Manter a posição por "&amp;AN64&amp;" segundos | "),AU65="A","Realizar alternadamente "&amp;AN64&amp;" repetições cada lado | ",AU65="U","Realizar "&amp;AN64&amp;" repetições de um lado e trocar para o outro na sequência | ",AT65="P",OFFSET(Biblioteca!$H$2,MATCH(AU64,Biblioteca!$A$3:$A$200,0),0),TRUE,"")&amp;IF(AV65="R","Ajuste a carga para que tenha "&amp;$K$2&amp;" repetições de reserva",""))</f>
        <v/>
      </c>
      <c r="AM65" s="118" t="str">
        <f>IF(AI64="","",IFS(AT65="H","Carga Sugerida: "&amp;ROUNDUP(AW64/2,0)&amp;" kg de cada lado (Total: "&amp;ROUNDUP(AW64/2,0)*2&amp;" kg)",AT65="C","Este exercício usa o Peso Corporal como carga",AT65="E","Este exercício usa a resistência da banda elástica como carga",AT65="O","Carga Sugerida: "&amp;INT(AW64)&amp;" kg",TRUE,""))</f>
        <v/>
      </c>
      <c r="AR65" s="66"/>
      <c r="AS65" s="126">
        <f>AS64</f>
        <v>1</v>
      </c>
      <c r="AT65" s="120" t="str">
        <f>LEFT(AW65)</f>
        <v/>
      </c>
      <c r="AU65" s="121" t="str">
        <f>MID(AW65,2,1)</f>
        <v/>
      </c>
      <c r="AV65" s="122" t="str">
        <f>RIGHT(AW65)</f>
        <v/>
      </c>
      <c r="AW65" s="123" t="str">
        <f>IF(AU64="","",OFFSET(Biblioteca!$I$2,MATCH(AU64,Biblioteca!$A$3:$A$200,0),0))</f>
        <v/>
      </c>
      <c r="AX65" s="124"/>
      <c r="AY65" s="125"/>
      <c r="AZ65" s="117" t="str">
        <f>IF(AZ64="","",IFS(BK65="A",Montagem!$F$230,BM65="T","Realizar a maior quantidade de repetições por "&amp;BE64&amp;" segundos | ",BM65="I",IF(BL65="U","Manter a posição por "&amp;BE64&amp;" segundos de um lado e trocar para o outro na sequência | ","Manter a posição por "&amp;BE64&amp;" segundos | "),BL65="A","Realizar alternadamente "&amp;BE64&amp;" repetições cada lado | ",BL65="U","Realizar "&amp;BE64&amp;" repetições de um lado e trocar para o outro na sequência | ",BK65="P",OFFSET(Biblioteca!$H$2,MATCH(BL64,Biblioteca!$A$3:$A$200,0),0),TRUE,"")&amp;IF(BM65="R","Ajuste a carga para que tenha "&amp;$K$2&amp;" repetições de reserva",""))</f>
        <v/>
      </c>
      <c r="BD65" s="118" t="str">
        <f>IF(AZ64="","",IFS(BK65="H","Carga Sugerida: "&amp;ROUNDUP(BN64/2,0)&amp;" kg de cada lado (Total: "&amp;ROUNDUP(BN64/2,0)*2&amp;" kg)",BK65="C","Este exercício usa o Peso Corporal como carga",BK65="E","Este exercício usa a resistência da banda elástica como carga",BK65="O","Carga Sugerida: "&amp;INT(BN64)&amp;" kg",TRUE,""))</f>
        <v/>
      </c>
      <c r="BI65" s="66"/>
      <c r="BJ65" s="126">
        <f>BJ64</f>
        <v>1</v>
      </c>
      <c r="BK65" s="120" t="str">
        <f>LEFT(BN65)</f>
        <v/>
      </c>
      <c r="BL65" s="121" t="str">
        <f>MID(BN65,2,1)</f>
        <v/>
      </c>
      <c r="BM65" s="122" t="str">
        <f>RIGHT(BN65)</f>
        <v/>
      </c>
      <c r="BN65" s="123" t="str">
        <f>IF(BL64="","",OFFSET(Biblioteca!$I$2,MATCH(BL64,Biblioteca!$A$3:$A$200,0),0))</f>
        <v/>
      </c>
      <c r="BO65" s="124"/>
      <c r="BP65" s="125"/>
      <c r="BQ65" s="117" t="str">
        <f>IF(BQ64="","",IFS(CB65="A",Montagem!$G$230,CD65="T","Realizar a maior quantidade de repetições por "&amp;BV64&amp;" segundos | ",CD65="I",IF(CC65="U","Manter a posição por "&amp;BV64&amp;" segundos de um lado e trocar para o outro na sequência | ","Manter a posição por "&amp;BV64&amp;" segundos | "),CC65="A","Realizar alternadamente "&amp;BV64&amp;" repetições cada lado | ",CC65="U","Realizar "&amp;BV64&amp;" repetições de um lado e trocar para o outro na sequência | ",CB65="P",OFFSET(Biblioteca!$H$2,MATCH(CC64,Biblioteca!$A$3:$A$200,0),0),TRUE,"")&amp;IF(CD65="R","Ajuste a carga para que tenha "&amp;$K$2&amp;" repetições de reserva",""))</f>
        <v/>
      </c>
      <c r="BU65" s="118" t="str">
        <f>IF(BQ64="","",IFS(CB65="H","Carga Sugerida: "&amp;ROUNDUP(CE64/2,0)&amp;" kg de cada lado (Total: "&amp;ROUNDUP(CE64/2,0)*2&amp;" kg)",CB65="C","Este exercício usa o Peso Corporal como carga",CB65="E","Este exercício usa a resistência da banda elástica como carga",CB65="O","Carga Sugerida: "&amp;INT(CE64)&amp;" kg",TRUE,""))</f>
        <v/>
      </c>
      <c r="BZ65" s="66"/>
      <c r="CA65" s="126">
        <f>CA64</f>
        <v>1</v>
      </c>
      <c r="CB65" s="120" t="str">
        <f>LEFT(CE65)</f>
        <v/>
      </c>
      <c r="CC65" s="121" t="str">
        <f>MID(CE65,2,1)</f>
        <v/>
      </c>
      <c r="CD65" s="122" t="str">
        <f>RIGHT(CE65)</f>
        <v/>
      </c>
      <c r="CE65" s="123" t="str">
        <f>IF(CC64="","",OFFSET(Biblioteca!$I$2,MATCH(CC64,Biblioteca!$A$3:$A$200,0),0))</f>
        <v/>
      </c>
      <c r="CF65" s="124"/>
      <c r="CG65" s="125"/>
      <c r="CH65" s="117" t="str">
        <f>IF(CH64="","",IFS(CS65="A",Montagem!$H$230,CU65="T","Realizar a maior quantidade de repetições por "&amp;CM64&amp;" segundos | ",CU65="I",IF(CT65="U","Manter a posição por "&amp;CM64&amp;" segundos de um lado e trocar para o outro na sequência | ","Manter a posição por "&amp;CM64&amp;" segundos | "),CT65="A","Realizar alternadamente "&amp;CM64&amp;" repetições cada lado | ",CT65="U","Realizar "&amp;CM64&amp;" repetições de um lado e trocar para o outro na sequência | ",CS65="P",OFFSET(Biblioteca!$H$2,MATCH(CT64,Biblioteca!$A$3:$A$200,0),0),TRUE,"")&amp;IF(CU65="R","Ajuste a carga para que tenha "&amp;$K$2&amp;" repetições de reserva",""))</f>
        <v/>
      </c>
      <c r="CL65" s="118" t="str">
        <f>IF(CH64="","",IFS(CS65="H","Carga Sugerida: "&amp;ROUNDUP(CV64/2,0)&amp;" kg de cada lado (Total: "&amp;ROUNDUP(CV64/2,0)*2&amp;" kg)",CS65="C","Este exercício usa o Peso Corporal como carga",CS65="E","Este exercício usa a resistência da banda elástica como carga",CS65="O","Carga Sugerida: "&amp;INT(CV64)&amp;" kg",TRUE,""))</f>
        <v/>
      </c>
      <c r="CQ65" s="66"/>
      <c r="CR65" s="126">
        <f>CR64</f>
        <v>1</v>
      </c>
      <c r="CS65" s="120" t="str">
        <f>LEFT(CV65)</f>
        <v/>
      </c>
      <c r="CT65" s="121" t="str">
        <f>MID(CV65,2,1)</f>
        <v/>
      </c>
      <c r="CU65" s="122" t="str">
        <f>RIGHT(CV65)</f>
        <v/>
      </c>
      <c r="CV65" s="123" t="str">
        <f>IF(CT64="","",OFFSET(Biblioteca!$I$2,MATCH(CT64,Biblioteca!$A$3:$A$200,0),0))</f>
        <v/>
      </c>
      <c r="CW65" s="124"/>
      <c r="CX65" s="125"/>
      <c r="CY65" s="117" t="str">
        <f>IF(CY64="","",IFS(DJ65="A",Montagem!$I$230,DL65="T","Realizar a maior quantidade de repetições por "&amp;DD64&amp;" segundos | ",DL65="I",IF(DK65="U","Manter a posição por "&amp;DD64&amp;" segundos de um lado e trocar para o outro na sequência | ","Manter a posição por "&amp;DD64&amp;" segundos | "),DK65="A","Realizar alternadamente "&amp;DD64&amp;" repetições cada lado | ",DK65="U","Realizar "&amp;DD64&amp;" repetições de um lado e trocar para o outro na sequência | ",DJ65="P",OFFSET(Biblioteca!$H$2,MATCH(DK64,Biblioteca!$A$3:$A$200,0),0),TRUE,"")&amp;IF(DL65="R","Ajuste a carga para que tenha "&amp;$K$2&amp;" repetições de reserva",""))</f>
        <v/>
      </c>
      <c r="DC65" s="118" t="str">
        <f>IF(CY64="","",IFS(DJ65="H","Carga Sugerida: "&amp;ROUNDUP(DM64/2,0)&amp;" kg de cada lado (Total: "&amp;ROUNDUP(DM64/2,0)*2&amp;" kg)",DJ65="C","Este exercício usa o Peso Corporal como carga",DJ65="E","Este exercício usa a resistência da banda elástica como carga",DJ65="O","Carga Sugerida: "&amp;INT(DM64)&amp;" kg",TRUE,""))</f>
        <v/>
      </c>
      <c r="DH65" s="66"/>
      <c r="DI65" s="126">
        <f>DI64</f>
        <v>1</v>
      </c>
      <c r="DJ65" s="120" t="str">
        <f>LEFT(DM65)</f>
        <v/>
      </c>
      <c r="DK65" s="121" t="str">
        <f>MID(DM65,2,1)</f>
        <v/>
      </c>
      <c r="DL65" s="122" t="str">
        <f>RIGHT(DM65)</f>
        <v/>
      </c>
      <c r="DM65" s="123" t="str">
        <f>IF(DK64="","",OFFSET(Biblioteca!$I$2,MATCH(DK64,Biblioteca!$A$3:$A$200,0),0))</f>
        <v/>
      </c>
      <c r="DN65" s="124"/>
      <c r="DO65" s="125"/>
      <c r="DP65" s="142"/>
      <c r="DQ65" s="56"/>
      <c r="DR65" s="56"/>
      <c r="DS65" s="56"/>
      <c r="DT65" s="56"/>
      <c r="DU65" s="56"/>
      <c r="DV65" s="56"/>
      <c r="DW65" s="56"/>
      <c r="DX65" s="56"/>
      <c r="DY65" s="56"/>
    </row>
    <row r="66">
      <c r="A66" s="90" t="s">
        <v>48</v>
      </c>
      <c r="J66" s="66"/>
      <c r="K66" s="142"/>
      <c r="L66" s="138"/>
      <c r="M66" s="138"/>
      <c r="N66" s="138"/>
      <c r="O66" s="57" t="str">
        <f>IF(N66="",L66,N66)</f>
        <v/>
      </c>
      <c r="P66" s="57"/>
      <c r="Q66" s="153"/>
      <c r="R66" s="90" t="s">
        <v>48</v>
      </c>
      <c r="AA66" s="66"/>
      <c r="AB66" s="138"/>
      <c r="AC66" s="138"/>
      <c r="AD66" s="138"/>
      <c r="AE66" s="138"/>
      <c r="AF66" s="57" t="str">
        <f>IF(AE66="",AC66,AE66)</f>
        <v/>
      </c>
      <c r="AG66" s="57"/>
      <c r="AH66" s="153"/>
      <c r="AI66" s="90" t="s">
        <v>48</v>
      </c>
      <c r="AR66" s="66"/>
      <c r="AS66" s="138"/>
      <c r="AT66" s="138"/>
      <c r="AU66" s="138"/>
      <c r="AV66" s="138"/>
      <c r="AW66" s="57" t="str">
        <f>IF(AV66="",AT66,AV66)</f>
        <v/>
      </c>
      <c r="AX66" s="57"/>
      <c r="AY66" s="153"/>
      <c r="AZ66" s="90" t="s">
        <v>48</v>
      </c>
      <c r="BI66" s="66"/>
      <c r="BJ66" s="138"/>
      <c r="BK66" s="138"/>
      <c r="BL66" s="138"/>
      <c r="BM66" s="138"/>
      <c r="BN66" s="57" t="str">
        <f>IF(BM66="",BK66,BM66)</f>
        <v/>
      </c>
      <c r="BO66" s="57"/>
      <c r="BP66" s="153"/>
      <c r="BQ66" s="90" t="s">
        <v>48</v>
      </c>
      <c r="BZ66" s="66"/>
      <c r="CA66" s="138"/>
      <c r="CB66" s="138"/>
      <c r="CC66" s="138"/>
      <c r="CD66" s="138"/>
      <c r="CE66" s="57" t="str">
        <f>IF(CD66="",CB66,CD66)</f>
        <v/>
      </c>
      <c r="CF66" s="57"/>
      <c r="CG66" s="153"/>
      <c r="CH66" s="90" t="s">
        <v>48</v>
      </c>
      <c r="CQ66" s="66"/>
      <c r="CR66" s="138"/>
      <c r="CS66" s="138"/>
      <c r="CT66" s="138"/>
      <c r="CU66" s="138"/>
      <c r="CV66" s="57" t="str">
        <f>IF(CU66="",CS66,CU66)</f>
        <v/>
      </c>
      <c r="CW66" s="57"/>
      <c r="CX66" s="153"/>
      <c r="CY66" s="90" t="s">
        <v>48</v>
      </c>
      <c r="DH66" s="66"/>
      <c r="DI66" s="138"/>
      <c r="DJ66" s="138"/>
      <c r="DK66" s="138"/>
      <c r="DL66" s="138"/>
      <c r="DM66" s="57" t="str">
        <f>IF(DL66="",DJ66,DL66)</f>
        <v/>
      </c>
      <c r="DN66" s="57"/>
      <c r="DO66" s="153"/>
      <c r="DP66" s="142"/>
      <c r="DQ66" s="56"/>
      <c r="DR66" s="56"/>
      <c r="DS66" s="56"/>
      <c r="DT66" s="56"/>
      <c r="DU66" s="56"/>
      <c r="DV66" s="56"/>
      <c r="DW66" s="56"/>
      <c r="DX66" s="56"/>
      <c r="DY66" s="56"/>
    </row>
    <row r="67">
      <c r="A67" s="96" t="s">
        <v>31</v>
      </c>
      <c r="D67" s="97" t="s">
        <v>32</v>
      </c>
      <c r="E67" s="98" t="s">
        <v>33</v>
      </c>
      <c r="F67" s="98" t="s">
        <v>34</v>
      </c>
      <c r="G67" s="98" t="s">
        <v>35</v>
      </c>
      <c r="H67" s="98" t="s">
        <v>36</v>
      </c>
      <c r="I67" s="98" t="s">
        <v>37</v>
      </c>
      <c r="J67" s="99" t="s">
        <v>38</v>
      </c>
      <c r="K67" s="142" t="str">
        <f>K66</f>
        <v/>
      </c>
      <c r="L67" s="138"/>
      <c r="M67" s="138"/>
      <c r="N67" s="138"/>
      <c r="O67" s="138"/>
      <c r="P67" s="138"/>
      <c r="Q67" s="153"/>
      <c r="R67" s="96" t="s">
        <v>31</v>
      </c>
      <c r="U67" s="139" t="s">
        <v>32</v>
      </c>
      <c r="V67" s="140" t="s">
        <v>33</v>
      </c>
      <c r="W67" s="140" t="s">
        <v>34</v>
      </c>
      <c r="X67" s="140" t="s">
        <v>35</v>
      </c>
      <c r="Y67" s="140" t="s">
        <v>36</v>
      </c>
      <c r="Z67" s="140" t="s">
        <v>37</v>
      </c>
      <c r="AA67" s="141" t="s">
        <v>38</v>
      </c>
      <c r="AB67" s="138" t="str">
        <f>AB66</f>
        <v/>
      </c>
      <c r="AC67" s="138"/>
      <c r="AD67" s="138"/>
      <c r="AE67" s="138"/>
      <c r="AF67" s="138"/>
      <c r="AG67" s="138"/>
      <c r="AH67" s="153"/>
      <c r="AI67" s="96" t="s">
        <v>31</v>
      </c>
      <c r="AL67" s="139" t="s">
        <v>32</v>
      </c>
      <c r="AM67" s="140" t="s">
        <v>33</v>
      </c>
      <c r="AN67" s="140" t="s">
        <v>34</v>
      </c>
      <c r="AO67" s="140" t="s">
        <v>35</v>
      </c>
      <c r="AP67" s="140" t="s">
        <v>36</v>
      </c>
      <c r="AQ67" s="140" t="s">
        <v>37</v>
      </c>
      <c r="AR67" s="141" t="s">
        <v>38</v>
      </c>
      <c r="AS67" s="138"/>
      <c r="AT67" s="138"/>
      <c r="AU67" s="138"/>
      <c r="AV67" s="138"/>
      <c r="AW67" s="138"/>
      <c r="AX67" s="138"/>
      <c r="AY67" s="153"/>
      <c r="AZ67" s="96" t="s">
        <v>31</v>
      </c>
      <c r="BC67" s="139" t="s">
        <v>32</v>
      </c>
      <c r="BD67" s="140" t="s">
        <v>33</v>
      </c>
      <c r="BE67" s="140" t="s">
        <v>34</v>
      </c>
      <c r="BF67" s="140" t="s">
        <v>35</v>
      </c>
      <c r="BG67" s="140" t="s">
        <v>36</v>
      </c>
      <c r="BH67" s="140" t="s">
        <v>37</v>
      </c>
      <c r="BI67" s="141" t="s">
        <v>38</v>
      </c>
      <c r="BJ67" s="138"/>
      <c r="BK67" s="138"/>
      <c r="BL67" s="138"/>
      <c r="BM67" s="138"/>
      <c r="BN67" s="138"/>
      <c r="BO67" s="138"/>
      <c r="BP67" s="153"/>
      <c r="BQ67" s="96" t="s">
        <v>31</v>
      </c>
      <c r="BT67" s="139" t="s">
        <v>32</v>
      </c>
      <c r="BU67" s="140" t="s">
        <v>33</v>
      </c>
      <c r="BV67" s="140" t="s">
        <v>34</v>
      </c>
      <c r="BW67" s="140" t="s">
        <v>35</v>
      </c>
      <c r="BX67" s="140" t="s">
        <v>36</v>
      </c>
      <c r="BY67" s="140" t="s">
        <v>37</v>
      </c>
      <c r="BZ67" s="141" t="s">
        <v>38</v>
      </c>
      <c r="CA67" s="138"/>
      <c r="CB67" s="138"/>
      <c r="CC67" s="138"/>
      <c r="CD67" s="138"/>
      <c r="CE67" s="138"/>
      <c r="CF67" s="138"/>
      <c r="CG67" s="153"/>
      <c r="CH67" s="96" t="s">
        <v>31</v>
      </c>
      <c r="CK67" s="139" t="s">
        <v>32</v>
      </c>
      <c r="CL67" s="140" t="s">
        <v>33</v>
      </c>
      <c r="CM67" s="140" t="s">
        <v>34</v>
      </c>
      <c r="CN67" s="140" t="s">
        <v>35</v>
      </c>
      <c r="CO67" s="140" t="s">
        <v>36</v>
      </c>
      <c r="CP67" s="140" t="s">
        <v>37</v>
      </c>
      <c r="CQ67" s="141" t="s">
        <v>38</v>
      </c>
      <c r="CR67" s="138"/>
      <c r="CS67" s="138"/>
      <c r="CT67" s="138"/>
      <c r="CU67" s="138"/>
      <c r="CV67" s="138"/>
      <c r="CW67" s="138"/>
      <c r="CX67" s="153"/>
      <c r="CY67" s="96" t="s">
        <v>31</v>
      </c>
      <c r="DB67" s="139" t="s">
        <v>32</v>
      </c>
      <c r="DC67" s="140" t="s">
        <v>33</v>
      </c>
      <c r="DD67" s="140" t="s">
        <v>34</v>
      </c>
      <c r="DE67" s="140" t="s">
        <v>35</v>
      </c>
      <c r="DF67" s="140" t="s">
        <v>36</v>
      </c>
      <c r="DG67" s="140" t="s">
        <v>37</v>
      </c>
      <c r="DH67" s="141" t="s">
        <v>38</v>
      </c>
      <c r="DI67" s="138"/>
      <c r="DJ67" s="138"/>
      <c r="DK67" s="138"/>
      <c r="DL67" s="138"/>
      <c r="DM67" s="138"/>
      <c r="DN67" s="138"/>
      <c r="DO67" s="153"/>
      <c r="DP67" s="57"/>
      <c r="DQ67" s="56"/>
      <c r="DR67" s="56"/>
      <c r="DS67" s="56"/>
      <c r="DT67" s="56"/>
      <c r="DU67" s="56"/>
      <c r="DV67" s="56"/>
      <c r="DW67" s="56"/>
      <c r="DX67" s="56"/>
      <c r="DY67" s="56"/>
    </row>
    <row r="68">
      <c r="A68" s="115" t="str">
        <f>IF(M68="","",HYPERLINK(OFFSET(Biblioteca!$B$2,MATCH(M68,Biblioteca!$A$3:$A$200,0),0),M68))</f>
        <v/>
      </c>
      <c r="D68" s="103" t="str">
        <f>Montagem!Q242</f>
        <v/>
      </c>
      <c r="E68" s="104" t="str">
        <f>Montagem!R242</f>
        <v/>
      </c>
      <c r="F68" s="104" t="str">
        <f>Montagem!S242</f>
        <v/>
      </c>
      <c r="G68" s="104" t="str">
        <f>Montagem!T242</f>
        <v/>
      </c>
      <c r="H68" s="104" t="str">
        <f>Montagem!U242</f>
        <v/>
      </c>
      <c r="I68" s="104" t="str">
        <f>Montagem!V242</f>
        <v/>
      </c>
      <c r="J68" s="144"/>
      <c r="K68" s="106">
        <f>Montagem!K242</f>
        <v>1</v>
      </c>
      <c r="L68" s="111" t="str">
        <f>Montagem!W242</f>
        <v/>
      </c>
      <c r="M68" s="111" t="str">
        <f>Montagem!L242</f>
        <v/>
      </c>
      <c r="N68" s="111" t="str">
        <f>Montagem!X242</f>
        <v/>
      </c>
      <c r="O68" s="106" t="str">
        <f>IF(N68="",L68,N68)</f>
        <v/>
      </c>
      <c r="P68" s="106" t="str">
        <f>IF(L69="C",'Dados de Base'!$D$5*0.1,IF(L69="E",5,IF(J68="",O68,J68)))</f>
        <v/>
      </c>
      <c r="Q68" s="108"/>
      <c r="R68" s="115" t="str">
        <f>IF(AD68="","",HYPERLINK(OFFSET(Biblioteca!$B$2,MATCH(AD68,Biblioteca!$A$3:$A$200,0),0),AD68))</f>
        <v/>
      </c>
      <c r="U68" s="109" t="str">
        <f>Montagem!AF242</f>
        <v/>
      </c>
      <c r="V68" s="110" t="str">
        <f>Montagem!AG242</f>
        <v/>
      </c>
      <c r="W68" s="110" t="str">
        <f>Montagem!AH242</f>
        <v/>
      </c>
      <c r="X68" s="110" t="str">
        <f>Montagem!AI242</f>
        <v/>
      </c>
      <c r="Y68" s="110" t="str">
        <f>Montagem!AJ242</f>
        <v/>
      </c>
      <c r="Z68" s="110" t="str">
        <f>Montagem!AK242</f>
        <v/>
      </c>
      <c r="AA68" s="114"/>
      <c r="AB68" s="111">
        <f>Montagem!Z242</f>
        <v>1</v>
      </c>
      <c r="AC68" s="111" t="str">
        <f>Montagem!AL242</f>
        <v/>
      </c>
      <c r="AD68" s="129" t="str">
        <f>Montagem!AA242</f>
        <v/>
      </c>
      <c r="AE68" s="111" t="str">
        <f>Montagem!AM242</f>
        <v/>
      </c>
      <c r="AF68" s="106" t="str">
        <f>IF(AE68="",AC68,AE68)</f>
        <v/>
      </c>
      <c r="AG68" s="106" t="str">
        <f>IF(AC69="C",'Dados de Base'!$D$5*0.1,IF(AC69="E",5,IF(AA68="",AF68,AA68)))</f>
        <v/>
      </c>
      <c r="AH68" s="108"/>
      <c r="AI68" s="115" t="str">
        <f>IF(AU68="","",HYPERLINK(OFFSET(Biblioteca!$B$2,MATCH(AU68,Biblioteca!$A$3:$A$200,0),0),AU68))</f>
        <v/>
      </c>
      <c r="AL68" s="109" t="str">
        <f>Montagem!AU242</f>
        <v/>
      </c>
      <c r="AM68" s="110" t="str">
        <f>Montagem!AV242</f>
        <v/>
      </c>
      <c r="AN68" s="110" t="str">
        <f>Montagem!AW242</f>
        <v/>
      </c>
      <c r="AO68" s="110" t="str">
        <f>Montagem!AX242</f>
        <v/>
      </c>
      <c r="AP68" s="110" t="str">
        <f>Montagem!AY242</f>
        <v/>
      </c>
      <c r="AQ68" s="110" t="str">
        <f>Montagem!AZ242</f>
        <v/>
      </c>
      <c r="AR68" s="114"/>
      <c r="AS68" s="111">
        <f>Montagem!AO242</f>
        <v>1</v>
      </c>
      <c r="AT68" s="111" t="str">
        <f>Montagem!BA242</f>
        <v/>
      </c>
      <c r="AU68" s="111" t="str">
        <f>Montagem!AP242</f>
        <v/>
      </c>
      <c r="AV68" s="111" t="str">
        <f>Montagem!BB242</f>
        <v/>
      </c>
      <c r="AW68" s="106" t="str">
        <f>IF(AV68="",AT68,AV68)</f>
        <v/>
      </c>
      <c r="AX68" s="106" t="str">
        <f>IF(AT69="C",'Dados de Base'!$D$5*0.1,IF(AT69="E",5,IF(AR68="",AW68,AR68)))</f>
        <v/>
      </c>
      <c r="AY68" s="108"/>
      <c r="AZ68" s="115" t="str">
        <f>IF(BL68="","",HYPERLINK(OFFSET(Biblioteca!$B$2,MATCH(BL68,Biblioteca!$A$3:$A$200,0),0),BL68))</f>
        <v/>
      </c>
      <c r="BC68" s="109" t="str">
        <f>Montagem!BJ242</f>
        <v/>
      </c>
      <c r="BD68" s="110" t="str">
        <f>Montagem!BK242</f>
        <v/>
      </c>
      <c r="BE68" s="110" t="str">
        <f>Montagem!BL242</f>
        <v/>
      </c>
      <c r="BF68" s="110" t="str">
        <f>Montagem!BM242</f>
        <v/>
      </c>
      <c r="BG68" s="110" t="str">
        <f>Montagem!BN242</f>
        <v/>
      </c>
      <c r="BH68" s="110" t="str">
        <f>Montagem!BO242</f>
        <v/>
      </c>
      <c r="BI68" s="114"/>
      <c r="BJ68" s="111">
        <f>Montagem!BD242</f>
        <v>1</v>
      </c>
      <c r="BK68" s="111" t="str">
        <f>Montagem!BP242</f>
        <v/>
      </c>
      <c r="BL68" s="111" t="str">
        <f>Montagem!BE242</f>
        <v/>
      </c>
      <c r="BM68" s="111" t="str">
        <f>Montagem!BQ242</f>
        <v/>
      </c>
      <c r="BN68" s="106" t="str">
        <f>IF(BM68="",BK68,BM68)</f>
        <v/>
      </c>
      <c r="BO68" s="106" t="str">
        <f>IF(BK69="C",'Dados de Base'!$D$5*0.1,IF(BK69="E",5,IF(BI68="",BN68,BI68)))</f>
        <v/>
      </c>
      <c r="BP68" s="108"/>
      <c r="BQ68" s="115" t="str">
        <f>IF(CC68="","",HYPERLINK(OFFSET(Biblioteca!$B$2,MATCH(CC68,Biblioteca!$A$3:$A$200,0),0),CC68))</f>
        <v/>
      </c>
      <c r="BT68" s="109" t="str">
        <f>Montagem!BY242</f>
        <v/>
      </c>
      <c r="BU68" s="110" t="str">
        <f>Montagem!BZ242</f>
        <v/>
      </c>
      <c r="BV68" s="110" t="str">
        <f>Montagem!CA242</f>
        <v/>
      </c>
      <c r="BW68" s="110" t="str">
        <f>Montagem!CB242</f>
        <v/>
      </c>
      <c r="BX68" s="110" t="str">
        <f>Montagem!CC242</f>
        <v/>
      </c>
      <c r="BY68" s="110" t="str">
        <f>Montagem!CD242</f>
        <v/>
      </c>
      <c r="BZ68" s="114"/>
      <c r="CA68" s="111">
        <f>Montagem!BS242</f>
        <v>1</v>
      </c>
      <c r="CB68" s="111" t="str">
        <f>Montagem!CE242</f>
        <v/>
      </c>
      <c r="CC68" s="111" t="str">
        <f>Montagem!BT242</f>
        <v/>
      </c>
      <c r="CD68" s="111" t="str">
        <f>Montagem!CF242</f>
        <v/>
      </c>
      <c r="CE68" s="106" t="str">
        <f>IF(CD68="",CB68,CD68)</f>
        <v/>
      </c>
      <c r="CF68" s="106" t="str">
        <f>IF(CB69="C",'Dados de Base'!$D$5*0.1,IF(CB69="E",5,IF(BZ68="",CE68,BZ68)))</f>
        <v/>
      </c>
      <c r="CG68" s="108"/>
      <c r="CH68" s="115" t="str">
        <f>IF(CT68="","",HYPERLINK(OFFSET(Biblioteca!$B$2,MATCH(CT68,Biblioteca!$A$3:$A$200,0),0),CT68))</f>
        <v/>
      </c>
      <c r="CK68" s="109" t="str">
        <f>Montagem!CN242</f>
        <v/>
      </c>
      <c r="CL68" s="110" t="str">
        <f>Montagem!CO242</f>
        <v/>
      </c>
      <c r="CM68" s="110" t="str">
        <f>Montagem!CP242</f>
        <v/>
      </c>
      <c r="CN68" s="110" t="str">
        <f>Montagem!CQ242</f>
        <v/>
      </c>
      <c r="CO68" s="110" t="str">
        <f>Montagem!CR242</f>
        <v/>
      </c>
      <c r="CP68" s="110" t="str">
        <f>Montagem!CS242</f>
        <v/>
      </c>
      <c r="CQ68" s="114"/>
      <c r="CR68" s="111">
        <f>Montagem!CH242</f>
        <v>1</v>
      </c>
      <c r="CS68" s="111" t="str">
        <f>Montagem!CT242</f>
        <v/>
      </c>
      <c r="CT68" s="111" t="str">
        <f>Montagem!CI242</f>
        <v/>
      </c>
      <c r="CU68" s="145" t="str">
        <f>Montagem!CU242</f>
        <v/>
      </c>
      <c r="CV68" s="106" t="str">
        <f>IF(CU68="",CS68,CU68)</f>
        <v/>
      </c>
      <c r="CW68" s="106" t="str">
        <f>IF(CS69="C",'Dados de Base'!$D$5*0.1,IF(CS69="E",5,IF(CQ68="",CV68,CQ68)))</f>
        <v/>
      </c>
      <c r="CX68" s="108"/>
      <c r="CY68" s="115" t="str">
        <f>IF(DK68="","",HYPERLINK(OFFSET(Biblioteca!$B$2,MATCH(DK68,Biblioteca!$A$3:$A$200,0),0),DK68))</f>
        <v/>
      </c>
      <c r="DB68" s="130" t="str">
        <f>Montagem!DC242</f>
        <v/>
      </c>
      <c r="DC68" s="131" t="str">
        <f>Montagem!DD242</f>
        <v/>
      </c>
      <c r="DD68" s="131" t="str">
        <f>Montagem!DE242</f>
        <v/>
      </c>
      <c r="DE68" s="131" t="str">
        <f>Montagem!DF242</f>
        <v/>
      </c>
      <c r="DF68" s="131" t="str">
        <f>Montagem!DG242</f>
        <v/>
      </c>
      <c r="DG68" s="131" t="str">
        <f>Montagem!DH242</f>
        <v/>
      </c>
      <c r="DH68" s="114"/>
      <c r="DI68" s="111">
        <f>Montagem!CW242</f>
        <v>1</v>
      </c>
      <c r="DJ68" s="111" t="str">
        <f>Montagem!DI242</f>
        <v/>
      </c>
      <c r="DK68" s="111" t="str">
        <f>Montagem!CX242</f>
        <v/>
      </c>
      <c r="DL68" s="145" t="str">
        <f>Montagem!DJ242</f>
        <v/>
      </c>
      <c r="DM68" s="106" t="str">
        <f>IF(DL68="",DJ68,DL68)</f>
        <v/>
      </c>
      <c r="DN68" s="106" t="str">
        <f>IF(DJ69="C",'Dados de Base'!$D$5*0.1,IF(DJ69="E",5,IF(DH68="",DM68,DH68)))</f>
        <v/>
      </c>
      <c r="DO68" s="108"/>
      <c r="DP68" s="106"/>
      <c r="DQ68" s="106"/>
      <c r="DR68" s="106"/>
      <c r="DS68" s="106"/>
      <c r="DT68" s="106"/>
      <c r="DU68" s="106"/>
      <c r="DV68" s="106"/>
      <c r="DW68" s="106"/>
      <c r="DX68" s="106"/>
      <c r="DY68" s="106"/>
    </row>
    <row r="69">
      <c r="A69" s="117" t="str">
        <f>IF(A68="","",IFS(L69="A",Montagem!$C$230,N69="T","Realizar a maior quantidade de repetições por "&amp;F68&amp;" segundos | ",N69="I",IF(M69="U","Manter a posição por "&amp;F68&amp;" segundos de um lado e trocar para o outro na sequência | ","Manter a posição por "&amp;F68&amp;" segundos | "),M69="A","Realizar alternadamente "&amp;F68&amp;" repetições cada lado | ",M69="U","Realizar "&amp;F68&amp;" repetições de um lado e trocar para o outro na sequência | ",L69="P",OFFSET(Biblioteca!$H$2,MATCH(M68,Biblioteca!$A$3:$A$200,0),0),TRUE,""))</f>
        <v/>
      </c>
      <c r="E69" s="118" t="str">
        <f>IF(A68="","",IFS(L69="H","Carga Sugerida: "&amp;ROUNDUP(O68/2,0)&amp;" kg de cada lado (Total: "&amp;ROUNDUP(O68/2,0)*2&amp;" kg)",L69="C","Este exercício usa o Peso Corporal como carga",L69="E","Este exercício usa a resistência da banda elástica como carga",L69="O","Carga Sugerida: "&amp;INT(O68)&amp;" kg",TRUE,""))</f>
        <v/>
      </c>
      <c r="J69" s="66"/>
      <c r="K69" s="106">
        <f>K68</f>
        <v>1</v>
      </c>
      <c r="L69" s="120" t="str">
        <f>LEFT(O69)</f>
        <v/>
      </c>
      <c r="M69" s="121" t="str">
        <f>MID(O69,2,1)</f>
        <v/>
      </c>
      <c r="N69" s="122" t="str">
        <f>RIGHT(O69)</f>
        <v/>
      </c>
      <c r="O69" s="123" t="str">
        <f>IF(M68="","",OFFSET(Biblioteca!$I$2,MATCH(M68,Biblioteca!$A$3:$A$200,0),0))</f>
        <v/>
      </c>
      <c r="P69" s="124"/>
      <c r="Q69" s="125"/>
      <c r="R69" s="117" t="str">
        <f>IF(R68="","",IFS(AC69="A",Montagem!$D$230,AE69="T","Realizar a maior quantidade de repetições por "&amp;W68&amp;" segundos | ",AE69="I",IF(AD69="U","Manter a posição por "&amp;W68&amp;" segundos de um lado e trocar para o outro na sequência | ","Manter a posição por "&amp;W68&amp;" segundos | "),AD69="A","Realizar alternadamente "&amp;W68&amp;" repetições cada lado | ",AD69="U","Realizar "&amp;W68&amp;" repetições de um lado e trocar para o outro na sequência | ",AC69="P",OFFSET(Biblioteca!$H$2,MATCH(AD68,Biblioteca!$A$3:$A$200,0),0),TRUE,""))</f>
        <v/>
      </c>
      <c r="V69" s="118" t="str">
        <f>IF(R68="","",IFS(AC69="H","Carga Sugerida: "&amp;ROUNDUP(AF68/2,0)&amp;" kg de cada lado (Total: "&amp;ROUNDUP(AF68/2,0)*2&amp;" kg)",AC69="C","Este exercício usa o Peso Corporal como carga",AC69="E","Este exercício usa a resistência da banda elástica como carga",AC69="O","Carga Sugerida: "&amp;INT(AF68)&amp;" kg",TRUE,""))</f>
        <v/>
      </c>
      <c r="AA69" s="66"/>
      <c r="AB69" s="111">
        <f>AB68</f>
        <v>1</v>
      </c>
      <c r="AC69" s="120" t="str">
        <f>LEFT(AF69)</f>
        <v/>
      </c>
      <c r="AD69" s="121" t="str">
        <f>MID(AF69,2,1)</f>
        <v/>
      </c>
      <c r="AE69" s="122" t="str">
        <f>RIGHT(AF69)</f>
        <v/>
      </c>
      <c r="AF69" s="123" t="str">
        <f>IF(AD68="","",OFFSET(Biblioteca!$I$2,MATCH(AD68,Biblioteca!$A$3:$A$200,0),0))</f>
        <v/>
      </c>
      <c r="AG69" s="124"/>
      <c r="AH69" s="125"/>
      <c r="AI69" s="117" t="str">
        <f>IF(AI68="","",IFS(AT69="A",Montagem!$E$230,AV69="T","Realizar a maior quantidade de repetições por "&amp;AN68&amp;" segundos | ",AV69="I",IF(AU69="U","Manter a posição por "&amp;AN68&amp;" segundos de um lado e trocar para o outro na sequência | ","Manter a posição por "&amp;AN68&amp;" segundos | "),AU69="A","Realizar alternadamente "&amp;AN68&amp;" repetições cada lado | ",AU69="U","Realizar "&amp;AN68&amp;" repetições de um lado e trocar para o outro na sequência | ",AT69="P",OFFSET(Biblioteca!$H$2,MATCH(AU68,Biblioteca!$A$3:$A$200,0),0),TRUE,""))</f>
        <v/>
      </c>
      <c r="AM69" s="118" t="str">
        <f>IF(AI68="","",IFS(AT69="H","Carga Sugerida: "&amp;ROUNDUP(AW68/2,0)&amp;" kg de cada lado (Total: "&amp;ROUNDUP(AW68/2,0)*2&amp;" kg)",AT69="C","Este exercício usa o Peso Corporal como carga",AT69="E","Este exercício usa a resistência da banda elástica como carga",AT69="O","Carga Sugerida: "&amp;INT(AW68)&amp;" kg",TRUE,""))</f>
        <v/>
      </c>
      <c r="AR69" s="66"/>
      <c r="AS69" s="111">
        <f>AS68</f>
        <v>1</v>
      </c>
      <c r="AT69" s="120" t="str">
        <f>LEFT(AW69)</f>
        <v/>
      </c>
      <c r="AU69" s="121" t="str">
        <f>MID(AW69,2,1)</f>
        <v/>
      </c>
      <c r="AV69" s="122" t="str">
        <f>RIGHT(AW69)</f>
        <v/>
      </c>
      <c r="AW69" s="123" t="str">
        <f>IF(AU68="","",OFFSET(Biblioteca!$I$2,MATCH(AU68,Biblioteca!$A$3:$A$200,0),0))</f>
        <v/>
      </c>
      <c r="AX69" s="124"/>
      <c r="AY69" s="125"/>
      <c r="AZ69" s="117" t="str">
        <f>IF(AZ68="","",IFS(BK69="A",Montagem!$F$230,BM69="T","Realizar a maior quantidade de repetições por "&amp;BE68&amp;" segundos | ",BM69="I",IF(BL69="U","Manter a posição por "&amp;BE68&amp;" segundos de um lado e trocar para o outro na sequência | ","Manter a posição por "&amp;BE68&amp;" segundos | "),BL69="A","Realizar alternadamente "&amp;BE68&amp;" repetições cada lado | ",BL69="U","Realizar "&amp;BE68&amp;" repetições de um lado e trocar para o outro na sequência | ",BK69="P",OFFSET(Biblioteca!$H$2,MATCH(BL68,Biblioteca!$A$3:$A$200,0),0),TRUE,""))</f>
        <v/>
      </c>
      <c r="BD69" s="118" t="str">
        <f>IF(AZ68="","",IFS(BK69="H","Carga Sugerida: "&amp;ROUNDUP(BN68/2,0)&amp;" kg de cada lado (Total: "&amp;ROUNDUP(BN68/2,0)*2&amp;" kg)",BK69="C","Este exercício usa o Peso Corporal como carga",BK69="E","Este exercício usa a resistência da banda elástica como carga",BK69="O","Carga Sugerida: "&amp;INT(BN68)&amp;" kg",TRUE,""))</f>
        <v/>
      </c>
      <c r="BI69" s="66"/>
      <c r="BJ69" s="111">
        <f>BJ68</f>
        <v>1</v>
      </c>
      <c r="BK69" s="120" t="str">
        <f>LEFT(BN69)</f>
        <v/>
      </c>
      <c r="BL69" s="121" t="str">
        <f>MID(BN69,2,1)</f>
        <v/>
      </c>
      <c r="BM69" s="122" t="str">
        <f>RIGHT(BN69)</f>
        <v/>
      </c>
      <c r="BN69" s="123" t="str">
        <f>IF(BL68="","",OFFSET(Biblioteca!$I$2,MATCH(BL68,Biblioteca!$A$3:$A$200,0),0))</f>
        <v/>
      </c>
      <c r="BO69" s="124"/>
      <c r="BP69" s="125"/>
      <c r="BQ69" s="117" t="str">
        <f>IF(BQ68="","",IFS(CB69="A",Montagem!$G$230,CD69="T","Realizar a maior quantidade de repetições por "&amp;BV68&amp;" segundos | ",CD69="I",IF(CC69="U","Manter a posição por "&amp;BV68&amp;" segundos de um lado e trocar para o outro na sequência | ","Manter a posição por "&amp;BV68&amp;" segundos | "),CC69="A","Realizar alternadamente "&amp;BV68&amp;" repetições cada lado | ",CC69="U","Realizar "&amp;BV68&amp;" repetições de um lado e trocar para o outro na sequência | ",CB69="P",OFFSET(Biblioteca!$H$2,MATCH(CC68,Biblioteca!$A$3:$A$200,0),0),TRUE,""))</f>
        <v/>
      </c>
      <c r="BU69" s="118" t="str">
        <f>IF(BQ68="","",IFS(CB69="H","Carga Sugerida: "&amp;ROUNDUP(CE68/2,0)&amp;" kg de cada lado (Total: "&amp;ROUNDUP(CE68/2,0)*2&amp;" kg)",CB69="C","Este exercício usa o Peso Corporal como carga",CB69="E","Este exercício usa a resistência da banda elástica como carga",CB69="O","Carga Sugerida: "&amp;INT(CE68)&amp;" kg",TRUE,""))</f>
        <v/>
      </c>
      <c r="BZ69" s="66"/>
      <c r="CA69" s="111">
        <f>CA68</f>
        <v>1</v>
      </c>
      <c r="CB69" s="120" t="str">
        <f>LEFT(CE69)</f>
        <v/>
      </c>
      <c r="CC69" s="121" t="str">
        <f>MID(CE69,2,1)</f>
        <v/>
      </c>
      <c r="CD69" s="122" t="str">
        <f>RIGHT(CE69)</f>
        <v/>
      </c>
      <c r="CE69" s="123" t="str">
        <f>IF(CC68="","",OFFSET(Biblioteca!$I$2,MATCH(CC68,Biblioteca!$A$3:$A$200,0),0))</f>
        <v/>
      </c>
      <c r="CF69" s="124"/>
      <c r="CG69" s="125"/>
      <c r="CH69" s="117" t="str">
        <f>IF(CH68="","",IFS(CS69="A",Montagem!$H$230,CU69="T","Realizar a maior quantidade de repetições por "&amp;CM68&amp;" segundos | ",CU69="I",IF(CT69="U","Manter a posição por "&amp;CM68&amp;" segundos de um lado e trocar para o outro na sequência | ","Manter a posição por "&amp;CM68&amp;" segundos | "),CT69="A","Realizar alternadamente "&amp;CM68&amp;" repetições cada lado | ",CT69="U","Realizar "&amp;CM68&amp;" repetições de um lado e trocar para o outro na sequência | ",CS69="P",OFFSET(Biblioteca!$H$2,MATCH(CT68,Biblioteca!$A$3:$A$200,0),0),TRUE,""))</f>
        <v/>
      </c>
      <c r="CL69" s="118" t="str">
        <f>IF(CH68="","",IFS(CS69="H","Carga Sugerida: "&amp;ROUNDUP(CV68/2,0)&amp;" kg de cada lado (Total: "&amp;ROUNDUP(CV68/2,0)*2&amp;" kg)",CS69="C","Este exercício usa o Peso Corporal como carga",CS69="E","Este exercício usa a resistência da banda elástica como carga",CS69="O","Carga Sugerida: "&amp;INT(CV68)&amp;" kg",TRUE,""))</f>
        <v/>
      </c>
      <c r="CQ69" s="66"/>
      <c r="CR69" s="111">
        <f>CR68</f>
        <v>1</v>
      </c>
      <c r="CS69" s="120" t="str">
        <f>LEFT(CV69)</f>
        <v/>
      </c>
      <c r="CT69" s="121" t="str">
        <f>MID(CV69,2,1)</f>
        <v/>
      </c>
      <c r="CU69" s="122" t="str">
        <f>RIGHT(CV69)</f>
        <v/>
      </c>
      <c r="CV69" s="123" t="str">
        <f>IF(CT68="","",OFFSET(Biblioteca!$I$2,MATCH(CT68,Biblioteca!$A$3:$A$200,0),0))</f>
        <v/>
      </c>
      <c r="CW69" s="124"/>
      <c r="CX69" s="125"/>
      <c r="CY69" s="117" t="str">
        <f>IF(CY68="","",IFS(DJ69="A",Montagem!$I$230,DL69="T","Realizar a maior quantidade de repetições por "&amp;DD68&amp;" segundos | ",DL69="I",IF(DK69="U","Manter a posição por "&amp;DD68&amp;" segundos de um lado e trocar para o outro na sequência | ","Manter a posição por "&amp;DD68&amp;" segundos | "),DK69="A","Realizar alternadamente "&amp;DD68&amp;" repetições cada lado | ",DK69="U","Realizar "&amp;DD68&amp;" repetições de um lado e trocar para o outro na sequência | ",DJ69="P",OFFSET(Biblioteca!$H$2,MATCH(DK68,Biblioteca!$A$3:$A$200,0),0),TRUE,""))</f>
        <v/>
      </c>
      <c r="DC69" s="118" t="str">
        <f>IF(CY68="","",IFS(DJ69="H","Carga Sugerida: "&amp;ROUNDUP(DM68/2,0)&amp;" kg de cada lado (Total: "&amp;ROUNDUP(DM68/2,0)*2&amp;" kg)",DJ69="C","Este exercício usa o Peso Corporal como carga",DJ69="E","Este exercício usa a resistência da banda elástica como carga",DJ69="O","Carga Sugerida: "&amp;INT(DM68)&amp;" kg",TRUE,""))</f>
        <v/>
      </c>
      <c r="DH69" s="66"/>
      <c r="DI69" s="111">
        <f>DI68</f>
        <v>1</v>
      </c>
      <c r="DJ69" s="120" t="str">
        <f>LEFT(DM69)</f>
        <v/>
      </c>
      <c r="DK69" s="121" t="str">
        <f>MID(DM69,2,1)</f>
        <v/>
      </c>
      <c r="DL69" s="122" t="str">
        <f>RIGHT(DM69)</f>
        <v/>
      </c>
      <c r="DM69" s="123" t="str">
        <f>IF(DK68="","",OFFSET(Biblioteca!$I$2,MATCH(DK68,Biblioteca!$A$3:$A$200,0),0))</f>
        <v/>
      </c>
      <c r="DN69" s="124"/>
      <c r="DO69" s="125"/>
      <c r="DP69" s="57"/>
      <c r="DQ69" s="56"/>
      <c r="DR69" s="56"/>
      <c r="DS69" s="56"/>
      <c r="DT69" s="56"/>
      <c r="DU69" s="56"/>
      <c r="DV69" s="56"/>
      <c r="DW69" s="56"/>
      <c r="DX69" s="56"/>
      <c r="DY69" s="56"/>
    </row>
    <row r="70">
      <c r="A70" s="115" t="str">
        <f>IF(M70="","",HYPERLINK(OFFSET(Biblioteca!$B$2,MATCH(M70,Biblioteca!$A$3:$A$200,0),0),M70))</f>
        <v/>
      </c>
      <c r="D70" s="103" t="str">
        <f>Montagem!Q243</f>
        <v/>
      </c>
      <c r="E70" s="104" t="str">
        <f>Montagem!R243</f>
        <v/>
      </c>
      <c r="F70" s="104" t="str">
        <f>Montagem!S243</f>
        <v/>
      </c>
      <c r="G70" s="104" t="str">
        <f>Montagem!T243</f>
        <v/>
      </c>
      <c r="H70" s="104" t="str">
        <f>Montagem!U243</f>
        <v/>
      </c>
      <c r="I70" s="104" t="str">
        <f>Montagem!V243</f>
        <v/>
      </c>
      <c r="J70" s="144"/>
      <c r="K70" s="106">
        <f>Montagem!K243</f>
        <v>1</v>
      </c>
      <c r="L70" s="111" t="str">
        <f>Montagem!W243</f>
        <v/>
      </c>
      <c r="M70" s="111" t="str">
        <f>Montagem!L243</f>
        <v/>
      </c>
      <c r="N70" s="111" t="str">
        <f>Montagem!X243</f>
        <v/>
      </c>
      <c r="O70" s="106" t="str">
        <f>IF(N70="",L70,N70)</f>
        <v/>
      </c>
      <c r="P70" s="106" t="str">
        <f>IF(L71="C",'Dados de Base'!$D$5*0.1,IF(L71="E",5,IF(J70="",O70,J70)))</f>
        <v/>
      </c>
      <c r="Q70" s="108"/>
      <c r="R70" s="115" t="str">
        <f>IF(AD70="","",HYPERLINK(OFFSET(Biblioteca!$B$2,MATCH(AD70,Biblioteca!$A$3:$A$200,0),0),AD70))</f>
        <v/>
      </c>
      <c r="U70" s="109" t="str">
        <f>Montagem!AF243</f>
        <v/>
      </c>
      <c r="V70" s="110" t="str">
        <f>Montagem!AG243</f>
        <v/>
      </c>
      <c r="W70" s="110" t="str">
        <f>Montagem!AH243</f>
        <v/>
      </c>
      <c r="X70" s="110" t="str">
        <f>Montagem!AI243</f>
        <v/>
      </c>
      <c r="Y70" s="110" t="str">
        <f>Montagem!AJ243</f>
        <v/>
      </c>
      <c r="Z70" s="110" t="str">
        <f>Montagem!AK243</f>
        <v/>
      </c>
      <c r="AA70" s="114"/>
      <c r="AB70" s="111">
        <f>Montagem!Z243</f>
        <v>1</v>
      </c>
      <c r="AC70" s="111" t="str">
        <f>Montagem!AL243</f>
        <v/>
      </c>
      <c r="AD70" s="129" t="str">
        <f>Montagem!AA243</f>
        <v/>
      </c>
      <c r="AE70" s="111" t="str">
        <f>Montagem!AM243</f>
        <v/>
      </c>
      <c r="AF70" s="106" t="str">
        <f>IF(AE70="",AC70,AE70)</f>
        <v/>
      </c>
      <c r="AG70" s="106" t="str">
        <f>IF(AC71="C",'Dados de Base'!$D$5*0.1,IF(AC71="E",5,IF(AA70="",AF70,AA70)))</f>
        <v/>
      </c>
      <c r="AH70" s="108"/>
      <c r="AI70" s="115" t="str">
        <f>IF(AU70="","",HYPERLINK(OFFSET(Biblioteca!$B$2,MATCH(AU70,Biblioteca!$A$3:$A$200,0),0),AU70))</f>
        <v/>
      </c>
      <c r="AL70" s="109" t="str">
        <f>Montagem!AU243</f>
        <v/>
      </c>
      <c r="AM70" s="110" t="str">
        <f>Montagem!AV243</f>
        <v/>
      </c>
      <c r="AN70" s="110" t="str">
        <f>Montagem!AW243</f>
        <v/>
      </c>
      <c r="AO70" s="110" t="str">
        <f>Montagem!AX243</f>
        <v/>
      </c>
      <c r="AP70" s="110" t="str">
        <f>Montagem!AY243</f>
        <v/>
      </c>
      <c r="AQ70" s="110" t="str">
        <f>Montagem!AZ243</f>
        <v/>
      </c>
      <c r="AR70" s="114"/>
      <c r="AS70" s="111">
        <f>Montagem!AO243</f>
        <v>1</v>
      </c>
      <c r="AT70" s="111" t="str">
        <f>Montagem!BA243</f>
        <v/>
      </c>
      <c r="AU70" s="111" t="str">
        <f>Montagem!AP243</f>
        <v/>
      </c>
      <c r="AV70" s="111" t="str">
        <f>Montagem!BB243</f>
        <v/>
      </c>
      <c r="AW70" s="106" t="str">
        <f>IF(AV70="",AT70,AV70)</f>
        <v/>
      </c>
      <c r="AX70" s="106" t="str">
        <f>IF(AT71="C",'Dados de Base'!$D$5*0.1,IF(AT71="E",5,IF(AR70="",AW70,AR70)))</f>
        <v/>
      </c>
      <c r="AY70" s="108"/>
      <c r="AZ70" s="115" t="str">
        <f>IF(BL70="","",HYPERLINK(OFFSET(Biblioteca!$B$2,MATCH(BL70,Biblioteca!$A$3:$A$200,0),0),BL70))</f>
        <v/>
      </c>
      <c r="BC70" s="109" t="str">
        <f>Montagem!BJ243</f>
        <v/>
      </c>
      <c r="BD70" s="110" t="str">
        <f>Montagem!BK243</f>
        <v/>
      </c>
      <c r="BE70" s="110" t="str">
        <f>Montagem!BL243</f>
        <v/>
      </c>
      <c r="BF70" s="110" t="str">
        <f>Montagem!BM243</f>
        <v/>
      </c>
      <c r="BG70" s="110" t="str">
        <f>Montagem!BN243</f>
        <v/>
      </c>
      <c r="BH70" s="110" t="str">
        <f>Montagem!BO243</f>
        <v/>
      </c>
      <c r="BI70" s="114"/>
      <c r="BJ70" s="111">
        <f>Montagem!BD243</f>
        <v>1</v>
      </c>
      <c r="BK70" s="111" t="str">
        <f>Montagem!BP243</f>
        <v/>
      </c>
      <c r="BL70" s="111" t="str">
        <f>Montagem!BE243</f>
        <v/>
      </c>
      <c r="BM70" s="111" t="str">
        <f>Montagem!BQ243</f>
        <v/>
      </c>
      <c r="BN70" s="106" t="str">
        <f>IF(BM70="",BK70,BM70)</f>
        <v/>
      </c>
      <c r="BO70" s="106" t="str">
        <f>IF(BK71="C",'Dados de Base'!$D$5*0.1,IF(BK71="E",5,IF(BI70="",BN70,BI70)))</f>
        <v/>
      </c>
      <c r="BP70" s="108"/>
      <c r="BQ70" s="115" t="str">
        <f>IF(CC70="","",HYPERLINK(OFFSET(Biblioteca!$B$2,MATCH(CC70,Biblioteca!$A$3:$A$200,0),0),CC70))</f>
        <v/>
      </c>
      <c r="BT70" s="109" t="str">
        <f>Montagem!BY243</f>
        <v/>
      </c>
      <c r="BU70" s="110" t="str">
        <f>Montagem!BZ243</f>
        <v/>
      </c>
      <c r="BV70" s="110" t="str">
        <f>Montagem!CA243</f>
        <v/>
      </c>
      <c r="BW70" s="110" t="str">
        <f>Montagem!CB243</f>
        <v/>
      </c>
      <c r="BX70" s="110" t="str">
        <f>Montagem!CC243</f>
        <v/>
      </c>
      <c r="BY70" s="110" t="str">
        <f>Montagem!CD243</f>
        <v/>
      </c>
      <c r="BZ70" s="114"/>
      <c r="CA70" s="111">
        <f>Montagem!BS243</f>
        <v>1</v>
      </c>
      <c r="CB70" s="111" t="str">
        <f>Montagem!CE243</f>
        <v/>
      </c>
      <c r="CC70" s="111" t="str">
        <f>Montagem!BT243</f>
        <v/>
      </c>
      <c r="CD70" s="111" t="str">
        <f>Montagem!CF243</f>
        <v/>
      </c>
      <c r="CE70" s="106" t="str">
        <f>IF(CD70="",CB70,CD70)</f>
        <v/>
      </c>
      <c r="CF70" s="106" t="str">
        <f>IF(CB71="C",'Dados de Base'!$D$5*0.1,IF(CB71="E",5,IF(BZ70="",CE70,BZ70)))</f>
        <v/>
      </c>
      <c r="CG70" s="108"/>
      <c r="CH70" s="115" t="str">
        <f>IF(CT70="","",HYPERLINK(OFFSET(Biblioteca!$B$2,MATCH(CT70,Biblioteca!$A$3:$A$200,0),0),CT70))</f>
        <v/>
      </c>
      <c r="CK70" s="109" t="str">
        <f>Montagem!CN243</f>
        <v/>
      </c>
      <c r="CL70" s="110" t="str">
        <f>Montagem!CO243</f>
        <v/>
      </c>
      <c r="CM70" s="110" t="str">
        <f>Montagem!CP243</f>
        <v/>
      </c>
      <c r="CN70" s="110" t="str">
        <f>Montagem!CQ243</f>
        <v/>
      </c>
      <c r="CO70" s="110" t="str">
        <f>Montagem!CR243</f>
        <v/>
      </c>
      <c r="CP70" s="110" t="str">
        <f>Montagem!CS243</f>
        <v/>
      </c>
      <c r="CQ70" s="114"/>
      <c r="CR70" s="111">
        <f>Montagem!CH243</f>
        <v>1</v>
      </c>
      <c r="CS70" s="111" t="str">
        <f>Montagem!CT243</f>
        <v/>
      </c>
      <c r="CT70" s="111" t="str">
        <f>Montagem!CI243</f>
        <v/>
      </c>
      <c r="CU70" s="145" t="str">
        <f>Montagem!CU243</f>
        <v/>
      </c>
      <c r="CV70" s="106" t="str">
        <f>IF(CU70="",CS70,CU70)</f>
        <v/>
      </c>
      <c r="CW70" s="106" t="str">
        <f>IF(CS71="C",'Dados de Base'!$D$5*0.1,IF(CS71="E",5,IF(CQ70="",CV70,CQ70)))</f>
        <v/>
      </c>
      <c r="CX70" s="108"/>
      <c r="CY70" s="115" t="str">
        <f>IF(DK70="","",HYPERLINK(OFFSET(Biblioteca!$B$2,MATCH(DK70,Biblioteca!$A$3:$A$200,0),0),DK70))</f>
        <v/>
      </c>
      <c r="DB70" s="130" t="str">
        <f>Montagem!DC243</f>
        <v/>
      </c>
      <c r="DC70" s="131" t="str">
        <f>Montagem!DD243</f>
        <v/>
      </c>
      <c r="DD70" s="131" t="str">
        <f>Montagem!DE243</f>
        <v/>
      </c>
      <c r="DE70" s="131" t="str">
        <f>Montagem!DF243</f>
        <v/>
      </c>
      <c r="DF70" s="131" t="str">
        <f>Montagem!DG243</f>
        <v/>
      </c>
      <c r="DG70" s="131" t="str">
        <f>Montagem!DH243</f>
        <v/>
      </c>
      <c r="DH70" s="114"/>
      <c r="DI70" s="111">
        <f>Montagem!CW243</f>
        <v>1</v>
      </c>
      <c r="DJ70" s="111" t="str">
        <f>Montagem!DI243</f>
        <v/>
      </c>
      <c r="DK70" s="111" t="str">
        <f>Montagem!CX243</f>
        <v/>
      </c>
      <c r="DL70" s="145" t="str">
        <f>Montagem!DJ243</f>
        <v/>
      </c>
      <c r="DM70" s="106" t="str">
        <f>IF(DL70="",DJ70,DL70)</f>
        <v/>
      </c>
      <c r="DN70" s="106" t="str">
        <f>IF(DJ71="C",'Dados de Base'!$D$5*0.1,IF(DJ71="E",5,IF(DH70="",DM70,DH70)))</f>
        <v/>
      </c>
      <c r="DO70" s="108"/>
      <c r="DP70" s="106"/>
      <c r="DQ70" s="106"/>
      <c r="DR70" s="106"/>
      <c r="DS70" s="106"/>
      <c r="DT70" s="106"/>
      <c r="DU70" s="106"/>
      <c r="DV70" s="106"/>
      <c r="DW70" s="106"/>
      <c r="DX70" s="106"/>
      <c r="DY70" s="106"/>
    </row>
    <row r="71">
      <c r="A71" s="117" t="str">
        <f>IF(A70="","",IFS(L71="A",Montagem!$C$230,N71="T","Realizar a maior quantidade de repetições por "&amp;F70&amp;" segundos | ",N71="I",IF(M71="U","Manter a posição por "&amp;F70&amp;" segundos de um lado e trocar para o outro na sequência | ","Manter a posição por "&amp;F70&amp;" segundos | "),M71="A","Realizar alternadamente "&amp;F70&amp;" repetições cada lado | ",M71="U","Realizar "&amp;F70&amp;" repetições de um lado e trocar para o outro na sequência | ",L71="P",OFFSET(Biblioteca!$H$2,MATCH(M70,Biblioteca!$A$3:$A$200,0),0),TRUE,""))</f>
        <v/>
      </c>
      <c r="E71" s="118" t="str">
        <f>IF(A70="","",IFS(L71="H","Carga Sugerida: "&amp;ROUNDUP(O70/2,0)&amp;" kg de cada lado (Total: "&amp;ROUNDUP(O70/2,0)*2&amp;" kg)",L71="C","Este exercício usa o Peso Corporal como carga",L71="E","Este exercício usa a resistência da banda elástica como carga",L71="O","Carga Sugerida: "&amp;INT(O70)&amp;" kg",TRUE,""))</f>
        <v/>
      </c>
      <c r="J71" s="66"/>
      <c r="K71" s="106">
        <f>K70</f>
        <v>1</v>
      </c>
      <c r="L71" s="120" t="str">
        <f>LEFT(O71)</f>
        <v/>
      </c>
      <c r="M71" s="121" t="str">
        <f>MID(O71,2,1)</f>
        <v/>
      </c>
      <c r="N71" s="122" t="str">
        <f>RIGHT(O71)</f>
        <v/>
      </c>
      <c r="O71" s="123" t="str">
        <f>IF(M70="","",OFFSET(Biblioteca!$I$2,MATCH(M70,Biblioteca!$A$3:$A$200,0),0))</f>
        <v/>
      </c>
      <c r="P71" s="124"/>
      <c r="Q71" s="125"/>
      <c r="R71" s="117" t="str">
        <f>IF(R70="","",IFS(AC71="A",Montagem!$D$230,AE71="T","Realizar a maior quantidade de repetições por "&amp;W70&amp;" segundos | ",AE71="I",IF(AD71="U","Manter a posição por "&amp;W70&amp;" segundos de um lado e trocar para o outro na sequência | ","Manter a posição por "&amp;W70&amp;" segundos | "),AD71="A","Realizar alternadamente "&amp;W70&amp;" repetições cada lado | ",AD71="U","Realizar "&amp;W70&amp;" repetições de um lado e trocar para o outro na sequência | ",AC71="P",OFFSET(Biblioteca!$H$2,MATCH(AD70,Biblioteca!$A$3:$A$200,0),0),TRUE,""))</f>
        <v/>
      </c>
      <c r="V71" s="118" t="str">
        <f>IF(R70="","",IFS(AC71="H","Carga Sugerida: "&amp;ROUNDUP(AF70/2,0)&amp;" kg de cada lado (Total: "&amp;ROUNDUP(AF70/2,0)*2&amp;" kg)",AC71="C","Este exercício usa o Peso Corporal como carga",AC71="E","Este exercício usa a resistência da banda elástica como carga",AC71="O","Carga Sugerida: "&amp;INT(AF70)&amp;" kg",TRUE,""))</f>
        <v/>
      </c>
      <c r="AA71" s="66"/>
      <c r="AB71" s="111">
        <f>AB70</f>
        <v>1</v>
      </c>
      <c r="AC71" s="120" t="str">
        <f>LEFT(AF71)</f>
        <v/>
      </c>
      <c r="AD71" s="121" t="str">
        <f>MID(AF71,2,1)</f>
        <v/>
      </c>
      <c r="AE71" s="122" t="str">
        <f>RIGHT(AF71)</f>
        <v/>
      </c>
      <c r="AF71" s="123" t="str">
        <f>IF(AD70="","",OFFSET(Biblioteca!$I$2,MATCH(AD70,Biblioteca!$A$3:$A$200,0),0))</f>
        <v/>
      </c>
      <c r="AG71" s="124"/>
      <c r="AH71" s="125"/>
      <c r="AI71" s="117" t="str">
        <f>IF(AI70="","",IFS(AT71="A",Montagem!$E$230,AV71="T","Realizar a maior quantidade de repetições por "&amp;AN70&amp;" segundos | ",AV71="I",IF(AU71="U","Manter a posição por "&amp;AN70&amp;" segundos de um lado e trocar para o outro na sequência | ","Manter a posição por "&amp;AN70&amp;" segundos | "),AU71="A","Realizar alternadamente "&amp;AN70&amp;" repetições cada lado | ",AU71="U","Realizar "&amp;AN70&amp;" repetições de um lado e trocar para o outro na sequência | ",AT71="P",OFFSET(Biblioteca!$H$2,MATCH(AU70,Biblioteca!$A$3:$A$200,0),0),TRUE,""))</f>
        <v/>
      </c>
      <c r="AM71" s="118" t="str">
        <f>IF(AI70="","",IFS(AT71="H","Carga Sugerida: "&amp;ROUNDUP(AW70/2,0)&amp;" kg de cada lado (Total: "&amp;ROUNDUP(AW70/2,0)*2&amp;" kg)",AT71="C","Este exercício usa o Peso Corporal como carga",AT71="E","Este exercício usa a resistência da banda elástica como carga",AT71="O","Carga Sugerida: "&amp;INT(AW70)&amp;" kg",TRUE,""))</f>
        <v/>
      </c>
      <c r="AR71" s="66"/>
      <c r="AS71" s="111">
        <f>AS70</f>
        <v>1</v>
      </c>
      <c r="AT71" s="120" t="str">
        <f>LEFT(AW71)</f>
        <v/>
      </c>
      <c r="AU71" s="121" t="str">
        <f>MID(AW71,2,1)</f>
        <v/>
      </c>
      <c r="AV71" s="122" t="str">
        <f>RIGHT(AW71)</f>
        <v/>
      </c>
      <c r="AW71" s="123" t="str">
        <f>IF(AU70="","",OFFSET(Biblioteca!$I$2,MATCH(AU70,Biblioteca!$A$3:$A$200,0),0))</f>
        <v/>
      </c>
      <c r="AX71" s="124"/>
      <c r="AY71" s="125"/>
      <c r="AZ71" s="117" t="str">
        <f>IF(AZ70="","",IFS(BK71="A",Montagem!$F$230,BM71="T","Realizar a maior quantidade de repetições por "&amp;BE70&amp;" segundos | ",BM71="I",IF(BL71="U","Manter a posição por "&amp;BE70&amp;" segundos de um lado e trocar para o outro na sequência | ","Manter a posição por "&amp;BE70&amp;" segundos | "),BL71="A","Realizar alternadamente "&amp;BE70&amp;" repetições cada lado | ",BL71="U","Realizar "&amp;BE70&amp;" repetições de um lado e trocar para o outro na sequência | ",BK71="P",OFFSET(Biblioteca!$H$2,MATCH(BL70,Biblioteca!$A$3:$A$200,0),0),TRUE,""))</f>
        <v/>
      </c>
      <c r="BD71" s="118" t="str">
        <f>IF(AZ70="","",IFS(BK71="H","Carga Sugerida: "&amp;ROUNDUP(BN70/2,0)&amp;" kg de cada lado (Total: "&amp;ROUNDUP(BN70/2,0)*2&amp;" kg)",BK71="C","Este exercício usa o Peso Corporal como carga",BK71="E","Este exercício usa a resistência da banda elástica como carga",BK71="O","Carga Sugerida: "&amp;INT(BN70)&amp;" kg",TRUE,""))</f>
        <v/>
      </c>
      <c r="BI71" s="66"/>
      <c r="BJ71" s="111">
        <f>BJ70</f>
        <v>1</v>
      </c>
      <c r="BK71" s="120" t="str">
        <f>LEFT(BN71)</f>
        <v/>
      </c>
      <c r="BL71" s="121" t="str">
        <f>MID(BN71,2,1)</f>
        <v/>
      </c>
      <c r="BM71" s="122" t="str">
        <f>RIGHT(BN71)</f>
        <v/>
      </c>
      <c r="BN71" s="123" t="str">
        <f>IF(BL70="","",OFFSET(Biblioteca!$I$2,MATCH(BL70,Biblioteca!$A$3:$A$200,0),0))</f>
        <v/>
      </c>
      <c r="BO71" s="124"/>
      <c r="BP71" s="125"/>
      <c r="BQ71" s="117" t="str">
        <f>IF(BQ70="","",IFS(CB71="A",Montagem!$G$230,CD71="T","Realizar a maior quantidade de repetições por "&amp;BV70&amp;" segundos | ",CD71="I",IF(CC71="U","Manter a posição por "&amp;BV70&amp;" segundos de um lado e trocar para o outro na sequência | ","Manter a posição por "&amp;BV70&amp;" segundos | "),CC71="A","Realizar alternadamente "&amp;BV70&amp;" repetições cada lado | ",CC71="U","Realizar "&amp;BV70&amp;" repetições de um lado e trocar para o outro na sequência | ",CB71="P",OFFSET(Biblioteca!$H$2,MATCH(CC70,Biblioteca!$A$3:$A$200,0),0),TRUE,""))</f>
        <v/>
      </c>
      <c r="BU71" s="118" t="str">
        <f>IF(BQ70="","",IFS(CB71="H","Carga Sugerida: "&amp;ROUNDUP(CE70/2,0)&amp;" kg de cada lado (Total: "&amp;ROUNDUP(CE70/2,0)*2&amp;" kg)",CB71="C","Este exercício usa o Peso Corporal como carga",CB71="E","Este exercício usa a resistência da banda elástica como carga",CB71="O","Carga Sugerida: "&amp;INT(CE70)&amp;" kg",TRUE,""))</f>
        <v/>
      </c>
      <c r="BZ71" s="66"/>
      <c r="CA71" s="111">
        <f>CA70</f>
        <v>1</v>
      </c>
      <c r="CB71" s="120" t="str">
        <f>LEFT(CE71)</f>
        <v/>
      </c>
      <c r="CC71" s="121" t="str">
        <f>MID(CE71,2,1)</f>
        <v/>
      </c>
      <c r="CD71" s="122" t="str">
        <f>RIGHT(CE71)</f>
        <v/>
      </c>
      <c r="CE71" s="123" t="str">
        <f>IF(CC70="","",OFFSET(Biblioteca!$I$2,MATCH(CC70,Biblioteca!$A$3:$A$200,0),0))</f>
        <v/>
      </c>
      <c r="CF71" s="124"/>
      <c r="CG71" s="125"/>
      <c r="CH71" s="117" t="str">
        <f>IF(CH70="","",IFS(CS71="A",Montagem!$H$230,CU71="T","Realizar a maior quantidade de repetições por "&amp;CM70&amp;" segundos | ",CU71="I",IF(CT71="U","Manter a posição por "&amp;CM70&amp;" segundos de um lado e trocar para o outro na sequência | ","Manter a posição por "&amp;CM70&amp;" segundos | "),CT71="A","Realizar alternadamente "&amp;CM70&amp;" repetições cada lado | ",CT71="U","Realizar "&amp;CM70&amp;" repetições de um lado e trocar para o outro na sequência | ",CS71="P",OFFSET(Biblioteca!$H$2,MATCH(CT70,Biblioteca!$A$3:$A$200,0),0),TRUE,""))</f>
        <v/>
      </c>
      <c r="CL71" s="118" t="str">
        <f>IF(CH70="","",IFS(CS71="H","Carga Sugerida: "&amp;ROUNDUP(CV70/2,0)&amp;" kg de cada lado (Total: "&amp;ROUNDUP(CV70/2,0)*2&amp;" kg)",CS71="C","Este exercício usa o Peso Corporal como carga",CS71="E","Este exercício usa a resistência da banda elástica como carga",CS71="O","Carga Sugerida: "&amp;INT(CV70)&amp;" kg",TRUE,""))</f>
        <v/>
      </c>
      <c r="CQ71" s="66"/>
      <c r="CR71" s="111">
        <f>CR70</f>
        <v>1</v>
      </c>
      <c r="CS71" s="120" t="str">
        <f>LEFT(CV71)</f>
        <v/>
      </c>
      <c r="CT71" s="121" t="str">
        <f>MID(CV71,2,1)</f>
        <v/>
      </c>
      <c r="CU71" s="122" t="str">
        <f>RIGHT(CV71)</f>
        <v/>
      </c>
      <c r="CV71" s="123" t="str">
        <f>IF(CT70="","",OFFSET(Biblioteca!$I$2,MATCH(CT70,Biblioteca!$A$3:$A$200,0),0))</f>
        <v/>
      </c>
      <c r="CW71" s="124"/>
      <c r="CX71" s="125"/>
      <c r="CY71" s="117" t="str">
        <f>IF(CY70="","",IFS(DJ71="A",Montagem!$I$230,DL71="T","Realizar a maior quantidade de repetições por "&amp;DD70&amp;" segundos | ",DL71="I",IF(DK71="U","Manter a posição por "&amp;DD70&amp;" segundos de um lado e trocar para o outro na sequência | ","Manter a posição por "&amp;DD70&amp;" segundos | "),DK71="A","Realizar alternadamente "&amp;DD70&amp;" repetições cada lado | ",DK71="U","Realizar "&amp;DD70&amp;" repetições de um lado e trocar para o outro na sequência | ",DJ71="P",OFFSET(Biblioteca!$H$2,MATCH(DK70,Biblioteca!$A$3:$A$200,0),0),TRUE,""))</f>
        <v/>
      </c>
      <c r="DC71" s="118" t="str">
        <f>IF(CY70="","",IFS(DJ71="H","Carga Sugerida: "&amp;ROUNDUP(DM70/2,0)&amp;" kg de cada lado (Total: "&amp;ROUNDUP(DM70/2,0)*2&amp;" kg)",DJ71="C","Este exercício usa o Peso Corporal como carga",DJ71="E","Este exercício usa a resistência da banda elástica como carga",DJ71="O","Carga Sugerida: "&amp;INT(DM70)&amp;" kg",TRUE,""))</f>
        <v/>
      </c>
      <c r="DH71" s="66"/>
      <c r="DI71" s="111">
        <f>DI70</f>
        <v>1</v>
      </c>
      <c r="DJ71" s="120" t="str">
        <f>LEFT(DM71)</f>
        <v/>
      </c>
      <c r="DK71" s="121" t="str">
        <f>MID(DM71,2,1)</f>
        <v/>
      </c>
      <c r="DL71" s="122" t="str">
        <f>RIGHT(DM71)</f>
        <v/>
      </c>
      <c r="DM71" s="123" t="str">
        <f>IF(DK70="","",OFFSET(Biblioteca!$I$2,MATCH(DK70,Biblioteca!$A$3:$A$200,0),0))</f>
        <v/>
      </c>
      <c r="DN71" s="124"/>
      <c r="DO71" s="125"/>
      <c r="DP71" s="57"/>
      <c r="DQ71" s="56"/>
      <c r="DR71" s="56"/>
      <c r="DS71" s="56"/>
      <c r="DT71" s="56"/>
      <c r="DU71" s="56"/>
      <c r="DV71" s="56"/>
      <c r="DW71" s="56"/>
      <c r="DX71" s="56"/>
      <c r="DY71" s="56"/>
    </row>
    <row r="72">
      <c r="A72" s="115" t="str">
        <f>IF(M72="","",HYPERLINK(OFFSET(Biblioteca!$B$2,MATCH(M72,Biblioteca!$A$3:$A$200,0),0),M72))</f>
        <v/>
      </c>
      <c r="D72" s="103" t="str">
        <f>Montagem!Q244</f>
        <v/>
      </c>
      <c r="E72" s="104" t="str">
        <f>Montagem!R244</f>
        <v/>
      </c>
      <c r="F72" s="104" t="str">
        <f>Montagem!S244</f>
        <v/>
      </c>
      <c r="G72" s="104" t="str">
        <f>Montagem!T244</f>
        <v/>
      </c>
      <c r="H72" s="104" t="str">
        <f>Montagem!U244</f>
        <v/>
      </c>
      <c r="I72" s="104" t="str">
        <f>Montagem!V244</f>
        <v/>
      </c>
      <c r="J72" s="144"/>
      <c r="K72" s="106">
        <f>Montagem!K244</f>
        <v>1</v>
      </c>
      <c r="L72" s="111" t="str">
        <f>Montagem!W244</f>
        <v/>
      </c>
      <c r="M72" s="111" t="str">
        <f>Montagem!L244</f>
        <v/>
      </c>
      <c r="N72" s="111" t="str">
        <f>Montagem!X244</f>
        <v/>
      </c>
      <c r="O72" s="106" t="str">
        <f>IF(N72="",L72,N72)</f>
        <v/>
      </c>
      <c r="P72" s="106" t="str">
        <f>IF(L73="C",'Dados de Base'!$D$5*0.1,IF(L73="E",5,IF(J72="",O72,J72)))</f>
        <v/>
      </c>
      <c r="Q72" s="108"/>
      <c r="R72" s="115" t="str">
        <f>IF(AD72="","",HYPERLINK(OFFSET(Biblioteca!$B$2,MATCH(AD72,Biblioteca!$A$3:$A$200,0),0),AD72))</f>
        <v/>
      </c>
      <c r="U72" s="109" t="str">
        <f>Montagem!AF244</f>
        <v/>
      </c>
      <c r="V72" s="110" t="str">
        <f>Montagem!AG244</f>
        <v/>
      </c>
      <c r="W72" s="110" t="str">
        <f>Montagem!AH244</f>
        <v/>
      </c>
      <c r="X72" s="110" t="str">
        <f>Montagem!AI244</f>
        <v/>
      </c>
      <c r="Y72" s="110" t="str">
        <f>Montagem!AJ244</f>
        <v/>
      </c>
      <c r="Z72" s="110" t="str">
        <f>Montagem!AK244</f>
        <v/>
      </c>
      <c r="AA72" s="114"/>
      <c r="AB72" s="111">
        <f>Montagem!Z244</f>
        <v>1</v>
      </c>
      <c r="AC72" s="111" t="str">
        <f>Montagem!AL244</f>
        <v/>
      </c>
      <c r="AD72" s="129" t="str">
        <f>Montagem!AA244</f>
        <v/>
      </c>
      <c r="AE72" s="111" t="str">
        <f>Montagem!AM244</f>
        <v/>
      </c>
      <c r="AF72" s="106" t="str">
        <f>IF(AE72="",AC72,AE72)</f>
        <v/>
      </c>
      <c r="AG72" s="106" t="str">
        <f>IF(AC73="C",'Dados de Base'!$D$5*0.1,IF(AC73="E",5,IF(AA72="",AF72,AA72)))</f>
        <v/>
      </c>
      <c r="AH72" s="108"/>
      <c r="AI72" s="115" t="str">
        <f>IF(AU72="","",HYPERLINK(OFFSET(Biblioteca!$B$2,MATCH(AU72,Biblioteca!$A$3:$A$200,0),0),AU72))</f>
        <v/>
      </c>
      <c r="AL72" s="109" t="str">
        <f>Montagem!AU244</f>
        <v/>
      </c>
      <c r="AM72" s="110" t="str">
        <f>Montagem!AV244</f>
        <v/>
      </c>
      <c r="AN72" s="110" t="str">
        <f>Montagem!AW244</f>
        <v/>
      </c>
      <c r="AO72" s="110" t="str">
        <f>Montagem!AX244</f>
        <v/>
      </c>
      <c r="AP72" s="110" t="str">
        <f>Montagem!AY244</f>
        <v/>
      </c>
      <c r="AQ72" s="110" t="str">
        <f>Montagem!AZ244</f>
        <v/>
      </c>
      <c r="AR72" s="114"/>
      <c r="AS72" s="111">
        <f>Montagem!AO244</f>
        <v>1</v>
      </c>
      <c r="AT72" s="111" t="str">
        <f>Montagem!BA244</f>
        <v/>
      </c>
      <c r="AU72" s="111" t="str">
        <f>Montagem!AP244</f>
        <v/>
      </c>
      <c r="AV72" s="111" t="str">
        <f>Montagem!BB244</f>
        <v/>
      </c>
      <c r="AW72" s="106" t="str">
        <f>IF(AV72="",AT72,AV72)</f>
        <v/>
      </c>
      <c r="AX72" s="106" t="str">
        <f>IF(AT73="C",'Dados de Base'!$D$5*0.1,IF(AT73="E",5,IF(AR72="",AW72,AR72)))</f>
        <v/>
      </c>
      <c r="AY72" s="108"/>
      <c r="AZ72" s="115" t="str">
        <f>IF(BL72="","",HYPERLINK(OFFSET(Biblioteca!$B$2,MATCH(BL72,Biblioteca!$A$3:$A$200,0),0),BL72))</f>
        <v/>
      </c>
      <c r="BC72" s="109" t="str">
        <f>Montagem!BJ244</f>
        <v/>
      </c>
      <c r="BD72" s="110" t="str">
        <f>Montagem!BK244</f>
        <v/>
      </c>
      <c r="BE72" s="110" t="str">
        <f>Montagem!BL244</f>
        <v/>
      </c>
      <c r="BF72" s="110" t="str">
        <f>Montagem!BM244</f>
        <v/>
      </c>
      <c r="BG72" s="110" t="str">
        <f>Montagem!BN244</f>
        <v/>
      </c>
      <c r="BH72" s="110" t="str">
        <f>Montagem!BO244</f>
        <v/>
      </c>
      <c r="BI72" s="114"/>
      <c r="BJ72" s="111">
        <f>Montagem!BD244</f>
        <v>1</v>
      </c>
      <c r="BK72" s="111" t="str">
        <f>Montagem!BP244</f>
        <v/>
      </c>
      <c r="BL72" s="111" t="str">
        <f>Montagem!BE244</f>
        <v/>
      </c>
      <c r="BM72" s="111" t="str">
        <f>Montagem!BQ244</f>
        <v/>
      </c>
      <c r="BN72" s="106" t="str">
        <f>IF(BM72="",BK72,BM72)</f>
        <v/>
      </c>
      <c r="BO72" s="106" t="str">
        <f>IF(BK73="C",'Dados de Base'!$D$5*0.1,IF(BK73="E",5,IF(BI72="",BN72,BI72)))</f>
        <v/>
      </c>
      <c r="BP72" s="108"/>
      <c r="BQ72" s="115" t="str">
        <f>IF(CC72="","",HYPERLINK(OFFSET(Biblioteca!$B$2,MATCH(CC72,Biblioteca!$A$3:$A$200,0),0),CC72))</f>
        <v/>
      </c>
      <c r="BT72" s="109" t="str">
        <f>Montagem!BY244</f>
        <v/>
      </c>
      <c r="BU72" s="110" t="str">
        <f>Montagem!BZ244</f>
        <v/>
      </c>
      <c r="BV72" s="110" t="str">
        <f>Montagem!CA244</f>
        <v/>
      </c>
      <c r="BW72" s="110" t="str">
        <f>Montagem!CB244</f>
        <v/>
      </c>
      <c r="BX72" s="110" t="str">
        <f>Montagem!CC244</f>
        <v/>
      </c>
      <c r="BY72" s="110" t="str">
        <f>Montagem!CD244</f>
        <v/>
      </c>
      <c r="BZ72" s="114"/>
      <c r="CA72" s="111">
        <f>Montagem!BS244</f>
        <v>1</v>
      </c>
      <c r="CB72" s="111" t="str">
        <f>Montagem!CE244</f>
        <v/>
      </c>
      <c r="CC72" s="111" t="str">
        <f>Montagem!BT244</f>
        <v/>
      </c>
      <c r="CD72" s="111" t="str">
        <f>Montagem!CF244</f>
        <v/>
      </c>
      <c r="CE72" s="106" t="str">
        <f>IF(CD72="",CB72,CD72)</f>
        <v/>
      </c>
      <c r="CF72" s="106" t="str">
        <f>IF(CB73="C",'Dados de Base'!$D$5*0.1,IF(CB73="E",5,IF(BZ72="",CE72,BZ72)))</f>
        <v/>
      </c>
      <c r="CG72" s="108"/>
      <c r="CH72" s="115" t="str">
        <f>IF(CT72="","",HYPERLINK(OFFSET(Biblioteca!$B$2,MATCH(CT72,Biblioteca!$A$3:$A$200,0),0),CT72))</f>
        <v/>
      </c>
      <c r="CK72" s="109" t="str">
        <f>Montagem!CN244</f>
        <v/>
      </c>
      <c r="CL72" s="110" t="str">
        <f>Montagem!CO244</f>
        <v/>
      </c>
      <c r="CM72" s="110" t="str">
        <f>Montagem!CP244</f>
        <v/>
      </c>
      <c r="CN72" s="110" t="str">
        <f>Montagem!CQ244</f>
        <v/>
      </c>
      <c r="CO72" s="110" t="str">
        <f>Montagem!CR244</f>
        <v/>
      </c>
      <c r="CP72" s="110" t="str">
        <f>Montagem!CS244</f>
        <v/>
      </c>
      <c r="CQ72" s="114"/>
      <c r="CR72" s="111">
        <f>Montagem!CH244</f>
        <v>1</v>
      </c>
      <c r="CS72" s="111" t="str">
        <f>Montagem!CT244</f>
        <v/>
      </c>
      <c r="CT72" s="111" t="str">
        <f>Montagem!CI244</f>
        <v/>
      </c>
      <c r="CU72" s="145" t="str">
        <f>Montagem!CU244</f>
        <v/>
      </c>
      <c r="CV72" s="106" t="str">
        <f>IF(CU72="",CS72,CU72)</f>
        <v/>
      </c>
      <c r="CW72" s="106" t="str">
        <f>IF(CS73="C",'Dados de Base'!$D$5*0.1,IF(CS73="E",5,IF(CQ72="",CV72,CQ72)))</f>
        <v/>
      </c>
      <c r="CX72" s="108"/>
      <c r="CY72" s="115" t="str">
        <f>IF(DK72="","",HYPERLINK(OFFSET(Biblioteca!$B$2,MATCH(DK72,Biblioteca!$A$3:$A$200,0),0),DK72))</f>
        <v/>
      </c>
      <c r="DB72" s="130" t="str">
        <f>Montagem!DC244</f>
        <v/>
      </c>
      <c r="DC72" s="131" t="str">
        <f>Montagem!DD244</f>
        <v/>
      </c>
      <c r="DD72" s="131" t="str">
        <f>Montagem!DE244</f>
        <v/>
      </c>
      <c r="DE72" s="131" t="str">
        <f>Montagem!DF244</f>
        <v/>
      </c>
      <c r="DF72" s="131" t="str">
        <f>Montagem!DG244</f>
        <v/>
      </c>
      <c r="DG72" s="131" t="str">
        <f>Montagem!DH244</f>
        <v/>
      </c>
      <c r="DH72" s="114"/>
      <c r="DI72" s="111">
        <f>Montagem!CW244</f>
        <v>1</v>
      </c>
      <c r="DJ72" s="111" t="str">
        <f>Montagem!DI244</f>
        <v/>
      </c>
      <c r="DK72" s="111" t="str">
        <f>Montagem!CX244</f>
        <v/>
      </c>
      <c r="DL72" s="145" t="str">
        <f>Montagem!DJ244</f>
        <v/>
      </c>
      <c r="DM72" s="106" t="str">
        <f>IF(DL72="",DJ72,DL72)</f>
        <v/>
      </c>
      <c r="DN72" s="106" t="str">
        <f>IF(DJ73="C",'Dados de Base'!$D$5*0.1,IF(DJ73="E",5,IF(DH72="",DM72,DH72)))</f>
        <v/>
      </c>
      <c r="DO72" s="108"/>
      <c r="DP72" s="106"/>
      <c r="DQ72" s="106"/>
      <c r="DR72" s="106"/>
      <c r="DS72" s="106"/>
      <c r="DT72" s="106"/>
      <c r="DU72" s="106"/>
      <c r="DV72" s="106"/>
      <c r="DW72" s="106"/>
      <c r="DX72" s="106"/>
      <c r="DY72" s="106"/>
    </row>
    <row r="73">
      <c r="A73" s="117" t="str">
        <f>IF(A72="","",IFS(L73="A",Montagem!$C$230,N73="T","Realizar a maior quantidade de repetições por "&amp;F72&amp;" segundos | ",N73="I",IF(M73="U","Manter a posição por "&amp;F72&amp;" segundos de um lado e trocar para o outro na sequência | ","Manter a posição por "&amp;F72&amp;" segundos | "),M73="A","Realizar alternadamente "&amp;F72&amp;" repetições cada lado | ",M73="U","Realizar "&amp;F72&amp;" repetições de um lado e trocar para o outro na sequência | ",L73="P",OFFSET(Biblioteca!$H$2,MATCH(M72,Biblioteca!$A$3:$A$200,0),0),TRUE,""))</f>
        <v/>
      </c>
      <c r="E73" s="118" t="str">
        <f>IF(A72="","",IFS(L73="H","Carga Sugerida: "&amp;ROUNDUP(O72/2,0)&amp;" kg de cada lado (Total: "&amp;ROUNDUP(O72/2,0)*2&amp;" kg)",L73="C","Este exercício usa o Peso Corporal como carga",L73="E","Este exercício usa a resistência da banda elástica como carga",L73="O","Carga Sugerida: "&amp;INT(O72)&amp;" kg",TRUE,""))</f>
        <v/>
      </c>
      <c r="J73" s="66"/>
      <c r="K73" s="106">
        <f>K72</f>
        <v>1</v>
      </c>
      <c r="L73" s="120" t="str">
        <f>LEFT(O73)</f>
        <v/>
      </c>
      <c r="M73" s="121" t="str">
        <f>MID(O73,2,1)</f>
        <v/>
      </c>
      <c r="N73" s="122" t="str">
        <f>RIGHT(O73)</f>
        <v/>
      </c>
      <c r="O73" s="123" t="str">
        <f>IF(M72="","",OFFSET(Biblioteca!$I$2,MATCH(M72,Biblioteca!$A$3:$A$200,0),0))</f>
        <v/>
      </c>
      <c r="P73" s="124"/>
      <c r="Q73" s="125"/>
      <c r="R73" s="117" t="str">
        <f>IF(R72="","",IFS(AC73="A",Montagem!$D$230,AE73="T","Realizar a maior quantidade de repetições por "&amp;W72&amp;" segundos | ",AE73="I",IF(AD73="U","Manter a posição por "&amp;W72&amp;" segundos de um lado e trocar para o outro na sequência | ","Manter a posição por "&amp;W72&amp;" segundos | "),AD73="A","Realizar alternadamente "&amp;W72&amp;" repetições cada lado | ",AD73="U","Realizar "&amp;W72&amp;" repetições de um lado e trocar para o outro na sequência | ",AC73="P",OFFSET(Biblioteca!$H$2,MATCH(AD72,Biblioteca!$A$3:$A$200,0),0),TRUE,""))</f>
        <v/>
      </c>
      <c r="V73" s="118" t="str">
        <f>IF(R72="","",IFS(AC73="H","Carga Sugerida: "&amp;ROUNDUP(AF72/2,0)&amp;" kg de cada lado (Total: "&amp;ROUNDUP(AF72/2,0)*2&amp;" kg)",AC73="C","Este exercício usa o Peso Corporal como carga",AC73="E","Este exercício usa a resistência da banda elástica como carga",AC73="O","Carga Sugerida: "&amp;INT(AF72)&amp;" kg",TRUE,""))</f>
        <v/>
      </c>
      <c r="AA73" s="66"/>
      <c r="AB73" s="111">
        <f>AB72</f>
        <v>1</v>
      </c>
      <c r="AC73" s="120" t="str">
        <f>LEFT(AF73)</f>
        <v/>
      </c>
      <c r="AD73" s="121" t="str">
        <f>MID(AF73,2,1)</f>
        <v/>
      </c>
      <c r="AE73" s="122" t="str">
        <f>RIGHT(AF73)</f>
        <v/>
      </c>
      <c r="AF73" s="123" t="str">
        <f>IF(AD72="","",OFFSET(Biblioteca!$I$2,MATCH(AD72,Biblioteca!$A$3:$A$200,0),0))</f>
        <v/>
      </c>
      <c r="AG73" s="124"/>
      <c r="AH73" s="125"/>
      <c r="AI73" s="117" t="str">
        <f>IF(AI72="","",IFS(AT73="A",Montagem!$E$230,AV73="T","Realizar a maior quantidade de repetições por "&amp;AN72&amp;" segundos | ",AV73="I",IF(AU73="U","Manter a posição por "&amp;AN72&amp;" segundos de um lado e trocar para o outro na sequência | ","Manter a posição por "&amp;AN72&amp;" segundos | "),AU73="A","Realizar alternadamente "&amp;AN72&amp;" repetições cada lado | ",AU73="U","Realizar "&amp;AN72&amp;" repetições de um lado e trocar para o outro na sequência | ",AT73="P",OFFSET(Biblioteca!$H$2,MATCH(AU72,Biblioteca!$A$3:$A$200,0),0),TRUE,""))</f>
        <v/>
      </c>
      <c r="AM73" s="118" t="str">
        <f>IF(AI72="","",IFS(AT73="H","Carga Sugerida: "&amp;ROUNDUP(AW72/2,0)&amp;" kg de cada lado (Total: "&amp;ROUNDUP(AW72/2,0)*2&amp;" kg)",AT73="C","Este exercício usa o Peso Corporal como carga",AT73="E","Este exercício usa a resistência da banda elástica como carga",AT73="O","Carga Sugerida: "&amp;INT(AW72)&amp;" kg",TRUE,""))</f>
        <v/>
      </c>
      <c r="AR73" s="66"/>
      <c r="AS73" s="111">
        <f>AS72</f>
        <v>1</v>
      </c>
      <c r="AT73" s="120" t="str">
        <f>LEFT(AW73)</f>
        <v/>
      </c>
      <c r="AU73" s="121" t="str">
        <f>MID(AW73,2,1)</f>
        <v/>
      </c>
      <c r="AV73" s="122" t="str">
        <f>RIGHT(AW73)</f>
        <v/>
      </c>
      <c r="AW73" s="123" t="str">
        <f>IF(AU72="","",OFFSET(Biblioteca!$I$2,MATCH(AU72,Biblioteca!$A$3:$A$200,0),0))</f>
        <v/>
      </c>
      <c r="AX73" s="124"/>
      <c r="AY73" s="125"/>
      <c r="AZ73" s="117" t="str">
        <f>IF(AZ72="","",IFS(BK73="A",Montagem!$F$230,BM73="T","Realizar a maior quantidade de repetições por "&amp;BE72&amp;" segundos | ",BM73="I",IF(BL73="U","Manter a posição por "&amp;BE72&amp;" segundos de um lado e trocar para o outro na sequência | ","Manter a posição por "&amp;BE72&amp;" segundos | "),BL73="A","Realizar alternadamente "&amp;BE72&amp;" repetições cada lado | ",BL73="U","Realizar "&amp;BE72&amp;" repetições de um lado e trocar para o outro na sequência | ",BK73="P",OFFSET(Biblioteca!$H$2,MATCH(BL72,Biblioteca!$A$3:$A$200,0),0),TRUE,""))</f>
        <v/>
      </c>
      <c r="BD73" s="118" t="str">
        <f>IF(AZ72="","",IFS(BK73="H","Carga Sugerida: "&amp;ROUNDUP(BN72/2,0)&amp;" kg de cada lado (Total: "&amp;ROUNDUP(BN72/2,0)*2&amp;" kg)",BK73="C","Este exercício usa o Peso Corporal como carga",BK73="E","Este exercício usa a resistência da banda elástica como carga",BK73="O","Carga Sugerida: "&amp;INT(BN72)&amp;" kg",TRUE,""))</f>
        <v/>
      </c>
      <c r="BI73" s="66"/>
      <c r="BJ73" s="111">
        <f>BJ72</f>
        <v>1</v>
      </c>
      <c r="BK73" s="120" t="str">
        <f>LEFT(BN73)</f>
        <v/>
      </c>
      <c r="BL73" s="121" t="str">
        <f>MID(BN73,2,1)</f>
        <v/>
      </c>
      <c r="BM73" s="122" t="str">
        <f>RIGHT(BN73)</f>
        <v/>
      </c>
      <c r="BN73" s="123" t="str">
        <f>IF(BL72="","",OFFSET(Biblioteca!$I$2,MATCH(BL72,Biblioteca!$A$3:$A$200,0),0))</f>
        <v/>
      </c>
      <c r="BO73" s="124"/>
      <c r="BP73" s="125"/>
      <c r="BQ73" s="117" t="str">
        <f>IF(BQ72="","",IFS(CB73="A",Montagem!$G$230,CD73="T","Realizar a maior quantidade de repetições por "&amp;BV72&amp;" segundos | ",CD73="I",IF(CC73="U","Manter a posição por "&amp;BV72&amp;" segundos de um lado e trocar para o outro na sequência | ","Manter a posição por "&amp;BV72&amp;" segundos | "),CC73="A","Realizar alternadamente "&amp;BV72&amp;" repetições cada lado | ",CC73="U","Realizar "&amp;BV72&amp;" repetições de um lado e trocar para o outro na sequência | ",CB73="P",OFFSET(Biblioteca!$H$2,MATCH(CC72,Biblioteca!$A$3:$A$200,0),0),TRUE,""))</f>
        <v/>
      </c>
      <c r="BU73" s="118" t="str">
        <f>IF(BQ72="","",IFS(CB73="H","Carga Sugerida: "&amp;ROUNDUP(CE72/2,0)&amp;" kg de cada lado (Total: "&amp;ROUNDUP(CE72/2,0)*2&amp;" kg)",CB73="C","Este exercício usa o Peso Corporal como carga",CB73="E","Este exercício usa a resistência da banda elástica como carga",CB73="O","Carga Sugerida: "&amp;INT(CE72)&amp;" kg",TRUE,""))</f>
        <v/>
      </c>
      <c r="BZ73" s="66"/>
      <c r="CA73" s="111">
        <f>CA72</f>
        <v>1</v>
      </c>
      <c r="CB73" s="120" t="str">
        <f>LEFT(CE73)</f>
        <v/>
      </c>
      <c r="CC73" s="121" t="str">
        <f>MID(CE73,2,1)</f>
        <v/>
      </c>
      <c r="CD73" s="122" t="str">
        <f>RIGHT(CE73)</f>
        <v/>
      </c>
      <c r="CE73" s="123" t="str">
        <f>IF(CC72="","",OFFSET(Biblioteca!$I$2,MATCH(CC72,Biblioteca!$A$3:$A$200,0),0))</f>
        <v/>
      </c>
      <c r="CF73" s="124"/>
      <c r="CG73" s="125"/>
      <c r="CH73" s="117" t="str">
        <f>IF(CH72="","",IFS(CS73="A",Montagem!$H$230,CU73="T","Realizar a maior quantidade de repetições por "&amp;CM72&amp;" segundos | ",CU73="I",IF(CT73="U","Manter a posição por "&amp;CM72&amp;" segundos de um lado e trocar para o outro na sequência | ","Manter a posição por "&amp;CM72&amp;" segundos | "),CT73="A","Realizar alternadamente "&amp;CM72&amp;" repetições cada lado | ",CT73="U","Realizar "&amp;CM72&amp;" repetições de um lado e trocar para o outro na sequência | ",CS73="P",OFFSET(Biblioteca!$H$2,MATCH(CT72,Biblioteca!$A$3:$A$200,0),0),TRUE,""))</f>
        <v/>
      </c>
      <c r="CL73" s="118" t="str">
        <f>IF(CH72="","",IFS(CS73="H","Carga Sugerida: "&amp;ROUNDUP(CV72/2,0)&amp;" kg de cada lado (Total: "&amp;ROUNDUP(CV72/2,0)*2&amp;" kg)",CS73="C","Este exercício usa o Peso Corporal como carga",CS73="E","Este exercício usa a resistência da banda elástica como carga",CS73="O","Carga Sugerida: "&amp;INT(CV72)&amp;" kg",TRUE,""))</f>
        <v/>
      </c>
      <c r="CQ73" s="66"/>
      <c r="CR73" s="111">
        <f>CR72</f>
        <v>1</v>
      </c>
      <c r="CS73" s="120" t="str">
        <f>LEFT(CV73)</f>
        <v/>
      </c>
      <c r="CT73" s="121" t="str">
        <f>MID(CV73,2,1)</f>
        <v/>
      </c>
      <c r="CU73" s="122" t="str">
        <f>RIGHT(CV73)</f>
        <v/>
      </c>
      <c r="CV73" s="123" t="str">
        <f>IF(CT72="","",OFFSET(Biblioteca!$I$2,MATCH(CT72,Biblioteca!$A$3:$A$200,0),0))</f>
        <v/>
      </c>
      <c r="CW73" s="124"/>
      <c r="CX73" s="125"/>
      <c r="CY73" s="117" t="str">
        <f>IF(CY72="","",IFS(DJ73="A",Montagem!$I$230,DL73="T","Realizar a maior quantidade de repetições por "&amp;DD72&amp;" segundos | ",DL73="I",IF(DK73="U","Manter a posição por "&amp;DD72&amp;" segundos de um lado e trocar para o outro na sequência | ","Manter a posição por "&amp;DD72&amp;" segundos | "),DK73="A","Realizar alternadamente "&amp;DD72&amp;" repetições cada lado | ",DK73="U","Realizar "&amp;DD72&amp;" repetições de um lado e trocar para o outro na sequência | ",DJ73="P",OFFSET(Biblioteca!$H$2,MATCH(DK72,Biblioteca!$A$3:$A$200,0),0),TRUE,""))</f>
        <v/>
      </c>
      <c r="DC73" s="118" t="str">
        <f>IF(CY72="","",IFS(DJ73="H","Carga Sugerida: "&amp;ROUNDUP(DM72/2,0)&amp;" kg de cada lado (Total: "&amp;ROUNDUP(DM72/2,0)*2&amp;" kg)",DJ73="C","Este exercício usa o Peso Corporal como carga",DJ73="E","Este exercício usa a resistência da banda elástica como carga",DJ73="O","Carga Sugerida: "&amp;INT(DM72)&amp;" kg",TRUE,""))</f>
        <v/>
      </c>
      <c r="DH73" s="66"/>
      <c r="DI73" s="111">
        <f>DI72</f>
        <v>1</v>
      </c>
      <c r="DJ73" s="120" t="str">
        <f>LEFT(DM73)</f>
        <v/>
      </c>
      <c r="DK73" s="121" t="str">
        <f>MID(DM73,2,1)</f>
        <v/>
      </c>
      <c r="DL73" s="122" t="str">
        <f>RIGHT(DM73)</f>
        <v/>
      </c>
      <c r="DM73" s="123" t="str">
        <f>IF(DK72="","",OFFSET(Biblioteca!$I$2,MATCH(DK72,Biblioteca!$A$3:$A$200,0),0))</f>
        <v/>
      </c>
      <c r="DN73" s="124"/>
      <c r="DO73" s="125"/>
      <c r="DP73" s="57"/>
      <c r="DQ73" s="56"/>
      <c r="DR73" s="56"/>
      <c r="DS73" s="56"/>
      <c r="DT73" s="56"/>
      <c r="DU73" s="56"/>
      <c r="DV73" s="56"/>
      <c r="DW73" s="56"/>
      <c r="DX73" s="56"/>
      <c r="DY73" s="56"/>
    </row>
    <row r="74">
      <c r="A74" s="154" t="s">
        <v>49</v>
      </c>
      <c r="B74" s="155"/>
      <c r="C74" s="155"/>
      <c r="D74" s="155"/>
      <c r="E74" s="155"/>
      <c r="F74" s="155"/>
      <c r="G74" s="155"/>
      <c r="H74" s="155"/>
      <c r="I74" s="155"/>
      <c r="J74" s="156"/>
      <c r="K74" s="57"/>
      <c r="L74" s="57"/>
      <c r="M74" s="57"/>
      <c r="N74" s="57"/>
      <c r="O74" s="57"/>
      <c r="P74" s="57"/>
      <c r="Q74" s="58"/>
      <c r="R74" s="154" t="s">
        <v>49</v>
      </c>
      <c r="S74" s="155"/>
      <c r="T74" s="155"/>
      <c r="U74" s="155"/>
      <c r="V74" s="155"/>
      <c r="W74" s="155"/>
      <c r="X74" s="155"/>
      <c r="Y74" s="155"/>
      <c r="Z74" s="155"/>
      <c r="AA74" s="156"/>
      <c r="AB74" s="57"/>
      <c r="AC74" s="57"/>
      <c r="AD74" s="57"/>
      <c r="AE74" s="57"/>
      <c r="AF74" s="57"/>
      <c r="AG74" s="57"/>
      <c r="AH74" s="58"/>
      <c r="AI74" s="154" t="s">
        <v>49</v>
      </c>
      <c r="AJ74" s="155"/>
      <c r="AK74" s="155"/>
      <c r="AL74" s="155"/>
      <c r="AM74" s="155"/>
      <c r="AN74" s="155"/>
      <c r="AO74" s="155"/>
      <c r="AP74" s="155"/>
      <c r="AQ74" s="155"/>
      <c r="AR74" s="156"/>
      <c r="AS74" s="57"/>
      <c r="AT74" s="57"/>
      <c r="AU74" s="57"/>
      <c r="AV74" s="57"/>
      <c r="AW74" s="57"/>
      <c r="AX74" s="57"/>
      <c r="AY74" s="58"/>
      <c r="AZ74" s="154" t="s">
        <v>49</v>
      </c>
      <c r="BA74" s="155"/>
      <c r="BB74" s="155"/>
      <c r="BC74" s="155"/>
      <c r="BD74" s="155"/>
      <c r="BE74" s="155"/>
      <c r="BF74" s="155"/>
      <c r="BG74" s="155"/>
      <c r="BH74" s="155"/>
      <c r="BI74" s="156"/>
      <c r="BJ74" s="57"/>
      <c r="BK74" s="57"/>
      <c r="BL74" s="57"/>
      <c r="BM74" s="57"/>
      <c r="BN74" s="57"/>
      <c r="BO74" s="57"/>
      <c r="BP74" s="58"/>
      <c r="BQ74" s="154" t="s">
        <v>49</v>
      </c>
      <c r="BR74" s="155"/>
      <c r="BS74" s="155"/>
      <c r="BT74" s="155"/>
      <c r="BU74" s="155"/>
      <c r="BV74" s="155"/>
      <c r="BW74" s="155"/>
      <c r="BX74" s="155"/>
      <c r="BY74" s="155"/>
      <c r="BZ74" s="156"/>
      <c r="CA74" s="57"/>
      <c r="CB74" s="57"/>
      <c r="CC74" s="57"/>
      <c r="CD74" s="57"/>
      <c r="CE74" s="57"/>
      <c r="CF74" s="57"/>
      <c r="CG74" s="58"/>
      <c r="CH74" s="154" t="s">
        <v>49</v>
      </c>
      <c r="CI74" s="155"/>
      <c r="CJ74" s="155"/>
      <c r="CK74" s="155"/>
      <c r="CL74" s="155"/>
      <c r="CM74" s="155"/>
      <c r="CN74" s="155"/>
      <c r="CO74" s="155"/>
      <c r="CP74" s="155"/>
      <c r="CQ74" s="156"/>
      <c r="CR74" s="57"/>
      <c r="CS74" s="57"/>
      <c r="CT74" s="57"/>
      <c r="CU74" s="57"/>
      <c r="CV74" s="57"/>
      <c r="CW74" s="57"/>
      <c r="CX74" s="58"/>
      <c r="CY74" s="154" t="s">
        <v>49</v>
      </c>
      <c r="CZ74" s="155"/>
      <c r="DA74" s="155"/>
      <c r="DB74" s="155"/>
      <c r="DC74" s="155"/>
      <c r="DD74" s="155"/>
      <c r="DE74" s="155"/>
      <c r="DF74" s="155"/>
      <c r="DG74" s="155"/>
      <c r="DH74" s="156"/>
      <c r="DI74" s="57"/>
      <c r="DJ74" s="57"/>
      <c r="DK74" s="57"/>
      <c r="DL74" s="57"/>
      <c r="DM74" s="57"/>
      <c r="DN74" s="57"/>
      <c r="DO74" s="58"/>
      <c r="DP74" s="57"/>
      <c r="DQ74" s="56"/>
      <c r="DR74" s="56"/>
      <c r="DS74" s="56"/>
      <c r="DT74" s="56"/>
      <c r="DU74" s="56"/>
      <c r="DV74" s="56"/>
      <c r="DW74" s="56"/>
      <c r="DX74" s="56"/>
      <c r="DY74" s="56"/>
    </row>
    <row r="75">
      <c r="A75" s="218"/>
      <c r="J75" s="66"/>
      <c r="K75" s="158"/>
      <c r="L75" s="158"/>
      <c r="M75" s="158"/>
      <c r="N75" s="158"/>
      <c r="O75" s="158"/>
      <c r="P75" s="158"/>
      <c r="Q75" s="158"/>
      <c r="R75" s="218"/>
      <c r="AA75" s="66"/>
      <c r="AB75" s="158"/>
      <c r="AC75" s="158"/>
      <c r="AD75" s="158"/>
      <c r="AE75" s="158"/>
      <c r="AF75" s="158"/>
      <c r="AG75" s="158"/>
      <c r="AH75" s="158"/>
      <c r="AI75" s="159"/>
      <c r="AR75" s="66"/>
      <c r="AS75" s="158"/>
      <c r="AT75" s="158"/>
      <c r="AU75" s="158"/>
      <c r="AV75" s="158"/>
      <c r="AW75" s="158"/>
      <c r="AX75" s="158"/>
      <c r="AY75" s="158"/>
      <c r="AZ75" s="160"/>
      <c r="BI75" s="66"/>
      <c r="BJ75" s="158"/>
      <c r="BK75" s="158"/>
      <c r="BL75" s="158"/>
      <c r="BM75" s="158"/>
      <c r="BN75" s="158"/>
      <c r="BO75" s="158"/>
      <c r="BP75" s="158"/>
      <c r="BQ75" s="160"/>
      <c r="BZ75" s="66"/>
      <c r="CA75" s="158"/>
      <c r="CB75" s="158"/>
      <c r="CC75" s="158"/>
      <c r="CD75" s="158"/>
      <c r="CE75" s="158"/>
      <c r="CF75" s="158"/>
      <c r="CG75" s="158"/>
      <c r="CH75" s="159"/>
      <c r="CQ75" s="66"/>
      <c r="CR75" s="158"/>
      <c r="CS75" s="158"/>
      <c r="CT75" s="158"/>
      <c r="CU75" s="158"/>
      <c r="CV75" s="158"/>
      <c r="CW75" s="158"/>
      <c r="CX75" s="158"/>
      <c r="CY75" s="159"/>
      <c r="DH75" s="66"/>
      <c r="DI75" s="57"/>
      <c r="DJ75" s="57"/>
      <c r="DK75" s="57"/>
      <c r="DL75" s="57"/>
      <c r="DM75" s="57"/>
      <c r="DN75" s="57"/>
      <c r="DO75" s="58"/>
      <c r="DP75" s="57"/>
      <c r="DQ75" s="56"/>
      <c r="DR75" s="56"/>
      <c r="DS75" s="56"/>
      <c r="DT75" s="56"/>
      <c r="DU75" s="56"/>
      <c r="DV75" s="56"/>
      <c r="DW75" s="56"/>
      <c r="DX75" s="56"/>
      <c r="DY75" s="56"/>
    </row>
    <row r="76">
      <c r="A76" s="218"/>
      <c r="J76" s="66"/>
      <c r="K76" s="158"/>
      <c r="L76" s="158"/>
      <c r="M76" s="158"/>
      <c r="N76" s="158"/>
      <c r="O76" s="158"/>
      <c r="P76" s="158"/>
      <c r="Q76" s="158"/>
      <c r="R76" s="159"/>
      <c r="AA76" s="66"/>
      <c r="AB76" s="158"/>
      <c r="AC76" s="158"/>
      <c r="AD76" s="158"/>
      <c r="AE76" s="158"/>
      <c r="AF76" s="158"/>
      <c r="AG76" s="158"/>
      <c r="AH76" s="158"/>
      <c r="AI76" s="159"/>
      <c r="AR76" s="66"/>
      <c r="AS76" s="158"/>
      <c r="AT76" s="158"/>
      <c r="AU76" s="158"/>
      <c r="AV76" s="158"/>
      <c r="AW76" s="158"/>
      <c r="AX76" s="158"/>
      <c r="AY76" s="158"/>
      <c r="AZ76" s="160"/>
      <c r="BI76" s="66"/>
      <c r="BJ76" s="158"/>
      <c r="BK76" s="158"/>
      <c r="BL76" s="158"/>
      <c r="BM76" s="158"/>
      <c r="BN76" s="158"/>
      <c r="BO76" s="158"/>
      <c r="BP76" s="158"/>
      <c r="BQ76" s="160"/>
      <c r="BZ76" s="66"/>
      <c r="CA76" s="158"/>
      <c r="CB76" s="158"/>
      <c r="CC76" s="158"/>
      <c r="CD76" s="158"/>
      <c r="CE76" s="158"/>
      <c r="CF76" s="158"/>
      <c r="CG76" s="158"/>
      <c r="CH76" s="159"/>
      <c r="CQ76" s="66"/>
      <c r="CR76" s="158"/>
      <c r="CS76" s="158"/>
      <c r="CT76" s="158"/>
      <c r="CU76" s="158"/>
      <c r="CV76" s="158"/>
      <c r="CW76" s="158"/>
      <c r="CX76" s="158"/>
      <c r="CY76" s="218"/>
      <c r="DH76" s="66"/>
      <c r="DI76" s="57"/>
      <c r="DJ76" s="57"/>
      <c r="DK76" s="57"/>
      <c r="DL76" s="57"/>
      <c r="DM76" s="57"/>
      <c r="DN76" s="57"/>
      <c r="DO76" s="58"/>
      <c r="DP76" s="57"/>
      <c r="DQ76" s="56"/>
      <c r="DR76" s="56"/>
      <c r="DS76" s="56"/>
      <c r="DT76" s="56"/>
      <c r="DU76" s="56"/>
      <c r="DV76" s="56"/>
      <c r="DW76" s="56"/>
      <c r="DX76" s="56"/>
      <c r="DY76" s="56"/>
    </row>
    <row r="77">
      <c r="A77" s="159"/>
      <c r="J77" s="66"/>
      <c r="K77" s="158"/>
      <c r="L77" s="158"/>
      <c r="M77" s="158"/>
      <c r="N77" s="158"/>
      <c r="O77" s="158"/>
      <c r="P77" s="158"/>
      <c r="Q77" s="158"/>
      <c r="R77" s="218"/>
      <c r="AA77" s="66"/>
      <c r="AB77" s="158"/>
      <c r="AC77" s="158"/>
      <c r="AD77" s="158"/>
      <c r="AE77" s="158"/>
      <c r="AF77" s="158"/>
      <c r="AG77" s="158"/>
      <c r="AH77" s="158"/>
      <c r="AI77" s="159"/>
      <c r="AR77" s="66"/>
      <c r="AS77" s="158"/>
      <c r="AT77" s="158"/>
      <c r="AU77" s="158"/>
      <c r="AV77" s="158"/>
      <c r="AW77" s="158"/>
      <c r="AX77" s="158"/>
      <c r="AY77" s="158"/>
      <c r="AZ77" s="219"/>
      <c r="BI77" s="66"/>
      <c r="BJ77" s="158"/>
      <c r="BK77" s="158"/>
      <c r="BL77" s="158"/>
      <c r="BM77" s="158"/>
      <c r="BN77" s="158"/>
      <c r="BO77" s="158"/>
      <c r="BP77" s="158"/>
      <c r="BQ77" s="160"/>
      <c r="BZ77" s="66"/>
      <c r="CA77" s="158"/>
      <c r="CB77" s="158"/>
      <c r="CC77" s="158"/>
      <c r="CD77" s="158"/>
      <c r="CE77" s="158"/>
      <c r="CF77" s="158"/>
      <c r="CG77" s="158"/>
      <c r="CH77" s="218"/>
      <c r="CQ77" s="66"/>
      <c r="CR77" s="158"/>
      <c r="CS77" s="158"/>
      <c r="CT77" s="158"/>
      <c r="CU77" s="158"/>
      <c r="CV77" s="158"/>
      <c r="CW77" s="158"/>
      <c r="CX77" s="158"/>
      <c r="CY77" s="159"/>
      <c r="DH77" s="66"/>
      <c r="DI77" s="57"/>
      <c r="DJ77" s="57"/>
      <c r="DK77" s="57"/>
      <c r="DL77" s="57"/>
      <c r="DM77" s="57"/>
      <c r="DN77" s="57"/>
      <c r="DO77" s="58"/>
      <c r="DP77" s="57"/>
      <c r="DQ77" s="56"/>
      <c r="DR77" s="56"/>
      <c r="DS77" s="56"/>
      <c r="DT77" s="56"/>
      <c r="DU77" s="56"/>
      <c r="DV77" s="56"/>
      <c r="DW77" s="56"/>
      <c r="DX77" s="56"/>
      <c r="DY77" s="56"/>
    </row>
    <row r="78">
      <c r="A78" s="159"/>
      <c r="J78" s="66"/>
      <c r="K78" s="158"/>
      <c r="L78" s="158"/>
      <c r="M78" s="158"/>
      <c r="N78" s="158"/>
      <c r="O78" s="158"/>
      <c r="P78" s="158"/>
      <c r="Q78" s="158"/>
      <c r="R78" s="159"/>
      <c r="AA78" s="66"/>
      <c r="AB78" s="158"/>
      <c r="AC78" s="158"/>
      <c r="AD78" s="158"/>
      <c r="AE78" s="158"/>
      <c r="AF78" s="158"/>
      <c r="AG78" s="158"/>
      <c r="AH78" s="158"/>
      <c r="AI78" s="218"/>
      <c r="AR78" s="66"/>
      <c r="AS78" s="158"/>
      <c r="AT78" s="158"/>
      <c r="AU78" s="158"/>
      <c r="AV78" s="158"/>
      <c r="AW78" s="158"/>
      <c r="AX78" s="158"/>
      <c r="AY78" s="158"/>
      <c r="AZ78" s="160"/>
      <c r="BI78" s="66"/>
      <c r="BJ78" s="158"/>
      <c r="BK78" s="158"/>
      <c r="BL78" s="158"/>
      <c r="BM78" s="158"/>
      <c r="BN78" s="158"/>
      <c r="BO78" s="158"/>
      <c r="BP78" s="158"/>
      <c r="BQ78" s="219"/>
      <c r="BZ78" s="66"/>
      <c r="CA78" s="158"/>
      <c r="CB78" s="158"/>
      <c r="CC78" s="158"/>
      <c r="CD78" s="158"/>
      <c r="CE78" s="158"/>
      <c r="CF78" s="158"/>
      <c r="CG78" s="158"/>
      <c r="CH78" s="159"/>
      <c r="CQ78" s="66"/>
      <c r="CR78" s="158"/>
      <c r="CS78" s="158"/>
      <c r="CT78" s="158"/>
      <c r="CU78" s="158"/>
      <c r="CV78" s="158"/>
      <c r="CW78" s="158"/>
      <c r="CX78" s="158"/>
      <c r="CY78" s="159"/>
      <c r="DH78" s="66"/>
      <c r="DI78" s="57"/>
      <c r="DJ78" s="57"/>
      <c r="DK78" s="57"/>
      <c r="DL78" s="57"/>
      <c r="DM78" s="57"/>
      <c r="DN78" s="57"/>
      <c r="DO78" s="58"/>
      <c r="DP78" s="57"/>
      <c r="DQ78" s="56"/>
      <c r="DR78" s="56"/>
      <c r="DS78" s="56"/>
      <c r="DT78" s="56"/>
      <c r="DU78" s="56"/>
      <c r="DV78" s="56"/>
      <c r="DW78" s="56"/>
      <c r="DX78" s="56"/>
      <c r="DY78" s="56"/>
    </row>
    <row r="79">
      <c r="A79" s="220"/>
      <c r="B79" s="163"/>
      <c r="C79" s="163"/>
      <c r="D79" s="163"/>
      <c r="E79" s="163"/>
      <c r="F79" s="163"/>
      <c r="G79" s="163"/>
      <c r="H79" s="163"/>
      <c r="I79" s="163"/>
      <c r="J79" s="164"/>
      <c r="K79" s="158"/>
      <c r="L79" s="158"/>
      <c r="M79" s="158"/>
      <c r="N79" s="158"/>
      <c r="O79" s="158"/>
      <c r="P79" s="158"/>
      <c r="Q79" s="158"/>
      <c r="R79" s="165"/>
      <c r="S79" s="163"/>
      <c r="T79" s="163"/>
      <c r="U79" s="163"/>
      <c r="V79" s="163"/>
      <c r="W79" s="163"/>
      <c r="X79" s="163"/>
      <c r="Y79" s="163"/>
      <c r="Z79" s="163"/>
      <c r="AA79" s="164"/>
      <c r="AB79" s="158"/>
      <c r="AC79" s="158"/>
      <c r="AD79" s="158"/>
      <c r="AE79" s="158"/>
      <c r="AF79" s="158"/>
      <c r="AG79" s="158"/>
      <c r="AH79" s="158"/>
      <c r="AI79" s="165"/>
      <c r="AJ79" s="163"/>
      <c r="AK79" s="163"/>
      <c r="AL79" s="163"/>
      <c r="AM79" s="163"/>
      <c r="AN79" s="163"/>
      <c r="AO79" s="163"/>
      <c r="AP79" s="163"/>
      <c r="AQ79" s="163"/>
      <c r="AR79" s="164"/>
      <c r="AS79" s="158"/>
      <c r="AT79" s="158"/>
      <c r="AU79" s="158"/>
      <c r="AV79" s="158"/>
      <c r="AW79" s="158"/>
      <c r="AX79" s="158"/>
      <c r="AY79" s="158"/>
      <c r="AZ79" s="166"/>
      <c r="BA79" s="163"/>
      <c r="BB79" s="163"/>
      <c r="BC79" s="163"/>
      <c r="BD79" s="163"/>
      <c r="BE79" s="163"/>
      <c r="BF79" s="163"/>
      <c r="BG79" s="163"/>
      <c r="BH79" s="163"/>
      <c r="BI79" s="164"/>
      <c r="BJ79" s="158"/>
      <c r="BK79" s="158"/>
      <c r="BL79" s="158"/>
      <c r="BM79" s="158"/>
      <c r="BN79" s="158"/>
      <c r="BO79" s="158"/>
      <c r="BP79" s="158"/>
      <c r="BQ79" s="165"/>
      <c r="BR79" s="163"/>
      <c r="BS79" s="163"/>
      <c r="BT79" s="163"/>
      <c r="BU79" s="163"/>
      <c r="BV79" s="163"/>
      <c r="BW79" s="163"/>
      <c r="BX79" s="163"/>
      <c r="BY79" s="163"/>
      <c r="BZ79" s="164"/>
      <c r="CA79" s="158"/>
      <c r="CB79" s="158"/>
      <c r="CC79" s="158"/>
      <c r="CD79" s="158"/>
      <c r="CE79" s="158"/>
      <c r="CF79" s="158"/>
      <c r="CG79" s="158"/>
      <c r="CH79" s="165"/>
      <c r="CI79" s="163"/>
      <c r="CJ79" s="163"/>
      <c r="CK79" s="163"/>
      <c r="CL79" s="163"/>
      <c r="CM79" s="163"/>
      <c r="CN79" s="163"/>
      <c r="CO79" s="163"/>
      <c r="CP79" s="163"/>
      <c r="CQ79" s="164"/>
      <c r="CR79" s="158"/>
      <c r="CS79" s="158"/>
      <c r="CT79" s="158"/>
      <c r="CU79" s="158"/>
      <c r="CV79" s="158"/>
      <c r="CW79" s="158"/>
      <c r="CX79" s="158"/>
      <c r="CY79" s="165"/>
      <c r="CZ79" s="163"/>
      <c r="DA79" s="163"/>
      <c r="DB79" s="163"/>
      <c r="DC79" s="163"/>
      <c r="DD79" s="163"/>
      <c r="DE79" s="163"/>
      <c r="DF79" s="163"/>
      <c r="DG79" s="163"/>
      <c r="DH79" s="164"/>
      <c r="DI79" s="57"/>
      <c r="DJ79" s="57"/>
      <c r="DK79" s="57"/>
      <c r="DL79" s="57"/>
      <c r="DM79" s="57"/>
      <c r="DN79" s="57"/>
      <c r="DO79" s="58"/>
      <c r="DP79" s="57"/>
      <c r="DQ79" s="56"/>
      <c r="DR79" s="56"/>
      <c r="DS79" s="56"/>
      <c r="DT79" s="56"/>
      <c r="DU79" s="56"/>
      <c r="DV79" s="56"/>
      <c r="DW79" s="56"/>
      <c r="DX79" s="56"/>
      <c r="DY79" s="56"/>
    </row>
    <row r="80">
      <c r="A80" s="167" t="s">
        <v>50</v>
      </c>
      <c r="B80" s="168"/>
      <c r="C80" s="168"/>
      <c r="D80" s="169"/>
      <c r="E80" s="168"/>
      <c r="F80" s="168"/>
      <c r="G80" s="168"/>
      <c r="H80" s="168"/>
      <c r="I80" s="168"/>
      <c r="J80" s="170"/>
      <c r="K80" s="106" t="str">
        <f>Montagem!X196</f>
        <v/>
      </c>
      <c r="L80" s="57">
        <f>MAX(M80,K80)</f>
        <v>0</v>
      </c>
      <c r="M80" s="57">
        <f>LEFT(D80,2)+0</f>
        <v>0</v>
      </c>
      <c r="N80" s="57"/>
      <c r="O80" s="57"/>
      <c r="P80" s="57"/>
      <c r="Q80" s="58"/>
      <c r="R80" s="167" t="s">
        <v>50</v>
      </c>
      <c r="S80" s="168"/>
      <c r="T80" s="168"/>
      <c r="U80" s="169"/>
      <c r="V80" s="168"/>
      <c r="W80" s="168"/>
      <c r="X80" s="168"/>
      <c r="Y80" s="168"/>
      <c r="Z80" s="168"/>
      <c r="AA80" s="170"/>
      <c r="AB80" s="106" t="str">
        <f>Montagem!AM196</f>
        <v/>
      </c>
      <c r="AC80" s="57">
        <f>MAX(AD80,AB80)</f>
        <v>0</v>
      </c>
      <c r="AD80" s="57">
        <f>LEFT(U80,2)+0</f>
        <v>0</v>
      </c>
      <c r="AE80" s="57"/>
      <c r="AF80" s="57"/>
      <c r="AG80" s="57"/>
      <c r="AH80" s="58"/>
      <c r="AI80" s="167" t="s">
        <v>50</v>
      </c>
      <c r="AJ80" s="168"/>
      <c r="AK80" s="168"/>
      <c r="AL80" s="169"/>
      <c r="AM80" s="168"/>
      <c r="AN80" s="168"/>
      <c r="AO80" s="168"/>
      <c r="AP80" s="168"/>
      <c r="AQ80" s="168"/>
      <c r="AR80" s="170"/>
      <c r="AS80" s="106" t="str">
        <f>Montagem!BB196</f>
        <v/>
      </c>
      <c r="AT80" s="57">
        <f>MAX(AU80,AS80)</f>
        <v>0</v>
      </c>
      <c r="AU80" s="57">
        <f>LEFT(AL80,2)+0</f>
        <v>0</v>
      </c>
      <c r="AV80" s="57"/>
      <c r="AW80" s="57"/>
      <c r="AX80" s="57"/>
      <c r="AY80" s="58"/>
      <c r="AZ80" s="167" t="s">
        <v>50</v>
      </c>
      <c r="BA80" s="168"/>
      <c r="BB80" s="168"/>
      <c r="BC80" s="169"/>
      <c r="BD80" s="168"/>
      <c r="BE80" s="168"/>
      <c r="BF80" s="168"/>
      <c r="BG80" s="168"/>
      <c r="BH80" s="168"/>
      <c r="BI80" s="170"/>
      <c r="BJ80" s="106" t="str">
        <f>Montagem!BQ196</f>
        <v/>
      </c>
      <c r="BK80" s="57">
        <f>MAX(BL80,BJ80)</f>
        <v>0</v>
      </c>
      <c r="BL80" s="57">
        <f>LEFT(BC80,2)+0</f>
        <v>0</v>
      </c>
      <c r="BM80" s="57"/>
      <c r="BN80" s="57"/>
      <c r="BO80" s="57"/>
      <c r="BP80" s="58"/>
      <c r="BQ80" s="167" t="s">
        <v>50</v>
      </c>
      <c r="BR80" s="168"/>
      <c r="BS80" s="168"/>
      <c r="BT80" s="169"/>
      <c r="BU80" s="168"/>
      <c r="BV80" s="168"/>
      <c r="BW80" s="168"/>
      <c r="BX80" s="168"/>
      <c r="BY80" s="168"/>
      <c r="BZ80" s="170"/>
      <c r="CA80" s="106" t="str">
        <f>Montagem!CF196</f>
        <v/>
      </c>
      <c r="CB80" s="57">
        <f>MAX(CC80,CA80)</f>
        <v>0</v>
      </c>
      <c r="CC80" s="57">
        <f>LEFT(BT80,2)+0</f>
        <v>0</v>
      </c>
      <c r="CD80" s="57"/>
      <c r="CE80" s="57"/>
      <c r="CF80" s="57"/>
      <c r="CG80" s="58"/>
      <c r="CH80" s="167" t="s">
        <v>50</v>
      </c>
      <c r="CI80" s="168"/>
      <c r="CJ80" s="168"/>
      <c r="CK80" s="169"/>
      <c r="CL80" s="168"/>
      <c r="CM80" s="168"/>
      <c r="CN80" s="168"/>
      <c r="CO80" s="168"/>
      <c r="CP80" s="168"/>
      <c r="CQ80" s="170"/>
      <c r="CR80" s="106" t="str">
        <f>Montagem!CU196</f>
        <v/>
      </c>
      <c r="CS80" s="57">
        <f>MAX(CT80,CR80)</f>
        <v>0</v>
      </c>
      <c r="CT80" s="57">
        <f>LEFT(CK80,2)+0</f>
        <v>0</v>
      </c>
      <c r="CU80" s="57"/>
      <c r="CV80" s="57"/>
      <c r="CW80" s="57"/>
      <c r="CX80" s="58"/>
      <c r="CY80" s="167" t="s">
        <v>50</v>
      </c>
      <c r="CZ80" s="168"/>
      <c r="DA80" s="168"/>
      <c r="DB80" s="169"/>
      <c r="DC80" s="168"/>
      <c r="DD80" s="168"/>
      <c r="DE80" s="168"/>
      <c r="DF80" s="168"/>
      <c r="DG80" s="168"/>
      <c r="DH80" s="170"/>
      <c r="DI80" s="106" t="str">
        <f>Montagem!DJ196</f>
        <v/>
      </c>
      <c r="DJ80" s="57">
        <f>MAX(DK80,DI80)</f>
        <v>0</v>
      </c>
      <c r="DK80" s="57">
        <f>LEFT(DB80,2)+0</f>
        <v>0</v>
      </c>
      <c r="DL80" s="57"/>
      <c r="DM80" s="57"/>
      <c r="DN80" s="57"/>
      <c r="DO80" s="58"/>
      <c r="DP80" s="57"/>
      <c r="DQ80" s="56"/>
      <c r="DR80" s="56"/>
      <c r="DS80" s="56"/>
      <c r="DT80" s="56"/>
      <c r="DU80" s="56"/>
      <c r="DV80" s="56"/>
      <c r="DW80" s="56"/>
      <c r="DX80" s="56"/>
      <c r="DY80" s="56"/>
    </row>
    <row r="81">
      <c r="A81" s="171" t="s">
        <v>51</v>
      </c>
      <c r="J81" s="66"/>
      <c r="K81" s="57"/>
      <c r="L81" s="57"/>
      <c r="M81" s="57"/>
      <c r="N81" s="57"/>
      <c r="O81" s="57"/>
      <c r="P81" s="57"/>
      <c r="Q81" s="58"/>
      <c r="R81" s="171" t="s">
        <v>51</v>
      </c>
      <c r="AA81" s="66"/>
      <c r="AB81" s="57"/>
      <c r="AC81" s="57"/>
      <c r="AD81" s="57"/>
      <c r="AE81" s="57"/>
      <c r="AF81" s="57"/>
      <c r="AG81" s="57"/>
      <c r="AH81" s="58"/>
      <c r="AI81" s="171" t="s">
        <v>51</v>
      </c>
      <c r="AR81" s="66"/>
      <c r="AS81" s="57"/>
      <c r="AT81" s="57"/>
      <c r="AU81" s="57"/>
      <c r="AV81" s="57"/>
      <c r="AW81" s="57"/>
      <c r="AX81" s="57"/>
      <c r="AY81" s="58"/>
      <c r="AZ81" s="171" t="s">
        <v>51</v>
      </c>
      <c r="BI81" s="66"/>
      <c r="BJ81" s="57"/>
      <c r="BK81" s="57"/>
      <c r="BL81" s="57"/>
      <c r="BM81" s="57"/>
      <c r="BN81" s="57"/>
      <c r="BO81" s="57"/>
      <c r="BP81" s="58"/>
      <c r="BQ81" s="171" t="s">
        <v>51</v>
      </c>
      <c r="BZ81" s="66"/>
      <c r="CA81" s="57"/>
      <c r="CB81" s="57"/>
      <c r="CC81" s="57"/>
      <c r="CD81" s="57"/>
      <c r="CE81" s="57"/>
      <c r="CF81" s="57"/>
      <c r="CG81" s="58"/>
      <c r="CH81" s="171" t="s">
        <v>51</v>
      </c>
      <c r="CQ81" s="66"/>
      <c r="CR81" s="57"/>
      <c r="CS81" s="57"/>
      <c r="CT81" s="57"/>
      <c r="CU81" s="57"/>
      <c r="CV81" s="57"/>
      <c r="CW81" s="57"/>
      <c r="CX81" s="58"/>
      <c r="CY81" s="171" t="s">
        <v>51</v>
      </c>
      <c r="DH81" s="66"/>
      <c r="DI81" s="57"/>
      <c r="DJ81" s="57"/>
      <c r="DK81" s="57"/>
      <c r="DL81" s="57"/>
      <c r="DM81" s="57"/>
      <c r="DN81" s="57"/>
      <c r="DO81" s="58"/>
      <c r="DP81" s="57"/>
      <c r="DQ81" s="56"/>
      <c r="DR81" s="56"/>
      <c r="DS81" s="56"/>
      <c r="DT81" s="56"/>
      <c r="DU81" s="56"/>
      <c r="DV81" s="56"/>
      <c r="DW81" s="56"/>
      <c r="DX81" s="56"/>
      <c r="DY81" s="56"/>
    </row>
    <row r="82">
      <c r="A82" s="172" t="s">
        <v>52</v>
      </c>
      <c r="B82" s="173"/>
      <c r="C82" s="174" t="s">
        <v>53</v>
      </c>
      <c r="D82" s="173"/>
      <c r="E82" s="174" t="s">
        <v>54</v>
      </c>
      <c r="F82" s="175"/>
      <c r="G82" s="176"/>
      <c r="H82" s="175"/>
      <c r="I82" s="175"/>
      <c r="J82" s="177"/>
      <c r="K82" s="57"/>
      <c r="L82" s="57"/>
      <c r="M82" s="57"/>
      <c r="N82" s="57"/>
      <c r="O82" s="57"/>
      <c r="P82" s="57"/>
      <c r="Q82" s="58"/>
      <c r="R82" s="172" t="s">
        <v>52</v>
      </c>
      <c r="S82" s="181"/>
      <c r="T82" s="174" t="s">
        <v>53</v>
      </c>
      <c r="U82" s="181"/>
      <c r="V82" s="174" t="s">
        <v>54</v>
      </c>
      <c r="W82" s="175"/>
      <c r="X82" s="182"/>
      <c r="Y82" s="175"/>
      <c r="Z82" s="175"/>
      <c r="AA82" s="177"/>
      <c r="AB82" s="57"/>
      <c r="AC82" s="57"/>
      <c r="AD82" s="57"/>
      <c r="AE82" s="57"/>
      <c r="AF82" s="57"/>
      <c r="AG82" s="57"/>
      <c r="AH82" s="58"/>
      <c r="AI82" s="172" t="s">
        <v>52</v>
      </c>
      <c r="AJ82" s="178"/>
      <c r="AK82" s="174" t="s">
        <v>53</v>
      </c>
      <c r="AL82" s="179"/>
      <c r="AM82" s="174" t="s">
        <v>54</v>
      </c>
      <c r="AN82" s="175"/>
      <c r="AO82" s="180"/>
      <c r="AP82" s="175"/>
      <c r="AQ82" s="175"/>
      <c r="AR82" s="177"/>
      <c r="AS82" s="57"/>
      <c r="AT82" s="57"/>
      <c r="AU82" s="57"/>
      <c r="AV82" s="57"/>
      <c r="AW82" s="57"/>
      <c r="AX82" s="57"/>
      <c r="AY82" s="58"/>
      <c r="AZ82" s="172" t="s">
        <v>52</v>
      </c>
      <c r="BA82" s="181"/>
      <c r="BB82" s="174" t="s">
        <v>53</v>
      </c>
      <c r="BC82" s="181"/>
      <c r="BD82" s="174" t="s">
        <v>54</v>
      </c>
      <c r="BE82" s="175"/>
      <c r="BF82" s="182"/>
      <c r="BG82" s="175"/>
      <c r="BH82" s="175"/>
      <c r="BI82" s="177"/>
      <c r="BJ82" s="57"/>
      <c r="BK82" s="57"/>
      <c r="BL82" s="57"/>
      <c r="BM82" s="57"/>
      <c r="BN82" s="57"/>
      <c r="BO82" s="57"/>
      <c r="BP82" s="58"/>
      <c r="BQ82" s="172" t="s">
        <v>52</v>
      </c>
      <c r="BR82" s="181"/>
      <c r="BS82" s="174" t="s">
        <v>53</v>
      </c>
      <c r="BT82" s="181"/>
      <c r="BU82" s="174" t="s">
        <v>54</v>
      </c>
      <c r="BV82" s="175"/>
      <c r="BW82" s="182"/>
      <c r="BX82" s="175"/>
      <c r="BY82" s="175"/>
      <c r="BZ82" s="177"/>
      <c r="CA82" s="57"/>
      <c r="CB82" s="57"/>
      <c r="CC82" s="57"/>
      <c r="CD82" s="57"/>
      <c r="CE82" s="57"/>
      <c r="CF82" s="57"/>
      <c r="CG82" s="58"/>
      <c r="CH82" s="172" t="s">
        <v>52</v>
      </c>
      <c r="CI82" s="181"/>
      <c r="CJ82" s="174" t="s">
        <v>53</v>
      </c>
      <c r="CK82" s="181"/>
      <c r="CL82" s="174" t="s">
        <v>54</v>
      </c>
      <c r="CM82" s="175"/>
      <c r="CN82" s="182"/>
      <c r="CO82" s="175"/>
      <c r="CP82" s="175"/>
      <c r="CQ82" s="177"/>
      <c r="CR82" s="57"/>
      <c r="CS82" s="57"/>
      <c r="CT82" s="57"/>
      <c r="CU82" s="57"/>
      <c r="CV82" s="57"/>
      <c r="CW82" s="57"/>
      <c r="CX82" s="58"/>
      <c r="CY82" s="172" t="s">
        <v>52</v>
      </c>
      <c r="CZ82" s="181"/>
      <c r="DA82" s="174" t="s">
        <v>53</v>
      </c>
      <c r="DB82" s="181"/>
      <c r="DC82" s="174" t="s">
        <v>54</v>
      </c>
      <c r="DD82" s="175"/>
      <c r="DE82" s="182"/>
      <c r="DF82" s="175"/>
      <c r="DG82" s="175"/>
      <c r="DH82" s="177"/>
      <c r="DI82" s="57"/>
      <c r="DJ82" s="57"/>
      <c r="DK82" s="57"/>
      <c r="DL82" s="57"/>
      <c r="DM82" s="57"/>
      <c r="DN82" s="57"/>
      <c r="DO82" s="58"/>
      <c r="DP82" s="57"/>
      <c r="DQ82" s="56"/>
      <c r="DR82" s="56"/>
      <c r="DS82" s="56"/>
      <c r="DT82" s="56"/>
      <c r="DU82" s="56"/>
      <c r="DV82" s="56"/>
      <c r="DW82" s="56"/>
      <c r="DX82" s="56"/>
      <c r="DY82" s="56"/>
    </row>
    <row r="83">
      <c r="A83" s="183" t="str">
        <f>IF(L80=0,"","Você conseguiu! Foram levantadas ")</f>
        <v/>
      </c>
      <c r="E83" s="184" t="str">
        <f>IF(L80=0,"",SUM(E16*F16*P16,E18*F18*P18,E20*F20*P20,E22*F22*P22,E26*F26*P26,E28*F28*P28,E30*F30*P30,E32*F32*P32,E34*F34*P34,E36*F36*P36,E38*F38*P38,E40*F40*P40,E42*F42*P42,E44*F44*P44,E46*F46*P46,E48*F48*P48,E50*F50*P50,E52*F52*P52,E54*F54*P54,E56*F56*P56,E58*F58*P58,E60*F60*P60,E62*F62*P62,E64*F64*P64,E68*F68*P68,E70*F70*P70,E72*F72*P72)/1000)</f>
        <v/>
      </c>
      <c r="G83" s="185" t="str">
        <f>IF(L80=0,"","toneladas")</f>
        <v/>
      </c>
      <c r="J83" s="66"/>
      <c r="K83" s="186"/>
      <c r="L83" s="187"/>
      <c r="M83" s="187"/>
      <c r="N83" s="187"/>
      <c r="O83" s="187"/>
      <c r="P83" s="187"/>
      <c r="Q83" s="188"/>
      <c r="R83" s="183" t="str">
        <f>IF(AC80=0,"","Você conseguiu! Foram levantadas ")</f>
        <v/>
      </c>
      <c r="V83" s="184" t="str">
        <f>IF(AC80=0,"",SUM(V16*W16*AG16,V18*W18*AG18,V20*W20*AG20,V22*W22*AG22,V26*W26*AG26,V28*W28*AG28,V30*W30*AG30,V32*W32*AG32,V34*W34*AG34,V36*W36*AG36,V38*W38*AG38,V40*W40*AG40,V42*W42*AG42,V44*W44*AG44,V46*W46*AG46,V48*W48*AG48,V50*W50*AG50,V52*W52*AG52,V54*W54*AG54,V56*W56*AG56,V58*W58*AG58,V60*W60*AG60,V62*W62*AG62,V64*W64*AG64,V68*W68*AG68,V70*W70*AG70,V72*W72*AG72)/1000)</f>
        <v/>
      </c>
      <c r="X83" s="185" t="str">
        <f>IF(AC80=0,"","toneladas")</f>
        <v/>
      </c>
      <c r="AA83" s="66"/>
      <c r="AB83" s="186"/>
      <c r="AC83" s="187"/>
      <c r="AD83" s="187"/>
      <c r="AE83" s="187"/>
      <c r="AF83" s="187"/>
      <c r="AG83" s="187"/>
      <c r="AH83" s="188"/>
      <c r="AI83" s="183" t="str">
        <f>IF(AT80=0,"","Você conseguiu! Foram levantadas ")</f>
        <v/>
      </c>
      <c r="AM83" s="184" t="str">
        <f>IF(AT80=0,"",SUM(AM16*AN16*AX16,AM18*AN18*AX18,AM20*AN20*AX20,AM22*AN22*AX22,AM26*AN26*AX26,AM28*AN28*AX28,AM30*AN30*AX30,AM32*AN32*AX32,AM34*AN34*AX34,AM36*AN36*AX36,AM38*AN38*AX38,AM40*AN40*AX40,AM42*AN42*AX42,AM44*AN44*AX44,AM46*AN46*AX46,AM48*AN48*AX48,AM50*AN50*AX50,AM52*AN52*AX52,AM54*AN54*AX54,AM56*AN56*AX56,AM58*AN58*AX58,AM60*AN60*AX60,AM62*AN62*AX62,AM64*AN64*AX64,AM68*AN68*AX68,AM70*AN70*AX70,AM72*AN72*AX72)/1000)</f>
        <v/>
      </c>
      <c r="AO83" s="185" t="str">
        <f>IF(AT80=0,"","toneladas")</f>
        <v/>
      </c>
      <c r="AR83" s="66"/>
      <c r="AS83" s="186"/>
      <c r="AT83" s="187"/>
      <c r="AU83" s="187"/>
      <c r="AV83" s="187"/>
      <c r="AW83" s="187"/>
      <c r="AX83" s="187"/>
      <c r="AY83" s="188"/>
      <c r="AZ83" s="183" t="str">
        <f>IF(BK80=0,"","Você conseguiu! Foram levantadas ")</f>
        <v/>
      </c>
      <c r="BD83" s="184" t="str">
        <f>IF(BK80=0,"",SUM(BD16*BE16*BO16,BD18*BE18*BO18,BD20*BE20*BO20,BD22*BE22*BO22,BD26*BE26*BO26,BD28*BE28*BO28,BD30*BE30*BO30,BD32*BE32*BO32,BD34*BE34*BO34,BD36*BE36*BO36,BD38*BE38*BO38,BD40*BE40*BO40,BD42*BE42*BO42,BD44*BE44*BO44,BD46*BE46*BO46,BD48*BE48*BO48,BD50*BE50*BO50,BD52*BE52*BO52,BD54*BE54*BO54,BD56*BE56*BO56,BD58*BE58*BO58,BD60*BE60*BO60,BD62*BE62*BO62,BD64*BE64*BO64,BD68*BE68*BO68,BD70*BE70*BO70,BD72*BE72*BO72)/1000)</f>
        <v/>
      </c>
      <c r="BF83" s="185" t="str">
        <f>IF(BK80=0,"","toneladas")</f>
        <v/>
      </c>
      <c r="BI83" s="66"/>
      <c r="BJ83" s="186"/>
      <c r="BK83" s="187"/>
      <c r="BL83" s="187"/>
      <c r="BM83" s="187"/>
      <c r="BN83" s="187"/>
      <c r="BO83" s="187"/>
      <c r="BP83" s="188"/>
      <c r="BQ83" s="183" t="str">
        <f>IF(CB80=0,"","Você conseguiu! Foram levantadas ")</f>
        <v/>
      </c>
      <c r="BU83" s="184" t="str">
        <f>IF(CB80=0,"",SUM(BU16*BV16*CF16,BU18*BV18*CF18,BU20*BV20*CF20,BU22*BV22*CF22,BU26*BV26*CF26,BU28*BV28*CF28,BU30*BV30*CF30,BU32*BV32*CF32,BU34*BV34*CF34,BU36*BV36*CF36,BU38*BV38*CF38,BU40*BV40*CF40,BU42*BV42*CF42,BU44*BV44*CF44,BU46*BV46*CF46,BU48*BV48*CF48,BU50*BV50*CF50,BU52*BV52*CF52,BU54*BV54*CF54,BU56*BV56*CF56,BU58*BV58*CF58,BU60*BV60*CF60,BU62*BV62*CF62,BU64*BV64*CF64,BU68*BV68*CF68,BU70*BV70*CF70,BU72*BV72*CF72)/1000)</f>
        <v/>
      </c>
      <c r="BW83" s="185" t="str">
        <f>IF(CB80=0,"","toneladas")</f>
        <v/>
      </c>
      <c r="BZ83" s="66"/>
      <c r="CA83" s="186"/>
      <c r="CB83" s="187"/>
      <c r="CC83" s="187"/>
      <c r="CD83" s="187"/>
      <c r="CE83" s="187"/>
      <c r="CF83" s="187"/>
      <c r="CG83" s="188"/>
      <c r="CH83" s="183" t="str">
        <f>IF(CS80=0,"","Você conseguiu! Foram levantadas ")</f>
        <v/>
      </c>
      <c r="CL83" s="184" t="str">
        <f>IF(CS80=0,"",SUM(CL16*CM16*CW16,CL18*CM18*CW18,CL20*CM20*CW20,CL22*CM22*CW22,CL26*CM26*CW26,CL28*CM28*CW28,CL30*CM30*CW30,CL32*CM32*CW32,CL34*CM34*CW34,CL36*CM36*CW36,CL38*CM38*CW38,CL40*CM40*CW40,CL42*CM42*CW42,CL44*CM44*CW44,CL46*CM46*CW46,CL48*CM48*CW48,CL50*CM50*CW50,CL52*CM52*CW52,CL54*CM54*CW54,CL56*CM56*CW56,CL58*CM58*CW58,CL60*CM60*CW60,CL62*CM62*CW62,CL64*CM64*CW64,CL68*CM68*CW68,CL70*CM70*CW70,CL72*CM72*CW72)/1000)</f>
        <v/>
      </c>
      <c r="CN83" s="185" t="str">
        <f>IF(CS80=0,"","toneladas")</f>
        <v/>
      </c>
      <c r="CQ83" s="66"/>
      <c r="CR83" s="186"/>
      <c r="CS83" s="187"/>
      <c r="CT83" s="187"/>
      <c r="CU83" s="187"/>
      <c r="CV83" s="187"/>
      <c r="CW83" s="187"/>
      <c r="CX83" s="188"/>
      <c r="CY83" s="183" t="str">
        <f>IF(DJ80=0,"","Você conseguiu! Foram levantadas ")</f>
        <v/>
      </c>
      <c r="DC83" s="184" t="str">
        <f>IF(DJ80=0,"",SUM(DC16*DD16*DN16,DC18*DD18*DN18,DC20*DD20*DN20,DC22*DD22*DN22,DC26*DD26*DN26,DC28*DD28*DN28,DC30*DD30*DN30,DC32*DD32*DN32,DC34*DD34*DN34,DC36*DD36*DN36,DC38*DD38*DN38,DC40*DD40*DN40,DC42*DD42*DN42,DC44*DD44*DN44,DC46*DD46*DN46,DC48*DD48*DN48,DC50*DD50*DN50,DC52*DD52*DN52,DC54*DD54*DN54,DC56*DD56*DN56,DC58*DD58*DN58,DC60*DD60*DN60,DC62*DD62*DN62,DC64*DD64*DN64,DC68*DD68*DN68,DC70*DD70*DN70,DC72*DD72*DN72)/1000)</f>
        <v/>
      </c>
      <c r="DE83" s="185" t="str">
        <f>IF(DJ80=0,"","toneladas")</f>
        <v/>
      </c>
      <c r="DH83" s="66"/>
      <c r="DI83" s="186"/>
      <c r="DJ83" s="187"/>
      <c r="DK83" s="187"/>
      <c r="DL83" s="187"/>
      <c r="DM83" s="187"/>
      <c r="DN83" s="187"/>
      <c r="DO83" s="188"/>
      <c r="DP83" s="186"/>
      <c r="DQ83" s="186"/>
      <c r="DR83" s="186"/>
      <c r="DS83" s="186"/>
      <c r="DT83" s="186"/>
      <c r="DU83" s="186"/>
      <c r="DV83" s="186"/>
      <c r="DW83" s="186"/>
      <c r="DX83" s="186"/>
      <c r="DY83" s="186"/>
    </row>
    <row r="84">
      <c r="A84" s="190" t="str">
        <f>IF(L80=0,"","nesta sessão!")</f>
        <v/>
      </c>
      <c r="C84" s="57"/>
      <c r="D84" s="57"/>
      <c r="E84" s="137"/>
      <c r="F84" s="137"/>
      <c r="G84" s="137"/>
      <c r="H84" s="57"/>
      <c r="I84" s="57"/>
      <c r="J84" s="191"/>
      <c r="K84" s="57"/>
      <c r="L84" s="192"/>
      <c r="M84" s="192"/>
      <c r="N84" s="192"/>
      <c r="O84" s="192"/>
      <c r="P84" s="192"/>
      <c r="Q84" s="58"/>
      <c r="R84" s="190" t="str">
        <f>IF(AC80=0,"","nesta sessão!")</f>
        <v/>
      </c>
      <c r="T84" s="57"/>
      <c r="U84" s="57"/>
      <c r="V84" s="137"/>
      <c r="W84" s="137"/>
      <c r="X84" s="137"/>
      <c r="Y84" s="57"/>
      <c r="Z84" s="57"/>
      <c r="AA84" s="191"/>
      <c r="AB84" s="57"/>
      <c r="AC84" s="192"/>
      <c r="AD84" s="192"/>
      <c r="AE84" s="192"/>
      <c r="AF84" s="192"/>
      <c r="AG84" s="192"/>
      <c r="AH84" s="58"/>
      <c r="AI84" s="190" t="str">
        <f>IF(AT80=0,"","nesta sessão!")</f>
        <v/>
      </c>
      <c r="AK84" s="57"/>
      <c r="AL84" s="57"/>
      <c r="AM84" s="137"/>
      <c r="AN84" s="137"/>
      <c r="AO84" s="137"/>
      <c r="AP84" s="57"/>
      <c r="AQ84" s="57"/>
      <c r="AR84" s="191"/>
      <c r="AS84" s="57"/>
      <c r="AT84" s="192"/>
      <c r="AU84" s="192"/>
      <c r="AV84" s="192"/>
      <c r="AW84" s="192"/>
      <c r="AX84" s="192"/>
      <c r="AY84" s="58"/>
      <c r="AZ84" s="190" t="str">
        <f>IF(BK80=0,"","nesta sessão!")</f>
        <v/>
      </c>
      <c r="BB84" s="57"/>
      <c r="BC84" s="57"/>
      <c r="BD84" s="137"/>
      <c r="BE84" s="137"/>
      <c r="BF84" s="137"/>
      <c r="BG84" s="57"/>
      <c r="BH84" s="57"/>
      <c r="BI84" s="191"/>
      <c r="BJ84" s="57"/>
      <c r="BK84" s="192"/>
      <c r="BL84" s="192"/>
      <c r="BM84" s="192"/>
      <c r="BN84" s="192"/>
      <c r="BO84" s="192"/>
      <c r="BP84" s="58"/>
      <c r="BQ84" s="190" t="str">
        <f>IF(CB80=0,"","nesta sessão!")</f>
        <v/>
      </c>
      <c r="BS84" s="57"/>
      <c r="BT84" s="57"/>
      <c r="BU84" s="137"/>
      <c r="BV84" s="137"/>
      <c r="BW84" s="137"/>
      <c r="BX84" s="57"/>
      <c r="BY84" s="57"/>
      <c r="BZ84" s="191"/>
      <c r="CA84" s="57"/>
      <c r="CB84" s="192"/>
      <c r="CC84" s="192"/>
      <c r="CD84" s="192"/>
      <c r="CE84" s="192"/>
      <c r="CF84" s="192"/>
      <c r="CG84" s="58"/>
      <c r="CH84" s="190" t="str">
        <f>IF(CS80=0,"","nesta sessão!")</f>
        <v/>
      </c>
      <c r="CJ84" s="57"/>
      <c r="CK84" s="57"/>
      <c r="CL84" s="137"/>
      <c r="CM84" s="137"/>
      <c r="CN84" s="137"/>
      <c r="CO84" s="57"/>
      <c r="CP84" s="57"/>
      <c r="CQ84" s="191"/>
      <c r="CR84" s="57"/>
      <c r="CS84" s="192"/>
      <c r="CT84" s="192"/>
      <c r="CU84" s="192"/>
      <c r="CV84" s="192"/>
      <c r="CW84" s="192"/>
      <c r="CX84" s="58"/>
      <c r="CY84" s="190" t="str">
        <f>IF(DJ80=0,"","nesta sessão!")</f>
        <v/>
      </c>
      <c r="DA84" s="57"/>
      <c r="DB84" s="57"/>
      <c r="DC84" s="137"/>
      <c r="DD84" s="137"/>
      <c r="DE84" s="137"/>
      <c r="DF84" s="57"/>
      <c r="DG84" s="57"/>
      <c r="DH84" s="191"/>
      <c r="DI84" s="57"/>
      <c r="DJ84" s="192"/>
      <c r="DK84" s="192"/>
      <c r="DL84" s="192"/>
      <c r="DM84" s="192"/>
      <c r="DN84" s="192"/>
      <c r="DO84" s="58"/>
      <c r="DP84" s="57"/>
      <c r="DQ84" s="56"/>
      <c r="DR84" s="56"/>
      <c r="DS84" s="56"/>
      <c r="DT84" s="56"/>
      <c r="DU84" s="56"/>
      <c r="DV84" s="56"/>
      <c r="DW84" s="56"/>
      <c r="DX84" s="56"/>
      <c r="DY84" s="56"/>
    </row>
    <row r="85">
      <c r="A85" s="194" t="str">
        <f>IF(L80=0,"","Seu progresso semanal:")</f>
        <v/>
      </c>
      <c r="D85" s="195" t="str">
        <f>IFS(K3=0,"Missão cumprida! Parabéns!!!",K3=1,"Falta pouco, Você consegue!",TRUE,"Muito bem! Continue assim!")</f>
        <v>Missão cumprida! Parabéns!!!</v>
      </c>
      <c r="J85" s="66"/>
      <c r="K85" s="57"/>
      <c r="L85" s="192"/>
      <c r="M85" s="192"/>
      <c r="N85" s="196"/>
      <c r="O85" s="196"/>
      <c r="P85" s="196"/>
      <c r="Q85" s="58"/>
      <c r="R85" s="194" t="str">
        <f>IF(AC80=0,"","Seu progresso semanal:")</f>
        <v/>
      </c>
      <c r="U85" s="195" t="str">
        <f>IFS(AB3=0,"Missão cumprida! Parabéns!!!",AB3=1,"Falta pouco, Você consegue!",TRUE,"Muito bem! Continue assim!")</f>
        <v>Missão cumprida! Parabéns!!!</v>
      </c>
      <c r="AA85" s="66"/>
      <c r="AB85" s="57"/>
      <c r="AC85" s="192"/>
      <c r="AD85" s="192"/>
      <c r="AE85" s="196"/>
      <c r="AF85" s="196"/>
      <c r="AG85" s="196"/>
      <c r="AH85" s="58"/>
      <c r="AI85" s="194" t="str">
        <f>IF(AT80=0,"","Seu progresso semanal:")</f>
        <v/>
      </c>
      <c r="AL85" s="195" t="str">
        <f>IFS(AS3=0,"Missão cumprida! Parabéns!!!",AS3=1,"Falta pouco, Você consegue!",TRUE,"Muito bem! Continue assim!")</f>
        <v>Missão cumprida! Parabéns!!!</v>
      </c>
      <c r="AR85" s="66"/>
      <c r="AS85" s="57"/>
      <c r="AT85" s="192"/>
      <c r="AU85" s="192"/>
      <c r="AV85" s="196"/>
      <c r="AW85" s="196"/>
      <c r="AX85" s="196"/>
      <c r="AY85" s="58"/>
      <c r="AZ85" s="194" t="str">
        <f>IF(BK80=0,"","Seu progresso semanal:")</f>
        <v/>
      </c>
      <c r="BC85" s="195" t="str">
        <f>IFS(BJ3=0,"Missão cumprida! Parabéns!!!",BJ3=1,"Falta pouco, Você consegue!",TRUE,"Muito bem! Continue assim!")</f>
        <v>Missão cumprida! Parabéns!!!</v>
      </c>
      <c r="BI85" s="66"/>
      <c r="BJ85" s="57"/>
      <c r="BK85" s="192"/>
      <c r="BL85" s="192"/>
      <c r="BM85" s="196"/>
      <c r="BN85" s="196"/>
      <c r="BO85" s="196"/>
      <c r="BP85" s="58"/>
      <c r="BQ85" s="194" t="str">
        <f>IF(CB80=0,"","Seu progresso semanal:")</f>
        <v/>
      </c>
      <c r="BT85" s="195" t="str">
        <f>IFS(CA3=0,"Missão cumprida! Parabéns!!!",CA3=1,"Falta pouco, Você consegue!",TRUE,"Muito bem! Continue assim!")</f>
        <v>Missão cumprida! Parabéns!!!</v>
      </c>
      <c r="BZ85" s="66"/>
      <c r="CA85" s="57"/>
      <c r="CB85" s="192"/>
      <c r="CC85" s="192"/>
      <c r="CD85" s="196"/>
      <c r="CE85" s="196"/>
      <c r="CF85" s="196"/>
      <c r="CG85" s="58"/>
      <c r="CH85" s="194" t="str">
        <f>IF(CS80=0,"","Seu progresso semanal:")</f>
        <v/>
      </c>
      <c r="CK85" s="195" t="str">
        <f>IFS(CR3=0,"Missão cumprida! Parabéns!!!",CR3=1,"Falta pouco, Você consegue!",TRUE,"Muito bem! Continue assim!")</f>
        <v>Missão cumprida! Parabéns!!!</v>
      </c>
      <c r="CQ85" s="66"/>
      <c r="CR85" s="57"/>
      <c r="CS85" s="192"/>
      <c r="CT85" s="192"/>
      <c r="CU85" s="196"/>
      <c r="CV85" s="196"/>
      <c r="CW85" s="196"/>
      <c r="CX85" s="58"/>
      <c r="CY85" s="194" t="str">
        <f>IF(DJ80=0,"","Seu progresso semanal:")</f>
        <v/>
      </c>
      <c r="DB85" s="195" t="str">
        <f>IFS(DI3=0,"Missão cumprida! Parabéns!!!",DI3=1,"Falta pouco, Você consegue!",TRUE,"Muito bem! Continue assim!")</f>
        <v>Missão cumprida! Parabéns!!!</v>
      </c>
      <c r="DH85" s="66"/>
      <c r="DI85" s="57"/>
      <c r="DJ85" s="192"/>
      <c r="DK85" s="192"/>
      <c r="DL85" s="196"/>
      <c r="DM85" s="196"/>
      <c r="DN85" s="196"/>
      <c r="DO85" s="58"/>
      <c r="DP85" s="57"/>
      <c r="DQ85" s="56"/>
      <c r="DR85" s="56"/>
      <c r="DS85" s="56"/>
      <c r="DT85" s="56"/>
      <c r="DU85" s="56"/>
      <c r="DV85" s="56"/>
      <c r="DW85" s="56"/>
      <c r="DX85" s="56"/>
      <c r="DY85" s="56"/>
    </row>
    <row r="86">
      <c r="A86" s="198"/>
      <c r="B86" s="149"/>
      <c r="C86" s="149"/>
      <c r="D86" s="57"/>
      <c r="E86" s="137"/>
      <c r="G86" s="137"/>
      <c r="J86" s="191"/>
      <c r="K86" s="57"/>
      <c r="L86" s="196"/>
      <c r="M86" s="196"/>
      <c r="N86" s="196"/>
      <c r="O86" s="196"/>
      <c r="P86" s="196"/>
      <c r="Q86" s="58"/>
      <c r="R86" s="198"/>
      <c r="S86" s="149"/>
      <c r="T86" s="149"/>
      <c r="U86" s="57"/>
      <c r="V86" s="137"/>
      <c r="X86" s="137"/>
      <c r="AA86" s="191"/>
      <c r="AB86" s="57"/>
      <c r="AC86" s="196"/>
      <c r="AD86" s="196"/>
      <c r="AE86" s="196"/>
      <c r="AF86" s="196"/>
      <c r="AG86" s="196"/>
      <c r="AH86" s="58"/>
      <c r="AI86" s="198"/>
      <c r="AJ86" s="149"/>
      <c r="AK86" s="149"/>
      <c r="AL86" s="57"/>
      <c r="AM86" s="137"/>
      <c r="AO86" s="137"/>
      <c r="AR86" s="191"/>
      <c r="AS86" s="57"/>
      <c r="AT86" s="196"/>
      <c r="AU86" s="196"/>
      <c r="AV86" s="196"/>
      <c r="AW86" s="196"/>
      <c r="AX86" s="196"/>
      <c r="AY86" s="58"/>
      <c r="AZ86" s="198"/>
      <c r="BA86" s="149"/>
      <c r="BB86" s="149"/>
      <c r="BC86" s="57"/>
      <c r="BD86" s="137"/>
      <c r="BF86" s="137"/>
      <c r="BI86" s="191"/>
      <c r="BJ86" s="57"/>
      <c r="BK86" s="196"/>
      <c r="BL86" s="196"/>
      <c r="BM86" s="196"/>
      <c r="BN86" s="196"/>
      <c r="BO86" s="196"/>
      <c r="BP86" s="58"/>
      <c r="BQ86" s="198"/>
      <c r="BR86" s="149"/>
      <c r="BS86" s="149"/>
      <c r="BT86" s="57"/>
      <c r="BU86" s="137"/>
      <c r="BW86" s="137"/>
      <c r="BZ86" s="191"/>
      <c r="CA86" s="57"/>
      <c r="CB86" s="196"/>
      <c r="CC86" s="196"/>
      <c r="CD86" s="196"/>
      <c r="CE86" s="196"/>
      <c r="CF86" s="196"/>
      <c r="CG86" s="58"/>
      <c r="CH86" s="198"/>
      <c r="CI86" s="149"/>
      <c r="CJ86" s="149"/>
      <c r="CK86" s="57"/>
      <c r="CL86" s="137"/>
      <c r="CN86" s="137"/>
      <c r="CQ86" s="191"/>
      <c r="CR86" s="57"/>
      <c r="CS86" s="196"/>
      <c r="CT86" s="196"/>
      <c r="CU86" s="196"/>
      <c r="CV86" s="196"/>
      <c r="CW86" s="196"/>
      <c r="CX86" s="58"/>
      <c r="CY86" s="198"/>
      <c r="CZ86" s="149"/>
      <c r="DA86" s="149"/>
      <c r="DB86" s="57"/>
      <c r="DC86" s="137"/>
      <c r="DE86" s="137"/>
      <c r="DH86" s="191"/>
      <c r="DI86" s="57"/>
      <c r="DJ86" s="196"/>
      <c r="DK86" s="196"/>
      <c r="DL86" s="196"/>
      <c r="DM86" s="196"/>
      <c r="DN86" s="196"/>
      <c r="DO86" s="58"/>
      <c r="DP86" s="57"/>
      <c r="DQ86" s="56"/>
      <c r="DR86" s="56"/>
      <c r="DS86" s="56"/>
      <c r="DT86" s="56"/>
      <c r="DU86" s="56"/>
      <c r="DV86" s="56"/>
      <c r="DW86" s="56"/>
      <c r="DX86" s="56"/>
      <c r="DY86" s="56"/>
    </row>
    <row r="87">
      <c r="A87" s="199" t="str">
        <f>IF(L80=0,"",$DQ$18&amp;" de "&amp;J2)</f>
        <v/>
      </c>
      <c r="B87" s="200" t="str">
        <f>IF($J$2=2,$DQ$18/$J$2,"")</f>
        <v/>
      </c>
      <c r="C87" s="200" t="str">
        <f>IF($J$2=3,$DQ$18/$J$2,"")</f>
        <v/>
      </c>
      <c r="D87" s="200" t="str">
        <f>IF($J$2=4,$DQ$18/$J$2,"")</f>
        <v/>
      </c>
      <c r="E87" s="200" t="str">
        <f>IF($J$2=5,$DQ$18/$J$2,"")</f>
        <v/>
      </c>
      <c r="G87" s="200" t="str">
        <f>IF($J$2=6,$DQ$18/$J$2,"")</f>
        <v/>
      </c>
      <c r="J87" s="202" t="str">
        <f>IF($J$2=7,$DQ$18/$J$2,"")</f>
        <v/>
      </c>
      <c r="K87" s="57"/>
      <c r="L87" s="196"/>
      <c r="M87" s="196"/>
      <c r="N87" s="196"/>
      <c r="O87" s="196"/>
      <c r="P87" s="196"/>
      <c r="Q87" s="58"/>
      <c r="R87" s="199" t="str">
        <f>IF(AC80=0,"",$DQ$18&amp;" de "&amp;AA2)</f>
        <v/>
      </c>
      <c r="S87" s="200" t="str">
        <f>IF($J$2=2,$DQ$18/$J$2,"")</f>
        <v/>
      </c>
      <c r="T87" s="200" t="str">
        <f>IF($J$2=3,$DQ$18/$J$2,"")</f>
        <v/>
      </c>
      <c r="U87" s="200" t="str">
        <f>IF($J$2=4,$DQ$18/$J$2,"")</f>
        <v/>
      </c>
      <c r="V87" s="200" t="str">
        <f>IF($J$2=5,$DQ$18/$J$2,"")</f>
        <v/>
      </c>
      <c r="X87" s="200" t="str">
        <f>IF($J$2=6,$DQ$18/$J$2,"")</f>
        <v/>
      </c>
      <c r="AA87" s="202" t="str">
        <f>IF($J$2=7,$DQ$18/$J$2,"")</f>
        <v/>
      </c>
      <c r="AB87" s="57"/>
      <c r="AC87" s="196"/>
      <c r="AD87" s="196"/>
      <c r="AE87" s="196"/>
      <c r="AF87" s="196"/>
      <c r="AG87" s="196"/>
      <c r="AH87" s="58"/>
      <c r="AI87" s="199" t="str">
        <f>IF(AT80=0,"",$DQ$18&amp;" de "&amp;AR2)</f>
        <v/>
      </c>
      <c r="AJ87" s="200" t="str">
        <f>IF($J$2=2,$DQ$18/$J$2,"")</f>
        <v/>
      </c>
      <c r="AK87" s="200" t="str">
        <f>IF($J$2=3,$DQ$18/$J$2,"")</f>
        <v/>
      </c>
      <c r="AL87" s="200" t="str">
        <f>IF($J$2=4,$DQ$18/$J$2,"")</f>
        <v/>
      </c>
      <c r="AM87" s="200" t="str">
        <f>IF($J$2=5,$DQ$18/$J$2,"")</f>
        <v/>
      </c>
      <c r="AO87" s="200" t="str">
        <f>IF($J$2=6,$DQ$18/$J$2,"")</f>
        <v/>
      </c>
      <c r="AR87" s="202" t="str">
        <f>IF($J$2=7,$DQ$18/$J$2,"")</f>
        <v/>
      </c>
      <c r="AS87" s="57"/>
      <c r="AT87" s="196"/>
      <c r="AU87" s="196"/>
      <c r="AV87" s="196"/>
      <c r="AW87" s="196"/>
      <c r="AX87" s="196"/>
      <c r="AY87" s="58"/>
      <c r="AZ87" s="199" t="str">
        <f>IF(BK80=0,"",$DQ$18&amp;" de "&amp;BI2)</f>
        <v/>
      </c>
      <c r="BA87" s="200" t="str">
        <f>IF($J$2=2,$DQ$18/$J$2,"")</f>
        <v/>
      </c>
      <c r="BB87" s="200" t="str">
        <f>IF($J$2=3,$DQ$18/$J$2,"")</f>
        <v/>
      </c>
      <c r="BC87" s="200" t="str">
        <f>IF($J$2=4,$DQ$18/$J$2,"")</f>
        <v/>
      </c>
      <c r="BD87" s="200" t="str">
        <f>IF($J$2=5,$DQ$18/$J$2,"")</f>
        <v/>
      </c>
      <c r="BF87" s="200" t="str">
        <f>IF($J$2=6,$DQ$18/$J$2,"")</f>
        <v/>
      </c>
      <c r="BI87" s="202" t="str">
        <f>IF($J$2=7,$DQ$18/$J$2,"")</f>
        <v/>
      </c>
      <c r="BJ87" s="57"/>
      <c r="BK87" s="196"/>
      <c r="BL87" s="196"/>
      <c r="BM87" s="196"/>
      <c r="BN87" s="196"/>
      <c r="BO87" s="196"/>
      <c r="BP87" s="58"/>
      <c r="BQ87" s="199" t="str">
        <f>IF(CB80=0,"",$DQ$18&amp;" de "&amp;BZ2)</f>
        <v/>
      </c>
      <c r="BR87" s="200" t="str">
        <f>IF($J$2=2,$DQ$18/$J$2,"")</f>
        <v/>
      </c>
      <c r="BS87" s="200" t="str">
        <f>IF($J$2=3,$DQ$18/$J$2,"")</f>
        <v/>
      </c>
      <c r="BT87" s="200" t="str">
        <f>IF($J$2=4,$DQ$18/$J$2,"")</f>
        <v/>
      </c>
      <c r="BU87" s="200" t="str">
        <f>IF($J$2=5,$DQ$18/$J$2,"")</f>
        <v/>
      </c>
      <c r="BW87" s="200" t="str">
        <f>IF($J$2=6,$DQ$18/$J$2,"")</f>
        <v/>
      </c>
      <c r="BZ87" s="202" t="str">
        <f>IF($J$2=7,$DQ$18/$J$2,"")</f>
        <v/>
      </c>
      <c r="CA87" s="57"/>
      <c r="CB87" s="196"/>
      <c r="CC87" s="196"/>
      <c r="CD87" s="196"/>
      <c r="CE87" s="196"/>
      <c r="CF87" s="196"/>
      <c r="CG87" s="58"/>
      <c r="CH87" s="199" t="str">
        <f>IF(CS80=0,"",$DQ$18&amp;" de "&amp;CQ2)</f>
        <v/>
      </c>
      <c r="CI87" s="200" t="str">
        <f>IF($J$2=2,$DQ$18/$J$2,"")</f>
        <v/>
      </c>
      <c r="CJ87" s="200" t="str">
        <f>IF($J$2=3,$DQ$18/$J$2,"")</f>
        <v/>
      </c>
      <c r="CK87" s="200" t="str">
        <f>IF($J$2=4,$DQ$18/$J$2,"")</f>
        <v/>
      </c>
      <c r="CL87" s="200" t="str">
        <f>IF($J$2=5,$DQ$18/$J$2,"")</f>
        <v/>
      </c>
      <c r="CN87" s="200" t="str">
        <f>IF($J$2=6,$DQ$18/$J$2,"")</f>
        <v/>
      </c>
      <c r="CQ87" s="202" t="str">
        <f>IF($J$2=7,$DQ$18/$J$2,"")</f>
        <v/>
      </c>
      <c r="CR87" s="57"/>
      <c r="CS87" s="196"/>
      <c r="CT87" s="196"/>
      <c r="CU87" s="196"/>
      <c r="CV87" s="196"/>
      <c r="CW87" s="196"/>
      <c r="CX87" s="58"/>
      <c r="CY87" s="199" t="str">
        <f>IF(DJ80=0,"",$DQ$18&amp;" de "&amp;DH2)</f>
        <v/>
      </c>
      <c r="CZ87" s="200" t="str">
        <f>IF($J$2=2,$DQ$18/$J$2,"")</f>
        <v/>
      </c>
      <c r="DA87" s="200" t="str">
        <f>IF($J$2=3,$DQ$18/$J$2,"")</f>
        <v/>
      </c>
      <c r="DB87" s="200" t="str">
        <f>IF($J$2=4,$DQ$18/$J$2,"")</f>
        <v/>
      </c>
      <c r="DC87" s="200" t="str">
        <f>IF($J$2=5,$DQ$18/$J$2,"")</f>
        <v/>
      </c>
      <c r="DE87" s="200" t="str">
        <f>IF($J$2=6,$DQ$18/$J$2,"")</f>
        <v/>
      </c>
      <c r="DH87" s="202" t="str">
        <f>IF($J$2=7,$DQ$18/$J$2,"")</f>
        <v/>
      </c>
      <c r="DI87" s="57"/>
      <c r="DJ87" s="196"/>
      <c r="DK87" s="196"/>
      <c r="DL87" s="196"/>
      <c r="DM87" s="196"/>
      <c r="DN87" s="196"/>
      <c r="DO87" s="58"/>
      <c r="DP87" s="57"/>
      <c r="DQ87" s="56"/>
      <c r="DR87" s="56"/>
      <c r="DS87" s="56"/>
      <c r="DT87" s="56"/>
      <c r="DU87" s="56"/>
      <c r="DV87" s="56"/>
      <c r="DW87" s="56"/>
      <c r="DX87" s="56"/>
      <c r="DY87" s="56"/>
    </row>
    <row r="88">
      <c r="A88" s="194" t="str">
        <f>IF(L80=0,"","Outras informações :")</f>
        <v/>
      </c>
      <c r="C88" s="57"/>
      <c r="D88" s="57"/>
      <c r="E88" s="57"/>
      <c r="F88" s="57"/>
      <c r="G88" s="57"/>
      <c r="H88" s="57"/>
      <c r="I88" s="57"/>
      <c r="J88" s="191"/>
      <c r="K88" s="57"/>
      <c r="L88" s="196"/>
      <c r="M88" s="196"/>
      <c r="N88" s="196"/>
      <c r="O88" s="196"/>
      <c r="P88" s="196"/>
      <c r="Q88" s="58"/>
      <c r="R88" s="194" t="str">
        <f>IF(AC80=0,"","Outras informações :")</f>
        <v/>
      </c>
      <c r="T88" s="57"/>
      <c r="U88" s="57"/>
      <c r="V88" s="57"/>
      <c r="W88" s="57"/>
      <c r="X88" s="57"/>
      <c r="Y88" s="57"/>
      <c r="Z88" s="57"/>
      <c r="AA88" s="191"/>
      <c r="AB88" s="57"/>
      <c r="AC88" s="196"/>
      <c r="AD88" s="196"/>
      <c r="AE88" s="196"/>
      <c r="AF88" s="196"/>
      <c r="AG88" s="196"/>
      <c r="AH88" s="58"/>
      <c r="AI88" s="194" t="str">
        <f>IF(AT80=0,"","Outras informações :")</f>
        <v/>
      </c>
      <c r="AK88" s="57"/>
      <c r="AL88" s="57"/>
      <c r="AM88" s="57"/>
      <c r="AN88" s="57"/>
      <c r="AO88" s="57"/>
      <c r="AP88" s="57"/>
      <c r="AQ88" s="57"/>
      <c r="AR88" s="191"/>
      <c r="AS88" s="57"/>
      <c r="AT88" s="196"/>
      <c r="AU88" s="196"/>
      <c r="AV88" s="196"/>
      <c r="AW88" s="196"/>
      <c r="AX88" s="196"/>
      <c r="AY88" s="58"/>
      <c r="AZ88" s="194" t="str">
        <f>IF(BK80=0,"","Outras informações :")</f>
        <v/>
      </c>
      <c r="BB88" s="57"/>
      <c r="BC88" s="57"/>
      <c r="BD88" s="57"/>
      <c r="BE88" s="57"/>
      <c r="BF88" s="57"/>
      <c r="BG88" s="57"/>
      <c r="BH88" s="57"/>
      <c r="BI88" s="191"/>
      <c r="BJ88" s="57"/>
      <c r="BK88" s="196"/>
      <c r="BL88" s="196"/>
      <c r="BM88" s="196"/>
      <c r="BN88" s="196"/>
      <c r="BO88" s="196"/>
      <c r="BP88" s="58"/>
      <c r="BQ88" s="194" t="str">
        <f>IF(CB80=0,"","Outras informações :")</f>
        <v/>
      </c>
      <c r="BS88" s="57"/>
      <c r="BT88" s="57"/>
      <c r="BU88" s="57"/>
      <c r="BV88" s="57"/>
      <c r="BW88" s="57"/>
      <c r="BX88" s="57"/>
      <c r="BY88" s="57"/>
      <c r="BZ88" s="191"/>
      <c r="CA88" s="57"/>
      <c r="CB88" s="196"/>
      <c r="CC88" s="196"/>
      <c r="CD88" s="196"/>
      <c r="CE88" s="196"/>
      <c r="CF88" s="196"/>
      <c r="CG88" s="58"/>
      <c r="CH88" s="194" t="str">
        <f>IF(CS80=0,"","Outras informações :")</f>
        <v/>
      </c>
      <c r="CJ88" s="57"/>
      <c r="CK88" s="57"/>
      <c r="CL88" s="57"/>
      <c r="CM88" s="57"/>
      <c r="CN88" s="57"/>
      <c r="CO88" s="57"/>
      <c r="CP88" s="57"/>
      <c r="CQ88" s="191"/>
      <c r="CR88" s="57"/>
      <c r="CS88" s="196"/>
      <c r="CT88" s="196"/>
      <c r="CU88" s="196"/>
      <c r="CV88" s="196"/>
      <c r="CW88" s="196"/>
      <c r="CX88" s="58"/>
      <c r="CY88" s="194" t="str">
        <f>IF(DJ80=0,"","Outras informações :")</f>
        <v/>
      </c>
      <c r="DA88" s="57"/>
      <c r="DB88" s="57"/>
      <c r="DC88" s="57"/>
      <c r="DD88" s="57"/>
      <c r="DE88" s="57"/>
      <c r="DF88" s="57"/>
      <c r="DG88" s="57"/>
      <c r="DH88" s="191"/>
      <c r="DI88" s="57"/>
      <c r="DJ88" s="196"/>
      <c r="DK88" s="196"/>
      <c r="DL88" s="196"/>
      <c r="DM88" s="196"/>
      <c r="DN88" s="196"/>
      <c r="DO88" s="58"/>
      <c r="DP88" s="57"/>
      <c r="DQ88" s="56"/>
      <c r="DR88" s="56"/>
      <c r="DS88" s="56"/>
      <c r="DT88" s="56"/>
      <c r="DU88" s="56"/>
      <c r="DV88" s="56"/>
      <c r="DW88" s="56"/>
      <c r="DX88" s="56"/>
      <c r="DY88" s="56"/>
    </row>
    <row r="89">
      <c r="A89" s="194" t="str">
        <f>IF(L80=0,"","Tempo sobre tensão")</f>
        <v/>
      </c>
      <c r="D89" s="56">
        <f>SUM(E16*F16*(H16+I16),E18*F18*(H18+I18),E20*F20*(H20+I20),E22*F22*(H22+I22),E26*F26*(H26+I26),E28*F28*(H28+I28),E30*F30*(H30+I30),E32*F32*(H32+I32),E34*F34*(H34+I34),E36*F36*(H36+I36),E38*F38*(H38+I38),E40*F40*(H40+I40),E42*F42*(H42+I42),E44*F44*(H44+I44),E46*F46*(H46+I46),E48*F48*(H48+I48),E50*F50*(H50+I50),E52*F52*(H52+I52),E54*F54*(H54+I54),E56*F56*(H56+I56),E58*F58*(H58+I58),E60*F60*(H60+I60),E62*F62*(H62+I62),E64*F64*(H64+I64),E68*F68*(H68+I68),E70*F70*(H70+I70),E72*F72*(H72+I72))/60</f>
        <v>0</v>
      </c>
      <c r="E89" s="57" t="str">
        <f>IF(L80=0,"","Densidade")</f>
        <v/>
      </c>
      <c r="H89" s="186" t="str">
        <f>IF(L80=0,"",D89/(K89+0.0000001))</f>
        <v/>
      </c>
      <c r="J89" s="66"/>
      <c r="K89" s="57">
        <f>SUM(IF(E16=0,1,E16)*G16,IF(E18=0,1,E18)*G18,IF(E20=0,1,E20)*G20,IF(E22=0,1,E22)*G22,IF(E26=0,1,E26)*G26,IF(E28=0,1,E28)*G28,IF(E30=0,1,E30)*G30,IF(E32=0,1,E32)*G32,IF(E34=0,1,E34)*G34,IF(E36=0,1,E36)*G36,IF(E38=0,1,E38)*G38,IF(E40=0,1,E40)*G40,IF(E42=0,1,E42)*G42,IF(E44=0,1,E44)*G44,IF(E46=0,1,E46)*G46,IF(E48=0,1,E48)*G48,IF(E50=0,1,E50)*G50,IF(E52=0,1,E52)*G52,IF(E54=0,1,E54)*G54,IF(E56=0,1,E56)*G56,IF(E58=0,1,E58)*G58,IF(E60=0,1,E60)*G60,IF(E62=0,1,E62)*G62,IF(E64=0,1,E64)*G64,IF(E68=0,1,E68)*G68,IF(E70=0,1,E70)*G70,IF(E72=0,1,E72)*G72)/60</f>
        <v>0</v>
      </c>
      <c r="L89" s="196"/>
      <c r="M89" s="196"/>
      <c r="N89" s="196"/>
      <c r="O89" s="196"/>
      <c r="P89" s="196"/>
      <c r="Q89" s="58"/>
      <c r="R89" s="194" t="str">
        <f>IF(AC80=0,"","Tempo sobre tensão")</f>
        <v/>
      </c>
      <c r="U89" s="56">
        <f>SUM(V16*W16*(Y16+Z16),V18*W18*(Y18+Z18),V20*W20*(Y20+Z20),V22*W22*(Y22+Z22),V26*W26*(Y26+Z26),V28*W28*(Y28+Z28),V30*W30*(Y30+Z30),V32*W32*(Y32+Z32),V34*W34*(Y34+Z34),V36*W36*(Y36+Z36),V38*W38*(Y38+Z38),V40*W40*(Y40+Z40),V42*W42*(Y42+Z42),V44*W44*(Y44+Z44),V46*W46*(Y46+Z46),V48*W48*(Y48+Z48),V50*W50*(Y50+Z50),V52*W52*(Y52+Z52),V54*W54*(Y54+Z54),V56*W56*(Y56+Z56),V58*W58*(Y58+Z58),V60*W60*(Y60+Z60),V62*W62*(Y62+Z62),V64*W64*(Y64+Z64),V68*W68*(Y68+Z68),V70*W70*(Y70+Z70),V72*W72*(Y72+Z72))/60</f>
        <v>0</v>
      </c>
      <c r="V89" s="57" t="str">
        <f>IF(AC80=0,"","Densidade")</f>
        <v/>
      </c>
      <c r="Y89" s="186" t="str">
        <f>IF(AC80=0,"",U89/(AB89+0.0000001))</f>
        <v/>
      </c>
      <c r="AA89" s="66"/>
      <c r="AB89" s="57">
        <f>SUM(IF(V16=0,1,V16)*X16,IF(V18=0,1,V18)*X18,IF(V20=0,1,V20)*X20,IF(V22=0,1,V22)*X22,IF(V26=0,1,V26)*X26,IF(V28=0,1,V28)*X28,IF(V30=0,1,V30)*X30,IF(V32=0,1,V32)*X32,IF(V34=0,1,V34)*X34,IF(V36=0,1,V36)*X36,IF(V38=0,1,V38)*X38,IF(V40=0,1,V40)*X40,IF(V42=0,1,V42)*X42,IF(V44=0,1,V44)*X44,IF(V46=0,1,V46)*X46,IF(V48=0,1,V48)*X48,IF(V50=0,1,V50)*X50,IF(V52=0,1,V52)*X52,IF(V54=0,1,V54)*X54,IF(V56=0,1,V56)*X56,IF(V58=0,1,V58)*X58,IF(V60=0,1,V60)*X60,IF(V62=0,1,V62)*X62,IF(V64=0,1,V64)*X64,IF(V68=0,1,V68)*X68,IF(V70=0,1,V70)*X70,IF(V72=0,1,V72)*X72)/60</f>
        <v>0</v>
      </c>
      <c r="AC89" s="196"/>
      <c r="AD89" s="196"/>
      <c r="AE89" s="196"/>
      <c r="AF89" s="196"/>
      <c r="AG89" s="196"/>
      <c r="AH89" s="58"/>
      <c r="AI89" s="194" t="str">
        <f>IF(AT80=0,"","Tempo sobre tensão")</f>
        <v/>
      </c>
      <c r="AL89" s="56">
        <f>SUM(AM16*AN16*(AP16+AQ16),AM18*AN18*(AP18+AQ18),AM20*AN20*(AP20+AQ20),AM22*AN22*(AP22+AQ22),AM26*AN26*(AP26+AQ26),AM28*AN28*(AP28+AQ28),AM30*AN30*(AP30+AQ30),AM32*AN32*(AP32+AQ32),AM34*AN34*(AP34+AQ34),AM36*AN36*(AP36+AQ36),AM38*AN38*(AP38+AQ38),AM40*AN40*(AP40+AQ40),AM42*AN42*(AP42+AQ42),AM44*AN44*(AP44+AQ44),AM46*AN46*(AP46+AQ46),AM48*AN48*(AP48+AQ48),AM50*AN50*(AP50+AQ50),AM52*AN52*(AP52+AQ52),AM54*AN54*(AP54+AQ54),AM56*AN56*(AP56+AQ56),AM58*AN58*(AP58+AQ58),AM60*AN60*(AP60+AQ60),AM62*AN62*(AP62+AQ62),AM64*AN64*(AP64+AQ64),AM68*AN68*(AP68+AQ68),AM70*AN70*(AP70+AQ70),AM72*AN72*(AP72+AQ72))/60</f>
        <v>0</v>
      </c>
      <c r="AM89" s="57" t="str">
        <f>IF(AT80=0,"","Densidade")</f>
        <v/>
      </c>
      <c r="AP89" s="203" t="str">
        <f>IF(AT80=0,"",AL89/(AS89+0.0000001))</f>
        <v/>
      </c>
      <c r="AR89" s="66"/>
      <c r="AS89" s="57">
        <f>SUM(IF(AM16=0,1,AM16)*AO16,IF(AM18=0,1,AM18)*AO18,IF(AM20=0,1,AM20)*AO20,IF(AM22=0,1,AM22)*AO22,IF(AM26=0,1,AM26)*AO26,IF(AM28=0,1,AM28)*AO28,IF(AM30=0,1,AM30)*AO30,IF(AM32=0,1,AM32)*AO32,IF(AM34=0,1,AM34)*AO34,IF(AM36=0,1,AM36)*AO36,IF(AM38=0,1,AM38)*AO38,IF(AM40=0,1,AM40)*AO40,IF(AM42=0,1,AM42)*AO42,IF(AM44=0,1,AM44)*AO44,IF(AM46=0,1,AM46)*AO46,IF(AM48=0,1,AM48)*AO48,IF(AM50=0,1,AM50)*AO50,IF(AM52=0,1,AM52)*AO52,IF(AM54=0,1,AM54)*AO54,IF(AM56=0,1,AM56)*AO56,IF(AM58=0,1,AM58)*AO58,IF(AM60=0,1,AM60)*AO60,IF(AM62=0,1,AM62)*AO62,IF(AM64=0,1,AM64)*AO64,IF(AM68=0,1,AM68)*AO68,IF(AM70=0,1,AM70)*AO70,IF(AM72=0,1,AM72)*AO72)/60</f>
        <v>0</v>
      </c>
      <c r="AT89" s="196"/>
      <c r="AU89" s="196"/>
      <c r="AV89" s="196"/>
      <c r="AW89" s="196"/>
      <c r="AX89" s="196"/>
      <c r="AY89" s="58"/>
      <c r="AZ89" s="194" t="str">
        <f>IF(BK80=0,"","Tempo sobre tensão")</f>
        <v/>
      </c>
      <c r="BC89" s="56">
        <f>SUM(BD16*BE16*(BG16+BH16),BD18*BE18*(BG18+BH18),BD20*BE20*(BG20+BH20),BD22*BE22*(BG22+BH22),BD26*BE26*(BG26+BH26),BD28*BE28*(BG28+BH28),BD30*BE30*(BG30+BH30),BD32*BE32*(BG32+BH32),BD34*BE34*(BG34+BH34),BD36*BE36*(BG36+BH36),BD38*BE38*(BG38+BH38),BD40*BE40*(BG40+BH40),BD42*BE42*(BG42+BH42),BD44*BE44*(BG44+BH44),BD46*BE46*(BG46+BH46),BD48*BE48*(BG48+BH48),BD50*BE50*(BG50+BH50),BD52*BE52*(BG52+BH52),BD54*BE54*(BG54+BH54),BD56*BE56*(BG56+BH56),BD58*BE58*(BG58+BH58),BD60*BE60*(BG60+BH60),BD62*BE62*(BG62+BH62),BD64*BE64*(BG64+BH64),BD68*BE68*(BG68+BH68),BD70*BE70*(BG70+BH70),BD72*BE72*(BG72+BH72))/60</f>
        <v>0</v>
      </c>
      <c r="BD89" s="57" t="str">
        <f>IF(BK80=0,"","Densidade")</f>
        <v/>
      </c>
      <c r="BG89" s="186" t="str">
        <f>IF(BK80=0,"",BC89/(BJ89+0.0000001))</f>
        <v/>
      </c>
      <c r="BI89" s="66"/>
      <c r="BJ89" s="57">
        <f>SUM(IF(BD16=0,1,BD16)*BF16,IF(BD18=0,1,BD18)*BF18,IF(BD20=0,1,BD20)*BF20,IF(BD22=0,1,BD22)*BF22,IF(BD26=0,1,BD26)*BF26,IF(BD28=0,1,BD28)*BF28,IF(BD30=0,1,BD30)*BF30,IF(BD32=0,1,BD32)*BF32,IF(BD34=0,1,BD34)*BF34,IF(BD36=0,1,BD36)*BF36,IF(BD38=0,1,BD38)*BF38,IF(BD40=0,1,BD40)*BF40,IF(BD42=0,1,BD42)*BF42,IF(BD44=0,1,BD44)*BF44,IF(BD46=0,1,BD46)*BF46,IF(BD48=0,1,BD48)*BF48,IF(BD50=0,1,BD50)*BF50,IF(BD52=0,1,BD52)*BF52,IF(BD54=0,1,BD54)*BF54,IF(BD56=0,1,BD56)*BF56,IF(BD58=0,1,BD58)*BF58,IF(BD60=0,1,BD60)*BF60,IF(BD62=0,1,BD62)*BF62,IF(BD64=0,1,BD64)*BF64,IF(BD68=0,1,BD68)*BF68,IF(BD70=0,1,BD70)*BF70,IF(BD72=0,1,BD72)*BF72)/60</f>
        <v>0</v>
      </c>
      <c r="BK89" s="196"/>
      <c r="BL89" s="196"/>
      <c r="BM89" s="196"/>
      <c r="BN89" s="196"/>
      <c r="BO89" s="196"/>
      <c r="BP89" s="58"/>
      <c r="BQ89" s="194" t="str">
        <f>IF(CB80=0,"","Tempo sobre tensão")</f>
        <v/>
      </c>
      <c r="BT89" s="56">
        <f>SUM(BU16*BV16*(BX16+BY16),BU18*BV18*(BX18+BY18),BU20*BV20*(BX20+BY20),BU22*BV22*(BX22+BY22),BU26*BV26*(BX26+BY26),BU28*BV28*(BX28+BY28),BU30*BV30*(BX30+BY30),BU32*BV32*(BX32+BY32),BU34*BV34*(BX34+BY34),BU36*BV36*(BX36+BY36),BU38*BV38*(BX38+BY38),BU40*BV40*(BX40+BY40),BU42*BV42*(BX42+BY42),BU44*BV44*(BX44+BY44),BU46*BV46*(BX46+BY46),BU48*BV48*(BX48+BY48),BU50*BV50*(BX50+BY50),BU52*BV52*(BX52+BY52),BU54*BV54*(BX54+BY54),BU56*BV56*(BX56+BY56),BU58*BV58*(BX58+BY58),BU60*BV60*(BX60+BY60),BU62*BV62*(BX62+BY62),BU64*BV64*(BX64+BY64),BU68*BV68*(BX68+BY68),BU70*BV70*(BX70+BY70),BU72*BV72*(BX72+BY72))/60</f>
        <v>0</v>
      </c>
      <c r="BU89" s="57" t="str">
        <f>IF(CB80=0,"","Densidade")</f>
        <v/>
      </c>
      <c r="BX89" s="203" t="str">
        <f>IF(CB80=0,"",BT89/(CA89+0.0000001))</f>
        <v/>
      </c>
      <c r="BZ89" s="66"/>
      <c r="CA89" s="57">
        <f>SUM(IF(BU16=0,1,BU16)*BW16,IF(BU18=0,1,BU18)*BW18,IF(BU20=0,1,BU20)*BW20,IF(BU22=0,1,BU22)*BW22,IF(BU26=0,1,BU26)*BW26,IF(BU28=0,1,BU28)*BW28,IF(BU30=0,1,BU30)*BW30,IF(BU32=0,1,BU32)*BW32,IF(BU34=0,1,BU34)*BW34,IF(BU36=0,1,BU36)*BW36,IF(BU38=0,1,BU38)*BW38,IF(BU40=0,1,BU40)*BW40,IF(BU42=0,1,BU42)*BW42,IF(BU44=0,1,BU44)*BW44,IF(BU46=0,1,BU46)*BW46,IF(BU48=0,1,BU48)*BW48,IF(BU50=0,1,BU50)*BW50,IF(BU52=0,1,BU52)*BW52,IF(BU54=0,1,BU54)*BW54,IF(BU56=0,1,BU56)*BW56,IF(BU58=0,1,BU58)*BW58,IF(BU60=0,1,BU60)*BW60,IF(BU62=0,1,BU62)*BW62,IF(BU64=0,1,BU64)*BW64,IF(BU68=0,1,BU68)*BW68,IF(BU70=0,1,BU70)*BW70,IF(BU72=0,1,BU72)*BW72)/60</f>
        <v>0</v>
      </c>
      <c r="CB89" s="196"/>
      <c r="CC89" s="196"/>
      <c r="CD89" s="196"/>
      <c r="CE89" s="196"/>
      <c r="CF89" s="196"/>
      <c r="CG89" s="58"/>
      <c r="CH89" s="194" t="str">
        <f>IF(CS80=0,"","Tempo sobre tensão")</f>
        <v/>
      </c>
      <c r="CK89" s="56">
        <f>SUM(CL16*CM16*(CO16+CP16),CL18*CM18*(CO18+CP18),CL20*CM20*(CO20+CP20),CL22*CM22*(CO22+CP22),CL26*CM26*(CO26+CP26),CL28*CM28*(CO28+CP28),CL30*CM30*(CO30+CP30),CL32*CM32*(CO32+CP32),CL34*CM34*(CO34+CP34),CL36*CM36*(CO36+CP36),CL38*CM38*(CO38+CP38),CL40*CM40*(CO40+CP40),CL42*CM42*(CO42+CP42),CL44*CM44*(CO44+CP44),CL46*CM46*(CO46+CP46),CL48*CM48*(CO48+CP48),CL50*CM50*(CO50+CP50),CL52*CM52*(CO52+CP52),CL54*CM54*(CO54+CP54),CL56*CM56*(CO56+CP56),CL58*CM58*(CO58+CP58),CL60*CM60*(CO60+CP60),CL62*CM62*(CO62+CP62),CL64*CM64*(CO64+CP64),CL68*CM68*(CO68+CP68),CL70*CM70*(CO70+CP70),CL72*CM72*(CO72+CP72))/60</f>
        <v>0</v>
      </c>
      <c r="CL89" s="57" t="str">
        <f>IF(CS80=0,"","Densidade")</f>
        <v/>
      </c>
      <c r="CO89" s="203" t="str">
        <f>IF(CS80=0,"",CK89/(CR89+0.0000001))</f>
        <v/>
      </c>
      <c r="CQ89" s="66"/>
      <c r="CR89" s="57">
        <f>SUM(IF(CL16=0,1,CL16)*CN16,IF(CL18=0,1,CL18)*CN18,IF(CL20=0,1,CL20)*CN20,IF(CL22=0,1,CL22)*CN22,IF(CL26=0,1,CL26)*CN26,IF(CL28=0,1,CL28)*CN28,IF(CL30=0,1,CL30)*CN30,IF(CL32=0,1,CL32)*CN32,IF(CL34=0,1,CL34)*CN34,IF(CL36=0,1,CL36)*CN36,IF(CL38=0,1,CL38)*CN38,IF(CL40=0,1,CL40)*CN40,IF(CL42=0,1,CL42)*CN42,IF(CL44=0,1,CL44)*CN44,IF(CL46=0,1,CL46)*CN46,IF(CL48=0,1,CL48)*CN48,IF(CL50=0,1,CL50)*CN50,IF(CL52=0,1,CL52)*CN52,IF(CL54=0,1,CL54)*CN54,IF(CL56=0,1,CL56)*CN56,IF(CL58=0,1,CL58)*CN58,IF(CL60=0,1,CL60)*CN60,IF(CL62=0,1,CL62)*CN62,IF(CL64=0,1,CL64)*CN64,IF(CL68=0,1,CL68)*CN68,IF(CL70=0,1,CL70)*CN70,IF(CL72=0,1,CL72)*CN72)/60</f>
        <v>0</v>
      </c>
      <c r="CS89" s="196"/>
      <c r="CT89" s="196"/>
      <c r="CU89" s="196"/>
      <c r="CV89" s="196"/>
      <c r="CW89" s="196"/>
      <c r="CX89" s="58"/>
      <c r="CY89" s="194" t="str">
        <f>IF(DJ80=0,"","Tempo sobre tensão")</f>
        <v/>
      </c>
      <c r="DB89" s="56">
        <f>SUM(DC16*DD16*(DF16+DG16),DC18*DD18*(DF18+DG18),DC20*DD20*(DF20+DG20),DC22*DD22*(DF22+DG22),DC26*DD26*(DF26+DG26),DC28*DD28*(DF28+DG28),DC30*DD30*(DF30+DG30),DC32*DD32*(DF32+DG32),DC34*DD34*(DF34+DG34),DC36*DD36*(DF36+DG36),DC38*DD38*(DF38+DG38),DC40*DD40*(DF40+DG40),DC42*DD42*(DF42+DG42),DC44*DD44*(DF44+DG44),DC46*DD46*(DF46+DG46),DC48*DD48*(DF48+DG48),DC50*DD50*(DF50+DG50),DC52*DD52*(DF52+DG52),DC54*DD54*(DF54+DG54),DC56*DD56*(DF56+DG56),DC58*DD58*(DF58+DG58),DC60*DD60*(DF60+DG60),DC62*DD62*(DF62+DG62),DC64*DD64*(DF64+DG64),DC68*DD68*(DF68+DG68),DC70*DD70*(DF70+DG70),DC72*DD72*(DF72+DG72))/60</f>
        <v>0</v>
      </c>
      <c r="DC89" s="57" t="str">
        <f>IF(DJ80=0,"","Densidade")</f>
        <v/>
      </c>
      <c r="DF89" s="203" t="str">
        <f>IF(DJ80=0,"",DB89/(DI89+0.0000001))</f>
        <v/>
      </c>
      <c r="DH89" s="66"/>
      <c r="DI89" s="57">
        <f>SUM(IF(DC16=0,1,DC16)*DE16,IF(DC18=0,1,DC18)*DE18,IF(DC20=0,1,DC20)*DE20,IF(DC22=0,1,DC22)*DE22,IF(DC26=0,1,DC26)*DE26,IF(DC28=0,1,DC28)*DE28,IF(DC30=0,1,DC30)*DE30,IF(DC32=0,1,DC32)*DE32,IF(DC34=0,1,DC34)*DE34,IF(DC36=0,1,DC36)*DE36,IF(DC38=0,1,DC38)*DE38,IF(DC40=0,1,DC40)*DE40,IF(DC42=0,1,DC42)*DE42,IF(DC44=0,1,DC44)*DE44,IF(DC46=0,1,DC46)*DE46,IF(DC48=0,1,DC48)*DE48,IF(DC50=0,1,DC50)*DE50,IF(DC52=0,1,DC52)*DE52,IF(DC54=0,1,DC54)*DE54,IF(DC56=0,1,DC56)*DE56,IF(DC58=0,1,DC58)*DE58,IF(DC60=0,1,DC60)*DE60,IF(DC62=0,1,DC62)*DE62,IF(DC64=0,1,DC64)*DE64,IF(DC68=0,1,DC68)*DE68,IF(DC70=0,1,DC70)*DE70,IF(DC72=0,1,DC72)*DE72)/60</f>
        <v>0</v>
      </c>
      <c r="DJ89" s="196"/>
      <c r="DK89" s="196"/>
      <c r="DL89" s="196"/>
      <c r="DM89" s="196"/>
      <c r="DN89" s="196"/>
      <c r="DO89" s="58"/>
      <c r="DP89" s="57"/>
      <c r="DQ89" s="56"/>
      <c r="DR89" s="56"/>
      <c r="DS89" s="56"/>
      <c r="DT89" s="56"/>
      <c r="DU89" s="56"/>
      <c r="DV89" s="56"/>
      <c r="DW89" s="56"/>
      <c r="DX89" s="56"/>
      <c r="DY89" s="56"/>
    </row>
    <row r="90">
      <c r="A90" s="194" t="str">
        <f>IF(L80=0,"","Carga Interna de treino")</f>
        <v/>
      </c>
      <c r="D90" s="56" t="str">
        <f>IF(L80=0,"",(L80*D89)+(L80*IF(ISNUMBER(B82),B82,B6)))</f>
        <v/>
      </c>
      <c r="E90" s="57" t="str">
        <f>IF(L80=0,"","Razão Ag/Cr")</f>
        <v/>
      </c>
      <c r="H90" s="186" t="str">
        <f>IF(L80=0,"",D90/'Dados de Base'!$J$7)</f>
        <v/>
      </c>
      <c r="J90" s="66"/>
      <c r="K90" s="57"/>
      <c r="L90" s="196"/>
      <c r="M90" s="196"/>
      <c r="N90" s="196"/>
      <c r="O90" s="196"/>
      <c r="P90" s="196"/>
      <c r="Q90" s="58"/>
      <c r="R90" s="194" t="str">
        <f>IF(AC80=0,"","Carga Interna de treino")</f>
        <v/>
      </c>
      <c r="U90" s="56" t="str">
        <f>IF(AC80=0,"",(AC80*U89)+(AC80*IF(ISNUMBER(S82),S82,S6)))</f>
        <v/>
      </c>
      <c r="V90" s="57" t="str">
        <f>IF(AC80=0,"","Razão Ag/Cr")</f>
        <v/>
      </c>
      <c r="Y90" s="186" t="str">
        <f>IF(AC80=0,"",U90/'Dados de Base'!$J$7)</f>
        <v/>
      </c>
      <c r="AA90" s="66"/>
      <c r="AB90" s="57"/>
      <c r="AC90" s="196"/>
      <c r="AD90" s="196"/>
      <c r="AE90" s="196"/>
      <c r="AF90" s="196"/>
      <c r="AG90" s="196"/>
      <c r="AH90" s="58"/>
      <c r="AI90" s="194" t="str">
        <f>IF(AT80=0,"","Carga Interna de treino")</f>
        <v/>
      </c>
      <c r="AL90" s="56" t="str">
        <f>IF(AT80=0,"",(AT80*AL89)+(AT80*IF(ISNUMBER(AJ82),AJ82,AJ6)))</f>
        <v/>
      </c>
      <c r="AM90" s="57" t="str">
        <f>IF(AT80=0,"","Razão Ag/Cr")</f>
        <v/>
      </c>
      <c r="AP90" s="186" t="str">
        <f>IF(AT80=0,"",AL90/'Dados de Base'!$J$7)</f>
        <v/>
      </c>
      <c r="AR90" s="66"/>
      <c r="AS90" s="57"/>
      <c r="AT90" s="196"/>
      <c r="AU90" s="196"/>
      <c r="AV90" s="196"/>
      <c r="AW90" s="196"/>
      <c r="AX90" s="196"/>
      <c r="AY90" s="58"/>
      <c r="AZ90" s="194" t="str">
        <f>IF(BK80=0,"","Carga Interna de treino")</f>
        <v/>
      </c>
      <c r="BC90" s="57" t="str">
        <f>IF(BK80=0,"",(BK80*BC89)+(BK80*IF(ISNUMBER(BA82),BA82,BA6)))</f>
        <v/>
      </c>
      <c r="BD90" s="57" t="str">
        <f>IF(BK80=0,"","Razão Ag/Cr")</f>
        <v/>
      </c>
      <c r="BG90" s="186" t="str">
        <f>IF(BK80=0,"",BC90/'Dados de Base'!$J$7)</f>
        <v/>
      </c>
      <c r="BI90" s="66"/>
      <c r="BJ90" s="57"/>
      <c r="BK90" s="196"/>
      <c r="BL90" s="196"/>
      <c r="BM90" s="196"/>
      <c r="BN90" s="196"/>
      <c r="BO90" s="196"/>
      <c r="BP90" s="58"/>
      <c r="BQ90" s="194" t="str">
        <f>IF(CB80=0,"","Carga Interna de treino")</f>
        <v/>
      </c>
      <c r="BT90" s="56" t="str">
        <f>IF(CB80=0,"",(CB80*BT89)+(CB80*IF(ISNUMBER(BR82),BR82,BR6)))</f>
        <v/>
      </c>
      <c r="BU90" s="57" t="str">
        <f>IF(CB80=0,"","Razão Ag/Cr")</f>
        <v/>
      </c>
      <c r="BX90" s="186" t="str">
        <f>IF(CB80=0,"",BT90/'Dados de Base'!$J$7)</f>
        <v/>
      </c>
      <c r="BZ90" s="66"/>
      <c r="CA90" s="57"/>
      <c r="CB90" s="196"/>
      <c r="CC90" s="196"/>
      <c r="CD90" s="196"/>
      <c r="CE90" s="196"/>
      <c r="CF90" s="196"/>
      <c r="CG90" s="58"/>
      <c r="CH90" s="194" t="str">
        <f>IF(CS80=0,"","Carga Interna de treino")</f>
        <v/>
      </c>
      <c r="CK90" s="57" t="str">
        <f>IF(CS80=0,"",(CS80*CK89)+(CS80*IF(ISNUMBER(CI82),CI82,CI6)))</f>
        <v/>
      </c>
      <c r="CL90" s="57" t="str">
        <f>IF(CS80=0,"","Razão Ag/Cr")</f>
        <v/>
      </c>
      <c r="CO90" s="186" t="str">
        <f>IF(CS80=0,"",CK90/'Dados de Base'!$J$7)</f>
        <v/>
      </c>
      <c r="CQ90" s="66"/>
      <c r="CR90" s="57"/>
      <c r="CS90" s="196"/>
      <c r="CT90" s="196"/>
      <c r="CU90" s="196"/>
      <c r="CV90" s="196"/>
      <c r="CW90" s="196"/>
      <c r="CX90" s="58"/>
      <c r="CY90" s="194" t="str">
        <f>IF(DJ80=0,"","Carga Interna de treino")</f>
        <v/>
      </c>
      <c r="DB90" s="56" t="str">
        <f>IF(DJ80=0,"",(DJ80*DB89)+(DJ80*IF(ISNUMBER(CZ82),CZ82,CZ6)))</f>
        <v/>
      </c>
      <c r="DC90" s="57" t="str">
        <f>IF(DJ80=0,"","Razão Ag/Cr")</f>
        <v/>
      </c>
      <c r="DF90" s="186" t="str">
        <f>IF(DJ80=0,"",DB90/'Dados de Base'!$J$7)</f>
        <v/>
      </c>
      <c r="DH90" s="66"/>
      <c r="DI90" s="57"/>
      <c r="DJ90" s="196"/>
      <c r="DK90" s="196"/>
      <c r="DL90" s="196"/>
      <c r="DM90" s="196"/>
      <c r="DN90" s="196"/>
      <c r="DO90" s="58"/>
      <c r="DP90" s="57"/>
      <c r="DQ90" s="56"/>
      <c r="DR90" s="56"/>
      <c r="DS90" s="56"/>
      <c r="DT90" s="56"/>
      <c r="DU90" s="56"/>
      <c r="DV90" s="56"/>
      <c r="DW90" s="56"/>
      <c r="DX90" s="56"/>
      <c r="DY90" s="56"/>
    </row>
    <row r="91">
      <c r="A91" s="204" t="s">
        <v>55</v>
      </c>
      <c r="B91" s="205"/>
      <c r="C91" s="205"/>
      <c r="D91" s="205"/>
      <c r="E91" s="205"/>
      <c r="F91" s="205"/>
      <c r="G91" s="205"/>
      <c r="H91" s="205"/>
      <c r="I91" s="205"/>
      <c r="J91" s="206"/>
      <c r="K91" s="57"/>
      <c r="L91" s="57"/>
      <c r="M91" s="57"/>
      <c r="N91" s="57"/>
      <c r="O91" s="57"/>
      <c r="P91" s="57"/>
      <c r="Q91" s="58"/>
      <c r="R91" s="207" t="s">
        <v>55</v>
      </c>
      <c r="S91" s="205"/>
      <c r="T91" s="205"/>
      <c r="U91" s="205"/>
      <c r="V91" s="205"/>
      <c r="W91" s="205"/>
      <c r="X91" s="205"/>
      <c r="Y91" s="205"/>
      <c r="Z91" s="205"/>
      <c r="AA91" s="206"/>
      <c r="AB91" s="57"/>
      <c r="AC91" s="57"/>
      <c r="AD91" s="57"/>
      <c r="AE91" s="57"/>
      <c r="AF91" s="57"/>
      <c r="AG91" s="57"/>
      <c r="AH91" s="58"/>
      <c r="AI91" s="204" t="s">
        <v>55</v>
      </c>
      <c r="AJ91" s="205"/>
      <c r="AK91" s="205"/>
      <c r="AL91" s="205"/>
      <c r="AM91" s="205"/>
      <c r="AN91" s="205"/>
      <c r="AO91" s="205"/>
      <c r="AP91" s="205"/>
      <c r="AQ91" s="205"/>
      <c r="AR91" s="206"/>
      <c r="AS91" s="57"/>
      <c r="AT91" s="57"/>
      <c r="AU91" s="57"/>
      <c r="AV91" s="57"/>
      <c r="AW91" s="57"/>
      <c r="AX91" s="57"/>
      <c r="AY91" s="58"/>
      <c r="AZ91" s="204" t="s">
        <v>55</v>
      </c>
      <c r="BA91" s="205"/>
      <c r="BB91" s="205"/>
      <c r="BC91" s="205"/>
      <c r="BD91" s="205"/>
      <c r="BE91" s="205"/>
      <c r="BF91" s="205"/>
      <c r="BG91" s="205"/>
      <c r="BH91" s="205"/>
      <c r="BI91" s="206"/>
      <c r="BJ91" s="57"/>
      <c r="BK91" s="57"/>
      <c r="BL91" s="57"/>
      <c r="BM91" s="57"/>
      <c r="BN91" s="57"/>
      <c r="BO91" s="57"/>
      <c r="BP91" s="58"/>
      <c r="BQ91" s="204" t="s">
        <v>55</v>
      </c>
      <c r="BR91" s="205"/>
      <c r="BS91" s="205"/>
      <c r="BT91" s="205"/>
      <c r="BU91" s="205"/>
      <c r="BV91" s="205"/>
      <c r="BW91" s="205"/>
      <c r="BX91" s="205"/>
      <c r="BY91" s="205"/>
      <c r="BZ91" s="206"/>
      <c r="CA91" s="57"/>
      <c r="CB91" s="57"/>
      <c r="CC91" s="57"/>
      <c r="CD91" s="57"/>
      <c r="CE91" s="57"/>
      <c r="CF91" s="57"/>
      <c r="CG91" s="58"/>
      <c r="CH91" s="204" t="s">
        <v>55</v>
      </c>
      <c r="CI91" s="205"/>
      <c r="CJ91" s="205"/>
      <c r="CK91" s="205"/>
      <c r="CL91" s="205"/>
      <c r="CM91" s="205"/>
      <c r="CN91" s="205"/>
      <c r="CO91" s="205"/>
      <c r="CP91" s="205"/>
      <c r="CQ91" s="206"/>
      <c r="CR91" s="57"/>
      <c r="CS91" s="57"/>
      <c r="CT91" s="57"/>
      <c r="CU91" s="57"/>
      <c r="CV91" s="57"/>
      <c r="CW91" s="57"/>
      <c r="CX91" s="58"/>
      <c r="CY91" s="204" t="s">
        <v>55</v>
      </c>
      <c r="CZ91" s="205"/>
      <c r="DA91" s="205"/>
      <c r="DB91" s="205"/>
      <c r="DC91" s="205"/>
      <c r="DD91" s="205"/>
      <c r="DE91" s="205"/>
      <c r="DF91" s="205"/>
      <c r="DG91" s="205"/>
      <c r="DH91" s="206"/>
      <c r="DI91" s="57"/>
      <c r="DJ91" s="57"/>
      <c r="DK91" s="57"/>
      <c r="DL91" s="57"/>
      <c r="DM91" s="57"/>
      <c r="DN91" s="57"/>
      <c r="DO91" s="58"/>
      <c r="DP91" s="57"/>
      <c r="DQ91" s="56"/>
      <c r="DR91" s="56"/>
      <c r="DS91" s="56"/>
      <c r="DT91" s="56"/>
      <c r="DU91" s="56"/>
      <c r="DV91" s="56"/>
      <c r="DW91" s="56"/>
      <c r="DX91" s="56"/>
      <c r="DY91" s="56"/>
    </row>
  </sheetData>
  <mergeCells count="946">
    <mergeCell ref="AZ66:BI66"/>
    <mergeCell ref="AZ67:BB67"/>
    <mergeCell ref="BQ67:BS67"/>
    <mergeCell ref="CH67:CJ67"/>
    <mergeCell ref="CY67:DA67"/>
    <mergeCell ref="AI65:AL65"/>
    <mergeCell ref="AM65:AR65"/>
    <mergeCell ref="BD65:BI65"/>
    <mergeCell ref="BU65:BZ65"/>
    <mergeCell ref="AI66:AR66"/>
    <mergeCell ref="BQ66:BZ66"/>
    <mergeCell ref="AI67:AK67"/>
    <mergeCell ref="BQ69:BT69"/>
    <mergeCell ref="BU69:BZ69"/>
    <mergeCell ref="BQ70:BS70"/>
    <mergeCell ref="BQ71:BT71"/>
    <mergeCell ref="BU71:BZ71"/>
    <mergeCell ref="CH69:CK69"/>
    <mergeCell ref="CL69:CQ69"/>
    <mergeCell ref="CH70:CJ70"/>
    <mergeCell ref="CH71:CK71"/>
    <mergeCell ref="CL71:CQ71"/>
    <mergeCell ref="CY69:DB69"/>
    <mergeCell ref="DC69:DH69"/>
    <mergeCell ref="CY70:DA70"/>
    <mergeCell ref="CY71:DB71"/>
    <mergeCell ref="DC71:DH71"/>
    <mergeCell ref="AI68:AK68"/>
    <mergeCell ref="AZ68:BB68"/>
    <mergeCell ref="BQ68:BS68"/>
    <mergeCell ref="CH68:CJ68"/>
    <mergeCell ref="CY68:DA68"/>
    <mergeCell ref="AI69:AL69"/>
    <mergeCell ref="AM69:AR69"/>
    <mergeCell ref="AZ72:BB72"/>
    <mergeCell ref="BQ72:BS72"/>
    <mergeCell ref="CH72:CJ72"/>
    <mergeCell ref="CY72:DA72"/>
    <mergeCell ref="AZ69:BC69"/>
    <mergeCell ref="BD69:BI69"/>
    <mergeCell ref="AI70:AK70"/>
    <mergeCell ref="AZ70:BB70"/>
    <mergeCell ref="AM71:AR71"/>
    <mergeCell ref="AZ71:BC71"/>
    <mergeCell ref="BD71:BI71"/>
    <mergeCell ref="CY74:DH74"/>
    <mergeCell ref="CY75:DH75"/>
    <mergeCell ref="CY76:DH76"/>
    <mergeCell ref="CY77:DH77"/>
    <mergeCell ref="CY78:DH78"/>
    <mergeCell ref="CY79:DH79"/>
    <mergeCell ref="CY81:DH81"/>
    <mergeCell ref="BU73:BZ73"/>
    <mergeCell ref="CH73:CK73"/>
    <mergeCell ref="CL73:CQ73"/>
    <mergeCell ref="CY73:DB73"/>
    <mergeCell ref="DC73:DH73"/>
    <mergeCell ref="CH74:CQ74"/>
    <mergeCell ref="CH75:CQ75"/>
    <mergeCell ref="AI71:AL71"/>
    <mergeCell ref="AI72:AK72"/>
    <mergeCell ref="AI73:AL73"/>
    <mergeCell ref="AM73:AR73"/>
    <mergeCell ref="AZ73:BC73"/>
    <mergeCell ref="BQ73:BT73"/>
    <mergeCell ref="BQ74:BZ74"/>
    <mergeCell ref="BT80:BZ80"/>
    <mergeCell ref="BQ81:BZ81"/>
    <mergeCell ref="CH81:CQ81"/>
    <mergeCell ref="AZ80:BB80"/>
    <mergeCell ref="BC80:BI80"/>
    <mergeCell ref="BQ80:BS80"/>
    <mergeCell ref="CH80:CJ80"/>
    <mergeCell ref="CK80:CQ80"/>
    <mergeCell ref="CY80:DA80"/>
    <mergeCell ref="DB80:DH80"/>
    <mergeCell ref="AI52:AK52"/>
    <mergeCell ref="AI53:AL53"/>
    <mergeCell ref="AM53:AR53"/>
    <mergeCell ref="BD53:BI53"/>
    <mergeCell ref="BU53:BZ53"/>
    <mergeCell ref="AI54:AK54"/>
    <mergeCell ref="AZ54:BB54"/>
    <mergeCell ref="AI55:AL55"/>
    <mergeCell ref="AM55:AR55"/>
    <mergeCell ref="BD55:BI55"/>
    <mergeCell ref="BU55:BZ55"/>
    <mergeCell ref="AI56:AK56"/>
    <mergeCell ref="AZ56:BB56"/>
    <mergeCell ref="BQ56:BS56"/>
    <mergeCell ref="DS57:DT57"/>
    <mergeCell ref="DU57:DW57"/>
    <mergeCell ref="CH58:CJ58"/>
    <mergeCell ref="CY58:DA58"/>
    <mergeCell ref="CL59:CQ59"/>
    <mergeCell ref="CY59:DB59"/>
    <mergeCell ref="DC59:DH59"/>
    <mergeCell ref="CY61:DB61"/>
    <mergeCell ref="CY62:DA62"/>
    <mergeCell ref="CY63:DB63"/>
    <mergeCell ref="CH59:CK59"/>
    <mergeCell ref="CH60:CJ60"/>
    <mergeCell ref="CY60:DA60"/>
    <mergeCell ref="CH61:CK61"/>
    <mergeCell ref="CL61:CQ61"/>
    <mergeCell ref="DC61:DH61"/>
    <mergeCell ref="CH62:CJ62"/>
    <mergeCell ref="CY65:DB65"/>
    <mergeCell ref="DC65:DH65"/>
    <mergeCell ref="CH66:CQ66"/>
    <mergeCell ref="CY66:DH66"/>
    <mergeCell ref="CH63:CK63"/>
    <mergeCell ref="CL63:CQ63"/>
    <mergeCell ref="DC63:DH63"/>
    <mergeCell ref="CH64:CJ64"/>
    <mergeCell ref="CY64:DA64"/>
    <mergeCell ref="CH65:CK65"/>
    <mergeCell ref="CL65:CQ65"/>
    <mergeCell ref="AI57:AL57"/>
    <mergeCell ref="AM57:AR57"/>
    <mergeCell ref="BD57:BI57"/>
    <mergeCell ref="BU57:BZ57"/>
    <mergeCell ref="AI58:AK58"/>
    <mergeCell ref="AZ58:BB58"/>
    <mergeCell ref="BQ58:BS58"/>
    <mergeCell ref="AI59:AL59"/>
    <mergeCell ref="AM59:AR59"/>
    <mergeCell ref="BD59:BI59"/>
    <mergeCell ref="BU59:BZ59"/>
    <mergeCell ref="AI60:AK60"/>
    <mergeCell ref="AZ60:BB60"/>
    <mergeCell ref="BQ60:BS60"/>
    <mergeCell ref="AZ48:BB48"/>
    <mergeCell ref="AZ49:BC49"/>
    <mergeCell ref="AZ47:BC47"/>
    <mergeCell ref="AZ50:BB50"/>
    <mergeCell ref="AZ51:BC51"/>
    <mergeCell ref="AZ53:BC53"/>
    <mergeCell ref="AZ55:BC55"/>
    <mergeCell ref="AZ57:BC57"/>
    <mergeCell ref="AZ59:BC59"/>
    <mergeCell ref="BD49:BI49"/>
    <mergeCell ref="BQ49:BT49"/>
    <mergeCell ref="BU49:BZ49"/>
    <mergeCell ref="BQ50:BS50"/>
    <mergeCell ref="AI47:AL47"/>
    <mergeCell ref="AM47:AR47"/>
    <mergeCell ref="BD47:BI47"/>
    <mergeCell ref="AI48:AK48"/>
    <mergeCell ref="AI49:AL49"/>
    <mergeCell ref="AM49:AR49"/>
    <mergeCell ref="AI50:AK50"/>
    <mergeCell ref="AI51:AL51"/>
    <mergeCell ref="AM51:AR51"/>
    <mergeCell ref="BD51:BI51"/>
    <mergeCell ref="BQ51:BT51"/>
    <mergeCell ref="BU51:BZ51"/>
    <mergeCell ref="AZ52:BB52"/>
    <mergeCell ref="BQ52:BS52"/>
    <mergeCell ref="BQ53:BT53"/>
    <mergeCell ref="BQ54:BS54"/>
    <mergeCell ref="BQ55:BT55"/>
    <mergeCell ref="BQ57:BT57"/>
    <mergeCell ref="BQ59:BT59"/>
    <mergeCell ref="BQ61:BT61"/>
    <mergeCell ref="BQ63:BT63"/>
    <mergeCell ref="BQ65:BT65"/>
    <mergeCell ref="AI61:AL61"/>
    <mergeCell ref="AM61:AR61"/>
    <mergeCell ref="BD61:BI61"/>
    <mergeCell ref="BU61:BZ61"/>
    <mergeCell ref="AI62:AK62"/>
    <mergeCell ref="AZ62:BB62"/>
    <mergeCell ref="BQ62:BS62"/>
    <mergeCell ref="AZ61:BC61"/>
    <mergeCell ref="AZ63:BC63"/>
    <mergeCell ref="AZ65:BC65"/>
    <mergeCell ref="AI63:AL63"/>
    <mergeCell ref="AM63:AR63"/>
    <mergeCell ref="BD63:BI63"/>
    <mergeCell ref="BU63:BZ63"/>
    <mergeCell ref="AI64:AK64"/>
    <mergeCell ref="AZ64:BB64"/>
    <mergeCell ref="BQ64:BS64"/>
    <mergeCell ref="AI74:AR74"/>
    <mergeCell ref="AI75:AR75"/>
    <mergeCell ref="AI76:AR76"/>
    <mergeCell ref="AI77:AR77"/>
    <mergeCell ref="AI78:AR78"/>
    <mergeCell ref="AI79:AR79"/>
    <mergeCell ref="AI80:AK80"/>
    <mergeCell ref="AL80:AR80"/>
    <mergeCell ref="AI81:AR81"/>
    <mergeCell ref="AM82:AN82"/>
    <mergeCell ref="AO82:AR82"/>
    <mergeCell ref="AI83:AL83"/>
    <mergeCell ref="AM83:AN83"/>
    <mergeCell ref="AO83:AR83"/>
    <mergeCell ref="AI88:AJ88"/>
    <mergeCell ref="AI89:AK89"/>
    <mergeCell ref="AM89:AO89"/>
    <mergeCell ref="AP89:AR89"/>
    <mergeCell ref="AI90:AK90"/>
    <mergeCell ref="AM90:AO90"/>
    <mergeCell ref="AP90:AR90"/>
    <mergeCell ref="AI84:AJ84"/>
    <mergeCell ref="AI85:AK85"/>
    <mergeCell ref="AL85:AR85"/>
    <mergeCell ref="AM86:AN86"/>
    <mergeCell ref="AO86:AQ86"/>
    <mergeCell ref="AM87:AN87"/>
    <mergeCell ref="AO87:AQ87"/>
    <mergeCell ref="BD73:BI73"/>
    <mergeCell ref="AZ74:BI74"/>
    <mergeCell ref="AZ75:BI75"/>
    <mergeCell ref="AZ76:BI76"/>
    <mergeCell ref="AZ77:BI77"/>
    <mergeCell ref="AZ78:BI78"/>
    <mergeCell ref="AZ79:BI79"/>
    <mergeCell ref="AZ81:BI81"/>
    <mergeCell ref="BD82:BE82"/>
    <mergeCell ref="BF82:BI82"/>
    <mergeCell ref="AZ83:BC83"/>
    <mergeCell ref="BD83:BE83"/>
    <mergeCell ref="BF83:BI83"/>
    <mergeCell ref="AZ84:BA84"/>
    <mergeCell ref="AZ89:BB89"/>
    <mergeCell ref="BD89:BF89"/>
    <mergeCell ref="BG89:BI89"/>
    <mergeCell ref="AZ90:BB90"/>
    <mergeCell ref="BD90:BF90"/>
    <mergeCell ref="BG90:BI90"/>
    <mergeCell ref="AZ85:BB85"/>
    <mergeCell ref="BC85:BI85"/>
    <mergeCell ref="BD86:BE86"/>
    <mergeCell ref="BF86:BH86"/>
    <mergeCell ref="BD87:BE87"/>
    <mergeCell ref="BF87:BH87"/>
    <mergeCell ref="AZ88:BA88"/>
    <mergeCell ref="BU90:BW90"/>
    <mergeCell ref="BX90:BZ90"/>
    <mergeCell ref="CH90:CJ90"/>
    <mergeCell ref="CL90:CN90"/>
    <mergeCell ref="CO90:CQ90"/>
    <mergeCell ref="CY90:DA90"/>
    <mergeCell ref="DC90:DE90"/>
    <mergeCell ref="DF90:DH90"/>
    <mergeCell ref="BU87:BV87"/>
    <mergeCell ref="BW87:BY87"/>
    <mergeCell ref="BQ88:BR88"/>
    <mergeCell ref="BQ89:BS89"/>
    <mergeCell ref="BU89:BW89"/>
    <mergeCell ref="BX89:BZ89"/>
    <mergeCell ref="BQ90:BS90"/>
    <mergeCell ref="AI12:AR12"/>
    <mergeCell ref="AI13:AR13"/>
    <mergeCell ref="AZ13:BI13"/>
    <mergeCell ref="BQ13:BZ13"/>
    <mergeCell ref="AI14:AR14"/>
    <mergeCell ref="BQ14:BZ14"/>
    <mergeCell ref="BQ15:BS15"/>
    <mergeCell ref="AZ14:BI14"/>
    <mergeCell ref="AZ15:BB15"/>
    <mergeCell ref="AZ16:BB16"/>
    <mergeCell ref="BQ16:BS16"/>
    <mergeCell ref="BD17:BI17"/>
    <mergeCell ref="BQ17:BT17"/>
    <mergeCell ref="BU17:BZ17"/>
    <mergeCell ref="AI11:AR11"/>
    <mergeCell ref="AZ11:BI11"/>
    <mergeCell ref="BQ11:BZ11"/>
    <mergeCell ref="CY11:DH11"/>
    <mergeCell ref="AZ12:BI12"/>
    <mergeCell ref="BQ12:BZ12"/>
    <mergeCell ref="CY12:DH12"/>
    <mergeCell ref="CH11:CQ11"/>
    <mergeCell ref="CH12:CQ12"/>
    <mergeCell ref="CH13:CQ13"/>
    <mergeCell ref="CY13:DH13"/>
    <mergeCell ref="CH14:CQ14"/>
    <mergeCell ref="CY14:DH14"/>
    <mergeCell ref="CY15:DA15"/>
    <mergeCell ref="AZ17:BC17"/>
    <mergeCell ref="AZ18:BB18"/>
    <mergeCell ref="AZ19:BC19"/>
    <mergeCell ref="BD19:BI19"/>
    <mergeCell ref="AZ20:BB20"/>
    <mergeCell ref="AZ21:BC21"/>
    <mergeCell ref="BD21:BI21"/>
    <mergeCell ref="BQ18:BS18"/>
    <mergeCell ref="BQ19:BT19"/>
    <mergeCell ref="BU19:BZ19"/>
    <mergeCell ref="BQ20:BS20"/>
    <mergeCell ref="BQ21:BT21"/>
    <mergeCell ref="BU21:BZ21"/>
    <mergeCell ref="AI20:AK20"/>
    <mergeCell ref="AI21:AL21"/>
    <mergeCell ref="AM21:AR21"/>
    <mergeCell ref="AI15:AK15"/>
    <mergeCell ref="AI16:AK16"/>
    <mergeCell ref="AI17:AL17"/>
    <mergeCell ref="AM17:AR17"/>
    <mergeCell ref="AI18:AK18"/>
    <mergeCell ref="AI19:AL19"/>
    <mergeCell ref="AM19:AR19"/>
    <mergeCell ref="CY26:DA26"/>
    <mergeCell ref="CY27:DB27"/>
    <mergeCell ref="DC27:DH27"/>
    <mergeCell ref="R28:T28"/>
    <mergeCell ref="R29:U29"/>
    <mergeCell ref="V29:AA29"/>
    <mergeCell ref="R30:T30"/>
    <mergeCell ref="R31:U31"/>
    <mergeCell ref="V31:AA31"/>
    <mergeCell ref="R32:T32"/>
    <mergeCell ref="R33:U33"/>
    <mergeCell ref="V33:AA33"/>
    <mergeCell ref="AM33:AR33"/>
    <mergeCell ref="AZ33:BC33"/>
    <mergeCell ref="BD33:BI33"/>
    <mergeCell ref="BQ33:BT33"/>
    <mergeCell ref="BU33:BZ33"/>
    <mergeCell ref="AZ35:BC35"/>
    <mergeCell ref="AZ36:BB36"/>
    <mergeCell ref="AZ37:BC37"/>
    <mergeCell ref="AI33:AL33"/>
    <mergeCell ref="AI34:AK34"/>
    <mergeCell ref="AZ34:BB34"/>
    <mergeCell ref="AI35:AL35"/>
    <mergeCell ref="AM35:AR35"/>
    <mergeCell ref="BD35:BI35"/>
    <mergeCell ref="AI36:AK36"/>
    <mergeCell ref="BQ39:BT39"/>
    <mergeCell ref="BU39:BZ39"/>
    <mergeCell ref="BQ40:BS40"/>
    <mergeCell ref="BQ34:BS34"/>
    <mergeCell ref="BQ35:BT35"/>
    <mergeCell ref="BU35:BZ35"/>
    <mergeCell ref="BQ36:BS36"/>
    <mergeCell ref="BQ37:BT37"/>
    <mergeCell ref="BU37:BZ37"/>
    <mergeCell ref="BQ38:BS38"/>
    <mergeCell ref="AZ38:BB38"/>
    <mergeCell ref="AZ40:BB40"/>
    <mergeCell ref="AZ39:BC39"/>
    <mergeCell ref="BD39:BI39"/>
    <mergeCell ref="AI37:AL37"/>
    <mergeCell ref="AM37:AR37"/>
    <mergeCell ref="BD37:BI37"/>
    <mergeCell ref="AI38:AK38"/>
    <mergeCell ref="AI39:AL39"/>
    <mergeCell ref="AM39:AR39"/>
    <mergeCell ref="AI40:AK40"/>
    <mergeCell ref="AI41:AL41"/>
    <mergeCell ref="AM41:AR41"/>
    <mergeCell ref="AZ41:BC41"/>
    <mergeCell ref="BD41:BI41"/>
    <mergeCell ref="BU41:BZ41"/>
    <mergeCell ref="AI42:AK42"/>
    <mergeCell ref="AZ42:BB42"/>
    <mergeCell ref="AI43:AL43"/>
    <mergeCell ref="AM43:AR43"/>
    <mergeCell ref="AZ43:BC43"/>
    <mergeCell ref="BD43:BI43"/>
    <mergeCell ref="BU43:BZ43"/>
    <mergeCell ref="AZ44:BB44"/>
    <mergeCell ref="BQ44:BS44"/>
    <mergeCell ref="AI44:AK44"/>
    <mergeCell ref="AI45:AL45"/>
    <mergeCell ref="AM45:AR45"/>
    <mergeCell ref="AZ45:BC45"/>
    <mergeCell ref="BD45:BI45"/>
    <mergeCell ref="AI46:AK46"/>
    <mergeCell ref="AZ46:BB46"/>
    <mergeCell ref="BQ47:BT47"/>
    <mergeCell ref="BQ48:BS48"/>
    <mergeCell ref="BQ41:BT41"/>
    <mergeCell ref="BQ42:BS42"/>
    <mergeCell ref="BQ43:BT43"/>
    <mergeCell ref="BQ45:BT45"/>
    <mergeCell ref="BU45:BZ45"/>
    <mergeCell ref="BQ46:BS46"/>
    <mergeCell ref="BU47:BZ47"/>
    <mergeCell ref="A23:D23"/>
    <mergeCell ref="A25:C25"/>
    <mergeCell ref="A26:C26"/>
    <mergeCell ref="A27:D27"/>
    <mergeCell ref="E27:J27"/>
    <mergeCell ref="A28:C28"/>
    <mergeCell ref="E29:J29"/>
    <mergeCell ref="A29:D29"/>
    <mergeCell ref="A30:C30"/>
    <mergeCell ref="A31:D31"/>
    <mergeCell ref="E31:J31"/>
    <mergeCell ref="A32:C32"/>
    <mergeCell ref="A33:D33"/>
    <mergeCell ref="E33:J33"/>
    <mergeCell ref="R36:T36"/>
    <mergeCell ref="R37:U37"/>
    <mergeCell ref="A35:D35"/>
    <mergeCell ref="E35:J35"/>
    <mergeCell ref="R35:U35"/>
    <mergeCell ref="V35:AA35"/>
    <mergeCell ref="A36:C36"/>
    <mergeCell ref="E37:J37"/>
    <mergeCell ref="V37:AA37"/>
    <mergeCell ref="R39:U39"/>
    <mergeCell ref="R40:T40"/>
    <mergeCell ref="A37:D37"/>
    <mergeCell ref="A38:C38"/>
    <mergeCell ref="R38:T38"/>
    <mergeCell ref="A39:D39"/>
    <mergeCell ref="E39:J39"/>
    <mergeCell ref="V39:AA39"/>
    <mergeCell ref="A40:C40"/>
    <mergeCell ref="R42:T42"/>
    <mergeCell ref="R43:U43"/>
    <mergeCell ref="A41:D41"/>
    <mergeCell ref="E41:J41"/>
    <mergeCell ref="R41:U41"/>
    <mergeCell ref="V41:AA41"/>
    <mergeCell ref="A42:C42"/>
    <mergeCell ref="E43:J43"/>
    <mergeCell ref="V43:AA43"/>
    <mergeCell ref="R45:U45"/>
    <mergeCell ref="R46:T46"/>
    <mergeCell ref="A43:D43"/>
    <mergeCell ref="A44:C44"/>
    <mergeCell ref="R44:T44"/>
    <mergeCell ref="A45:D45"/>
    <mergeCell ref="E45:J45"/>
    <mergeCell ref="V45:AA45"/>
    <mergeCell ref="A46:C46"/>
    <mergeCell ref="R48:T48"/>
    <mergeCell ref="R49:U49"/>
    <mergeCell ref="A47:D47"/>
    <mergeCell ref="E47:J47"/>
    <mergeCell ref="R47:U47"/>
    <mergeCell ref="V47:AA47"/>
    <mergeCell ref="A48:C48"/>
    <mergeCell ref="E49:J49"/>
    <mergeCell ref="V49:AA49"/>
    <mergeCell ref="R51:U51"/>
    <mergeCell ref="R52:T52"/>
    <mergeCell ref="A49:D49"/>
    <mergeCell ref="A50:C50"/>
    <mergeCell ref="R50:T50"/>
    <mergeCell ref="A51:D51"/>
    <mergeCell ref="E51:J51"/>
    <mergeCell ref="V51:AA51"/>
    <mergeCell ref="A52:C52"/>
    <mergeCell ref="BX6:BZ6"/>
    <mergeCell ref="CK6:CL6"/>
    <mergeCell ref="CM6:CN6"/>
    <mergeCell ref="CO6:CQ6"/>
    <mergeCell ref="DB6:DC6"/>
    <mergeCell ref="DD6:DE6"/>
    <mergeCell ref="DF6:DH6"/>
    <mergeCell ref="Y6:AA6"/>
    <mergeCell ref="AL6:AM6"/>
    <mergeCell ref="BC6:BD6"/>
    <mergeCell ref="BE6:BF6"/>
    <mergeCell ref="BG6:BI6"/>
    <mergeCell ref="BT6:BU6"/>
    <mergeCell ref="BV6:BW6"/>
    <mergeCell ref="AZ1:BI1"/>
    <mergeCell ref="BD2:BH2"/>
    <mergeCell ref="BA3:BI3"/>
    <mergeCell ref="BR3:BZ3"/>
    <mergeCell ref="CH1:CQ1"/>
    <mergeCell ref="CL2:CP2"/>
    <mergeCell ref="CI3:CQ3"/>
    <mergeCell ref="CZ3:DH3"/>
    <mergeCell ref="A1:J1"/>
    <mergeCell ref="AI1:AR1"/>
    <mergeCell ref="BQ1:BZ1"/>
    <mergeCell ref="CY1:DH1"/>
    <mergeCell ref="E2:I2"/>
    <mergeCell ref="AM2:AQ2"/>
    <mergeCell ref="BU2:BY2"/>
    <mergeCell ref="DC2:DG2"/>
    <mergeCell ref="CK4:CQ4"/>
    <mergeCell ref="CY4:DA4"/>
    <mergeCell ref="DB4:DH4"/>
    <mergeCell ref="AI4:AK4"/>
    <mergeCell ref="AL4:AR4"/>
    <mergeCell ref="AZ4:BB4"/>
    <mergeCell ref="BC4:BI4"/>
    <mergeCell ref="BQ4:BS4"/>
    <mergeCell ref="BT4:BZ4"/>
    <mergeCell ref="CH4:CJ4"/>
    <mergeCell ref="A5:J5"/>
    <mergeCell ref="R5:AA5"/>
    <mergeCell ref="AI5:AR5"/>
    <mergeCell ref="AZ5:BI5"/>
    <mergeCell ref="BQ5:BZ5"/>
    <mergeCell ref="CH5:CQ5"/>
    <mergeCell ref="CY5:DH5"/>
    <mergeCell ref="AZ7:BI7"/>
    <mergeCell ref="BQ7:BZ7"/>
    <mergeCell ref="CH7:CQ7"/>
    <mergeCell ref="CY7:DH7"/>
    <mergeCell ref="R1:AA1"/>
    <mergeCell ref="V2:Z2"/>
    <mergeCell ref="B3:J3"/>
    <mergeCell ref="S3:AA3"/>
    <mergeCell ref="AJ3:AR3"/>
    <mergeCell ref="A4:C4"/>
    <mergeCell ref="D4:J4"/>
    <mergeCell ref="CO8:CQ8"/>
    <mergeCell ref="DA8:DB8"/>
    <mergeCell ref="DD8:DE8"/>
    <mergeCell ref="DF8:DH8"/>
    <mergeCell ref="BE8:BF8"/>
    <mergeCell ref="BG8:BI8"/>
    <mergeCell ref="BS8:BT8"/>
    <mergeCell ref="BV8:BW8"/>
    <mergeCell ref="BX8:BZ8"/>
    <mergeCell ref="CJ8:CK8"/>
    <mergeCell ref="CM8:CN8"/>
    <mergeCell ref="BF9:BI9"/>
    <mergeCell ref="BQ9:BV9"/>
    <mergeCell ref="BW9:BZ9"/>
    <mergeCell ref="CH9:CM9"/>
    <mergeCell ref="CN9:CQ9"/>
    <mergeCell ref="CY9:DD9"/>
    <mergeCell ref="DE9:DH9"/>
    <mergeCell ref="A9:F9"/>
    <mergeCell ref="G9:J9"/>
    <mergeCell ref="R9:W9"/>
    <mergeCell ref="X9:AA9"/>
    <mergeCell ref="AI9:AN9"/>
    <mergeCell ref="AO9:AR9"/>
    <mergeCell ref="AZ9:BE9"/>
    <mergeCell ref="A10:J10"/>
    <mergeCell ref="R10:AA10"/>
    <mergeCell ref="AI10:AR10"/>
    <mergeCell ref="AZ10:BI10"/>
    <mergeCell ref="BQ10:BZ10"/>
    <mergeCell ref="CH10:CQ10"/>
    <mergeCell ref="CY10:DH10"/>
    <mergeCell ref="AN6:AO6"/>
    <mergeCell ref="AP6:AR6"/>
    <mergeCell ref="AI7:AR7"/>
    <mergeCell ref="AK8:AL8"/>
    <mergeCell ref="AN8:AO8"/>
    <mergeCell ref="AP8:AR8"/>
    <mergeCell ref="BB8:BC8"/>
    <mergeCell ref="A19:D19"/>
    <mergeCell ref="E19:J19"/>
    <mergeCell ref="V19:AA19"/>
    <mergeCell ref="A20:C20"/>
    <mergeCell ref="A21:D21"/>
    <mergeCell ref="E21:J21"/>
    <mergeCell ref="A22:C22"/>
    <mergeCell ref="R21:U21"/>
    <mergeCell ref="V21:AA21"/>
    <mergeCell ref="AI22:AK22"/>
    <mergeCell ref="AZ22:BB22"/>
    <mergeCell ref="BQ22:BS22"/>
    <mergeCell ref="AI23:AL23"/>
    <mergeCell ref="BQ23:BT23"/>
    <mergeCell ref="BQ25:BS25"/>
    <mergeCell ref="BQ26:BS26"/>
    <mergeCell ref="BQ27:BT27"/>
    <mergeCell ref="BQ29:BT29"/>
    <mergeCell ref="BQ31:BT31"/>
    <mergeCell ref="AZ27:BC27"/>
    <mergeCell ref="BD27:BI27"/>
    <mergeCell ref="BU27:BZ27"/>
    <mergeCell ref="AZ28:BB28"/>
    <mergeCell ref="BQ28:BS28"/>
    <mergeCell ref="AZ23:BC23"/>
    <mergeCell ref="BD23:BI23"/>
    <mergeCell ref="BU23:BZ23"/>
    <mergeCell ref="AZ24:BI24"/>
    <mergeCell ref="BQ24:BZ24"/>
    <mergeCell ref="AZ25:BB25"/>
    <mergeCell ref="AZ26:BB26"/>
    <mergeCell ref="AI29:AL29"/>
    <mergeCell ref="AM29:AR29"/>
    <mergeCell ref="AZ29:BC29"/>
    <mergeCell ref="BD29:BI29"/>
    <mergeCell ref="BU29:BZ29"/>
    <mergeCell ref="AZ30:BB30"/>
    <mergeCell ref="BQ30:BS30"/>
    <mergeCell ref="AI30:AK30"/>
    <mergeCell ref="AI31:AL31"/>
    <mergeCell ref="AM31:AR31"/>
    <mergeCell ref="AZ31:BC31"/>
    <mergeCell ref="BD31:BI31"/>
    <mergeCell ref="BU31:BZ31"/>
    <mergeCell ref="AZ32:BB32"/>
    <mergeCell ref="BQ32:BS32"/>
    <mergeCell ref="AM23:AR23"/>
    <mergeCell ref="AI24:AR24"/>
    <mergeCell ref="AI25:AK25"/>
    <mergeCell ref="AI26:AK26"/>
    <mergeCell ref="AI27:AL27"/>
    <mergeCell ref="AM27:AR27"/>
    <mergeCell ref="AI28:AK28"/>
    <mergeCell ref="AI32:AK32"/>
    <mergeCell ref="CH44:CJ44"/>
    <mergeCell ref="CH45:CK45"/>
    <mergeCell ref="CL45:CQ45"/>
    <mergeCell ref="CH46:CJ46"/>
    <mergeCell ref="CH47:CK47"/>
    <mergeCell ref="CL47:CQ47"/>
    <mergeCell ref="CH48:CJ48"/>
    <mergeCell ref="CH49:CK49"/>
    <mergeCell ref="CL49:CQ49"/>
    <mergeCell ref="CH50:CJ50"/>
    <mergeCell ref="CH51:CK51"/>
    <mergeCell ref="CL51:CQ51"/>
    <mergeCell ref="CH52:CJ52"/>
    <mergeCell ref="CL53:CQ53"/>
    <mergeCell ref="CH15:CJ15"/>
    <mergeCell ref="CH16:CJ16"/>
    <mergeCell ref="CH17:CK17"/>
    <mergeCell ref="CL17:CQ17"/>
    <mergeCell ref="CH18:CJ18"/>
    <mergeCell ref="CH19:CK19"/>
    <mergeCell ref="CL19:CQ19"/>
    <mergeCell ref="CH20:CJ20"/>
    <mergeCell ref="CH21:CK21"/>
    <mergeCell ref="CL21:CQ21"/>
    <mergeCell ref="CH22:CJ22"/>
    <mergeCell ref="CH23:CK23"/>
    <mergeCell ref="CL23:CQ23"/>
    <mergeCell ref="CH24:CQ24"/>
    <mergeCell ref="CH25:CJ25"/>
    <mergeCell ref="CH26:CJ26"/>
    <mergeCell ref="CH27:CK27"/>
    <mergeCell ref="CL27:CQ27"/>
    <mergeCell ref="CH28:CJ28"/>
    <mergeCell ref="CH29:CK29"/>
    <mergeCell ref="CL29:CQ29"/>
    <mergeCell ref="CH30:CJ30"/>
    <mergeCell ref="CH31:CK31"/>
    <mergeCell ref="CL31:CQ31"/>
    <mergeCell ref="CH32:CJ32"/>
    <mergeCell ref="CH33:CK33"/>
    <mergeCell ref="CL33:CQ33"/>
    <mergeCell ref="CH34:CJ34"/>
    <mergeCell ref="CH35:CK35"/>
    <mergeCell ref="CL35:CQ35"/>
    <mergeCell ref="CH36:CJ36"/>
    <mergeCell ref="CH37:CK37"/>
    <mergeCell ref="CL37:CQ37"/>
    <mergeCell ref="CH38:CJ38"/>
    <mergeCell ref="CL39:CQ39"/>
    <mergeCell ref="CH39:CK39"/>
    <mergeCell ref="CH40:CJ40"/>
    <mergeCell ref="CH41:CK41"/>
    <mergeCell ref="CL41:CQ41"/>
    <mergeCell ref="CH42:CJ42"/>
    <mergeCell ref="CH43:CK43"/>
    <mergeCell ref="CL43:CQ43"/>
    <mergeCell ref="CH53:CK53"/>
    <mergeCell ref="CH54:CJ54"/>
    <mergeCell ref="CH55:CK55"/>
    <mergeCell ref="CL55:CQ55"/>
    <mergeCell ref="CH56:CJ56"/>
    <mergeCell ref="CH57:CK57"/>
    <mergeCell ref="CL57:CQ57"/>
    <mergeCell ref="CY47:DB47"/>
    <mergeCell ref="DC47:DH47"/>
    <mergeCell ref="CY48:DA48"/>
    <mergeCell ref="CY49:DB49"/>
    <mergeCell ref="DC49:DH49"/>
    <mergeCell ref="CY50:DA50"/>
    <mergeCell ref="DC51:DH51"/>
    <mergeCell ref="CY51:DB51"/>
    <mergeCell ref="CY52:DA52"/>
    <mergeCell ref="CY53:DB53"/>
    <mergeCell ref="DC53:DH53"/>
    <mergeCell ref="CY54:DA54"/>
    <mergeCell ref="CY55:DB55"/>
    <mergeCell ref="DC55:DH55"/>
    <mergeCell ref="CY16:DA16"/>
    <mergeCell ref="CY17:DB17"/>
    <mergeCell ref="DC17:DH17"/>
    <mergeCell ref="CY18:DA18"/>
    <mergeCell ref="CY19:DB19"/>
    <mergeCell ref="DC19:DH19"/>
    <mergeCell ref="CY20:DA20"/>
    <mergeCell ref="CY21:DB21"/>
    <mergeCell ref="DC21:DH21"/>
    <mergeCell ref="CY22:DA22"/>
    <mergeCell ref="CY23:DB23"/>
    <mergeCell ref="DC23:DH23"/>
    <mergeCell ref="CY24:DH24"/>
    <mergeCell ref="CY25:DA25"/>
    <mergeCell ref="CY28:DA28"/>
    <mergeCell ref="CY29:DB29"/>
    <mergeCell ref="DC29:DH29"/>
    <mergeCell ref="CY30:DA30"/>
    <mergeCell ref="CY31:DB31"/>
    <mergeCell ref="DC31:DH31"/>
    <mergeCell ref="CY32:DA32"/>
    <mergeCell ref="CY33:DB33"/>
    <mergeCell ref="DC33:DH33"/>
    <mergeCell ref="CY34:DA34"/>
    <mergeCell ref="CY35:DB35"/>
    <mergeCell ref="DC35:DH35"/>
    <mergeCell ref="CY36:DA36"/>
    <mergeCell ref="DC37:DH37"/>
    <mergeCell ref="CY37:DB37"/>
    <mergeCell ref="CY38:DA38"/>
    <mergeCell ref="CY39:DB39"/>
    <mergeCell ref="DC39:DH39"/>
    <mergeCell ref="CY40:DA40"/>
    <mergeCell ref="CY41:DB41"/>
    <mergeCell ref="DC41:DH41"/>
    <mergeCell ref="CY42:DA42"/>
    <mergeCell ref="CY43:DB43"/>
    <mergeCell ref="DC43:DH43"/>
    <mergeCell ref="CY44:DA44"/>
    <mergeCell ref="CY45:DB45"/>
    <mergeCell ref="DC45:DH45"/>
    <mergeCell ref="CY46:DA46"/>
    <mergeCell ref="CY56:DA56"/>
    <mergeCell ref="CY57:DB57"/>
    <mergeCell ref="DC57:DH57"/>
    <mergeCell ref="A76:J76"/>
    <mergeCell ref="A77:J77"/>
    <mergeCell ref="A78:J78"/>
    <mergeCell ref="R72:T72"/>
    <mergeCell ref="R73:U73"/>
    <mergeCell ref="A74:J74"/>
    <mergeCell ref="R74:AA74"/>
    <mergeCell ref="A75:J75"/>
    <mergeCell ref="R75:AA75"/>
    <mergeCell ref="R76:AA76"/>
    <mergeCell ref="D80:J80"/>
    <mergeCell ref="A81:J81"/>
    <mergeCell ref="E82:F82"/>
    <mergeCell ref="G82:J82"/>
    <mergeCell ref="X82:AA82"/>
    <mergeCell ref="R77:AA77"/>
    <mergeCell ref="R78:AA78"/>
    <mergeCell ref="A79:J79"/>
    <mergeCell ref="R79:AA79"/>
    <mergeCell ref="A80:C80"/>
    <mergeCell ref="R80:T80"/>
    <mergeCell ref="U80:AA80"/>
    <mergeCell ref="A83:D83"/>
    <mergeCell ref="A84:B84"/>
    <mergeCell ref="A85:C85"/>
    <mergeCell ref="D85:J85"/>
    <mergeCell ref="R81:AA81"/>
    <mergeCell ref="V82:W82"/>
    <mergeCell ref="E83:F83"/>
    <mergeCell ref="G83:J83"/>
    <mergeCell ref="R83:U83"/>
    <mergeCell ref="V83:W83"/>
    <mergeCell ref="X83:AA83"/>
    <mergeCell ref="U85:AA85"/>
    <mergeCell ref="V86:W86"/>
    <mergeCell ref="V87:W87"/>
    <mergeCell ref="R84:S84"/>
    <mergeCell ref="R85:T85"/>
    <mergeCell ref="E86:F86"/>
    <mergeCell ref="G86:I86"/>
    <mergeCell ref="X86:Z86"/>
    <mergeCell ref="G87:I87"/>
    <mergeCell ref="X87:Z87"/>
    <mergeCell ref="E89:G89"/>
    <mergeCell ref="E90:G90"/>
    <mergeCell ref="R89:T89"/>
    <mergeCell ref="R90:T90"/>
    <mergeCell ref="V90:X90"/>
    <mergeCell ref="Y90:AA90"/>
    <mergeCell ref="R91:AA91"/>
    <mergeCell ref="E87:F87"/>
    <mergeCell ref="A88:B88"/>
    <mergeCell ref="R88:S88"/>
    <mergeCell ref="A89:C89"/>
    <mergeCell ref="H89:J89"/>
    <mergeCell ref="A90:C90"/>
    <mergeCell ref="H90:J90"/>
    <mergeCell ref="A91:J91"/>
    <mergeCell ref="R4:T4"/>
    <mergeCell ref="U4:AA4"/>
    <mergeCell ref="D6:E6"/>
    <mergeCell ref="F6:G6"/>
    <mergeCell ref="H6:J6"/>
    <mergeCell ref="U6:V6"/>
    <mergeCell ref="W6:X6"/>
    <mergeCell ref="A7:J7"/>
    <mergeCell ref="R7:AA7"/>
    <mergeCell ref="C8:D8"/>
    <mergeCell ref="F8:G8"/>
    <mergeCell ref="H8:J8"/>
    <mergeCell ref="T8:U8"/>
    <mergeCell ref="Y8:AA8"/>
    <mergeCell ref="A11:J11"/>
    <mergeCell ref="R11:AA11"/>
    <mergeCell ref="A12:J12"/>
    <mergeCell ref="R12:AA12"/>
    <mergeCell ref="A13:J13"/>
    <mergeCell ref="R13:AA13"/>
    <mergeCell ref="R14:AA14"/>
    <mergeCell ref="A14:J14"/>
    <mergeCell ref="A15:C15"/>
    <mergeCell ref="R15:T15"/>
    <mergeCell ref="A16:C16"/>
    <mergeCell ref="A17:D17"/>
    <mergeCell ref="E17:J17"/>
    <mergeCell ref="A18:C18"/>
    <mergeCell ref="R20:T20"/>
    <mergeCell ref="R22:T22"/>
    <mergeCell ref="E23:J23"/>
    <mergeCell ref="R23:U23"/>
    <mergeCell ref="V23:AA23"/>
    <mergeCell ref="A24:J24"/>
    <mergeCell ref="R24:AA24"/>
    <mergeCell ref="A34:C34"/>
    <mergeCell ref="R34:T34"/>
    <mergeCell ref="V89:X89"/>
    <mergeCell ref="Y89:AA89"/>
    <mergeCell ref="R17:U17"/>
    <mergeCell ref="V17:AA17"/>
    <mergeCell ref="R16:T16"/>
    <mergeCell ref="R18:T18"/>
    <mergeCell ref="R19:U19"/>
    <mergeCell ref="R25:T25"/>
    <mergeCell ref="R26:T26"/>
    <mergeCell ref="R27:U27"/>
    <mergeCell ref="V27:AA27"/>
    <mergeCell ref="R54:T54"/>
    <mergeCell ref="R55:U55"/>
    <mergeCell ref="A53:D53"/>
    <mergeCell ref="E53:J53"/>
    <mergeCell ref="R53:U53"/>
    <mergeCell ref="V53:AA53"/>
    <mergeCell ref="A54:C54"/>
    <mergeCell ref="E55:J55"/>
    <mergeCell ref="V55:AA55"/>
    <mergeCell ref="R57:U57"/>
    <mergeCell ref="R58:T58"/>
    <mergeCell ref="A55:D55"/>
    <mergeCell ref="A56:C56"/>
    <mergeCell ref="R56:T56"/>
    <mergeCell ref="A57:D57"/>
    <mergeCell ref="E57:J57"/>
    <mergeCell ref="V57:AA57"/>
    <mergeCell ref="A58:C58"/>
    <mergeCell ref="R60:T60"/>
    <mergeCell ref="R61:U61"/>
    <mergeCell ref="A59:D59"/>
    <mergeCell ref="E59:J59"/>
    <mergeCell ref="R59:U59"/>
    <mergeCell ref="V59:AA59"/>
    <mergeCell ref="A60:C60"/>
    <mergeCell ref="E61:J61"/>
    <mergeCell ref="V61:AA61"/>
    <mergeCell ref="R63:U63"/>
    <mergeCell ref="R64:T64"/>
    <mergeCell ref="A61:D61"/>
    <mergeCell ref="A62:C62"/>
    <mergeCell ref="R62:T62"/>
    <mergeCell ref="A63:D63"/>
    <mergeCell ref="E63:J63"/>
    <mergeCell ref="V63:AA63"/>
    <mergeCell ref="A64:C64"/>
    <mergeCell ref="A67:C67"/>
    <mergeCell ref="A68:C68"/>
    <mergeCell ref="A69:D69"/>
    <mergeCell ref="E69:J69"/>
    <mergeCell ref="V69:AA69"/>
    <mergeCell ref="A65:D65"/>
    <mergeCell ref="E65:J65"/>
    <mergeCell ref="R65:U65"/>
    <mergeCell ref="V65:AA65"/>
    <mergeCell ref="A66:J66"/>
    <mergeCell ref="R66:AA66"/>
    <mergeCell ref="R67:T67"/>
    <mergeCell ref="A71:D71"/>
    <mergeCell ref="A72:C72"/>
    <mergeCell ref="A73:D73"/>
    <mergeCell ref="E73:J73"/>
    <mergeCell ref="V73:AA73"/>
    <mergeCell ref="R68:T68"/>
    <mergeCell ref="R69:U69"/>
    <mergeCell ref="A70:C70"/>
    <mergeCell ref="R70:T70"/>
    <mergeCell ref="E71:J71"/>
    <mergeCell ref="R71:U71"/>
    <mergeCell ref="V71:AA71"/>
    <mergeCell ref="DC86:DD86"/>
    <mergeCell ref="DC87:DD87"/>
    <mergeCell ref="DE87:DG87"/>
    <mergeCell ref="DC82:DD82"/>
    <mergeCell ref="CY83:DB83"/>
    <mergeCell ref="DC83:DD83"/>
    <mergeCell ref="CY84:CZ84"/>
    <mergeCell ref="CY85:DA85"/>
    <mergeCell ref="DB85:DH85"/>
    <mergeCell ref="DE86:DG86"/>
    <mergeCell ref="CH78:CQ78"/>
    <mergeCell ref="CH79:CQ79"/>
    <mergeCell ref="BQ75:BZ75"/>
    <mergeCell ref="BQ76:BZ76"/>
    <mergeCell ref="CH76:CQ76"/>
    <mergeCell ref="BQ77:BZ77"/>
    <mergeCell ref="CH77:CQ77"/>
    <mergeCell ref="BQ78:BZ78"/>
    <mergeCell ref="BQ79:BZ79"/>
    <mergeCell ref="BU82:BV82"/>
    <mergeCell ref="BW82:BZ82"/>
    <mergeCell ref="CL82:CM82"/>
    <mergeCell ref="CN82:CQ82"/>
    <mergeCell ref="DE82:DH82"/>
    <mergeCell ref="BQ83:BT83"/>
    <mergeCell ref="CN83:CQ83"/>
    <mergeCell ref="DE83:DH83"/>
    <mergeCell ref="BU83:BV83"/>
    <mergeCell ref="BW83:BZ83"/>
    <mergeCell ref="BQ84:BR84"/>
    <mergeCell ref="BQ85:BS85"/>
    <mergeCell ref="BT85:BZ85"/>
    <mergeCell ref="BU86:BV86"/>
    <mergeCell ref="BW86:BY86"/>
    <mergeCell ref="CH83:CK83"/>
    <mergeCell ref="CL83:CM83"/>
    <mergeCell ref="CH84:CI84"/>
    <mergeCell ref="CH85:CJ85"/>
    <mergeCell ref="CK85:CQ85"/>
    <mergeCell ref="CL86:CM86"/>
    <mergeCell ref="CN86:CP86"/>
    <mergeCell ref="CY89:DA89"/>
    <mergeCell ref="DC89:DE89"/>
    <mergeCell ref="DF89:DH89"/>
    <mergeCell ref="AI91:AR91"/>
    <mergeCell ref="AZ91:BI91"/>
    <mergeCell ref="BQ91:BZ91"/>
    <mergeCell ref="CH91:CQ91"/>
    <mergeCell ref="CY91:DH91"/>
    <mergeCell ref="CL87:CM87"/>
    <mergeCell ref="CN87:CP87"/>
    <mergeCell ref="CH88:CI88"/>
    <mergeCell ref="CY88:CZ88"/>
    <mergeCell ref="CH89:CJ89"/>
    <mergeCell ref="CL89:CN89"/>
    <mergeCell ref="CO89:CQ89"/>
  </mergeCells>
  <conditionalFormatting sqref="A7 R7 AI7 AZ7 BQ7 CH7 CY7">
    <cfRule type="expression" dxfId="0" priority="1">
      <formula>G9=10</formula>
    </cfRule>
  </conditionalFormatting>
  <conditionalFormatting sqref="CY4:DH4 CY6:DH90">
    <cfRule type="expression" dxfId="1" priority="2">
      <formula>$DE$9=10</formula>
    </cfRule>
  </conditionalFormatting>
  <conditionalFormatting sqref="CY16:DG23 CY26:DG65 CY68:DG73">
    <cfRule type="expression" dxfId="2" priority="3">
      <formula>ISEVEN($DI16)</formula>
    </cfRule>
  </conditionalFormatting>
  <conditionalFormatting sqref="CY16:DG23 CY26:DG65 CY68:DG73">
    <cfRule type="expression" dxfId="3" priority="4">
      <formula>ISODD($DI16)</formula>
    </cfRule>
  </conditionalFormatting>
  <conditionalFormatting sqref="CH4:CQ4 CH6:CQ90">
    <cfRule type="expression" dxfId="1" priority="5">
      <formula>$CN$9=10</formula>
    </cfRule>
  </conditionalFormatting>
  <conditionalFormatting sqref="CH16:CP23 CH26:CP65 CH68:CP73">
    <cfRule type="expression" dxfId="3" priority="6">
      <formula>ISODD($CR16)</formula>
    </cfRule>
  </conditionalFormatting>
  <conditionalFormatting sqref="CH16:CP23 CH26:CP65 CH68:CP73">
    <cfRule type="expression" dxfId="2" priority="7">
      <formula>ISEVEN($CR16)</formula>
    </cfRule>
  </conditionalFormatting>
  <conditionalFormatting sqref="BQ4:BZ4 BQ6:BZ90">
    <cfRule type="expression" dxfId="1" priority="8">
      <formula>$BW$9=10</formula>
    </cfRule>
  </conditionalFormatting>
  <conditionalFormatting sqref="BQ16:BY23 BQ26:BY65 BQ68:BY73">
    <cfRule type="expression" dxfId="3" priority="9">
      <formula>ISODD($CA16)</formula>
    </cfRule>
  </conditionalFormatting>
  <conditionalFormatting sqref="BQ16:BY23 BQ26:BY65 BQ68:BY73">
    <cfRule type="expression" dxfId="2" priority="10">
      <formula>ISEVEN($CA16)</formula>
    </cfRule>
  </conditionalFormatting>
  <conditionalFormatting sqref="AZ4:BI4 AZ6:BI90">
    <cfRule type="expression" dxfId="1" priority="11">
      <formula>$BF$9=10</formula>
    </cfRule>
  </conditionalFormatting>
  <conditionalFormatting sqref="AZ16:BH23 AZ26:BH65 AZ68:BH73">
    <cfRule type="expression" dxfId="3" priority="12">
      <formula>ISODD($BJ16)</formula>
    </cfRule>
  </conditionalFormatting>
  <conditionalFormatting sqref="AZ16:BH23 AZ26:BH65 AZ68:BH73">
    <cfRule type="expression" dxfId="2" priority="13">
      <formula>ISEVEN($BJ16)</formula>
    </cfRule>
  </conditionalFormatting>
  <conditionalFormatting sqref="AI4:AR4 AI6:AR90 AU80">
    <cfRule type="expression" dxfId="1" priority="14">
      <formula>$AO$9=10</formula>
    </cfRule>
  </conditionalFormatting>
  <conditionalFormatting sqref="AI16:AQ23 AI26:AQ65 AI68:AQ73">
    <cfRule type="expression" dxfId="3" priority="15">
      <formula>ISODD($AS16)</formula>
    </cfRule>
  </conditionalFormatting>
  <conditionalFormatting sqref="AI16:AQ23 AI26:AQ65 AI68:AQ73">
    <cfRule type="expression" dxfId="2" priority="16">
      <formula>ISEVEN($AS16)</formula>
    </cfRule>
  </conditionalFormatting>
  <conditionalFormatting sqref="R4:AA4 R6:AA6 R8:AA90">
    <cfRule type="expression" dxfId="1" priority="17">
      <formula>$X$9=10</formula>
    </cfRule>
  </conditionalFormatting>
  <conditionalFormatting sqref="R16:Z23 R26:Z65 R68:Z73">
    <cfRule type="expression" dxfId="3" priority="18">
      <formula>ISODD($AB16)</formula>
    </cfRule>
  </conditionalFormatting>
  <conditionalFormatting sqref="R16:Z23 R26:Z65 R68:Z73">
    <cfRule type="expression" dxfId="2" priority="19">
      <formula>ISEVEN($AB16)</formula>
    </cfRule>
  </conditionalFormatting>
  <conditionalFormatting sqref="A4:J4 A6:J6 A8:J90">
    <cfRule type="expression" dxfId="1" priority="20">
      <formula>$G$9=10</formula>
    </cfRule>
  </conditionalFormatting>
  <conditionalFormatting sqref="A16:I23 A26:I65 A68:I73">
    <cfRule type="expression" dxfId="3" priority="21">
      <formula>ISODD($K16)</formula>
    </cfRule>
  </conditionalFormatting>
  <conditionalFormatting sqref="A16:I23 A26:I65 A68:I73">
    <cfRule type="expression" dxfId="2" priority="22">
      <formula>ISEVEN($K16)</formula>
    </cfRule>
  </conditionalFormatting>
  <conditionalFormatting sqref="A83:J90">
    <cfRule type="expression" dxfId="4" priority="23">
      <formula>$L$80=0</formula>
    </cfRule>
  </conditionalFormatting>
  <conditionalFormatting sqref="R83:AA90">
    <cfRule type="expression" dxfId="4" priority="24">
      <formula>$AC$80=0</formula>
    </cfRule>
  </conditionalFormatting>
  <conditionalFormatting sqref="AI83:AR90">
    <cfRule type="expression" dxfId="4" priority="25">
      <formula>$AT$80=0</formula>
    </cfRule>
  </conditionalFormatting>
  <conditionalFormatting sqref="AZ83:BI90">
    <cfRule type="expression" dxfId="4" priority="26">
      <formula>$BK$80=0</formula>
    </cfRule>
  </conditionalFormatting>
  <conditionalFormatting sqref="BQ83:BZ90">
    <cfRule type="expression" dxfId="4" priority="27">
      <formula>$CB$80=0</formula>
    </cfRule>
  </conditionalFormatting>
  <conditionalFormatting sqref="CH83:CQ90">
    <cfRule type="expression" dxfId="4" priority="28">
      <formula>$CS$80=0</formula>
    </cfRule>
  </conditionalFormatting>
  <conditionalFormatting sqref="CY83:DH90">
    <cfRule type="expression" dxfId="4" priority="29">
      <formula>$DJ$80=0</formula>
    </cfRule>
  </conditionalFormatting>
  <conditionalFormatting sqref="A86">
    <cfRule type="expression" dxfId="5" priority="30">
      <formula>DQ18&gt;0</formula>
    </cfRule>
  </conditionalFormatting>
  <conditionalFormatting sqref="B86">
    <cfRule type="expression" dxfId="6" priority="31">
      <formula>DP55=1</formula>
    </cfRule>
  </conditionalFormatting>
  <conditionalFormatting sqref="S86:AA86">
    <cfRule type="expression" dxfId="6" priority="32">
      <formula>DP55=1</formula>
    </cfRule>
  </conditionalFormatting>
  <conditionalFormatting sqref="B86">
    <cfRule type="expression" dxfId="5" priority="33">
      <formula>DP56=1</formula>
    </cfRule>
  </conditionalFormatting>
  <conditionalFormatting sqref="C86">
    <cfRule type="expression" dxfId="6" priority="34">
      <formula>DQ55=1</formula>
    </cfRule>
  </conditionalFormatting>
  <conditionalFormatting sqref="D86">
    <cfRule type="expression" dxfId="6" priority="35">
      <formula>DR55=1</formula>
    </cfRule>
  </conditionalFormatting>
  <conditionalFormatting sqref="E86">
    <cfRule type="expression" dxfId="6" priority="36">
      <formula>DS55=1</formula>
    </cfRule>
  </conditionalFormatting>
  <conditionalFormatting sqref="G86">
    <cfRule type="expression" dxfId="6" priority="37">
      <formula>DU55=1</formula>
    </cfRule>
  </conditionalFormatting>
  <conditionalFormatting sqref="J86">
    <cfRule type="expression" dxfId="6" priority="38">
      <formula>DX55=1</formula>
    </cfRule>
  </conditionalFormatting>
  <conditionalFormatting sqref="C86">
    <cfRule type="expression" dxfId="5" priority="39">
      <formula>DQ56=1</formula>
    </cfRule>
  </conditionalFormatting>
  <conditionalFormatting sqref="D86">
    <cfRule type="expression" dxfId="5" priority="40">
      <formula>DR56=1</formula>
    </cfRule>
  </conditionalFormatting>
  <conditionalFormatting sqref="E86">
    <cfRule type="expression" dxfId="5" priority="41">
      <formula>DS56=1</formula>
    </cfRule>
  </conditionalFormatting>
  <conditionalFormatting sqref="G86">
    <cfRule type="expression" dxfId="5" priority="42">
      <formula>DU56=1</formula>
    </cfRule>
  </conditionalFormatting>
  <conditionalFormatting sqref="J86">
    <cfRule type="expression" dxfId="5" priority="43">
      <formula>DX56=1</formula>
    </cfRule>
  </conditionalFormatting>
  <conditionalFormatting sqref="A5:J5 R5 AI5 AZ5 BQ5 CH5 CY5">
    <cfRule type="expression" dxfId="7" priority="44">
      <formula>G9=10</formula>
    </cfRule>
  </conditionalFormatting>
  <conditionalFormatting sqref="R86">
    <cfRule type="expression" dxfId="5" priority="45">
      <formula>DQ18&gt;0</formula>
    </cfRule>
  </conditionalFormatting>
  <conditionalFormatting sqref="AI86">
    <cfRule type="expression" dxfId="5" priority="46">
      <formula>DQ18&gt;0</formula>
    </cfRule>
  </conditionalFormatting>
  <conditionalFormatting sqref="CY86">
    <cfRule type="expression" dxfId="5" priority="47">
      <formula>DQ18&gt;0</formula>
    </cfRule>
  </conditionalFormatting>
  <conditionalFormatting sqref="CH86">
    <cfRule type="expression" dxfId="5" priority="48">
      <formula>DQ18&gt;0</formula>
    </cfRule>
  </conditionalFormatting>
  <conditionalFormatting sqref="BQ86">
    <cfRule type="expression" dxfId="5" priority="49">
      <formula>DQ18&gt;0</formula>
    </cfRule>
  </conditionalFormatting>
  <conditionalFormatting sqref="AZ86">
    <cfRule type="expression" dxfId="5" priority="50">
      <formula>DQ18&gt;0</formula>
    </cfRule>
  </conditionalFormatting>
  <conditionalFormatting sqref="AJ86:AR86">
    <cfRule type="expression" dxfId="6" priority="51">
      <formula>DP55=1</formula>
    </cfRule>
  </conditionalFormatting>
  <conditionalFormatting sqref="BA86:BI86">
    <cfRule type="expression" dxfId="6" priority="52">
      <formula>DP55=1</formula>
    </cfRule>
  </conditionalFormatting>
  <conditionalFormatting sqref="BR86:BZ86">
    <cfRule type="expression" dxfId="6" priority="53">
      <formula>DP55=1</formula>
    </cfRule>
  </conditionalFormatting>
  <conditionalFormatting sqref="CI86:CQ86">
    <cfRule type="expression" dxfId="6" priority="54">
      <formula>DP55=1</formula>
    </cfRule>
  </conditionalFormatting>
  <conditionalFormatting sqref="CZ86:DH86">
    <cfRule type="expression" dxfId="6" priority="55">
      <formula>DP55=1</formula>
    </cfRule>
  </conditionalFormatting>
  <conditionalFormatting sqref="S86:AA86">
    <cfRule type="expression" dxfId="5" priority="56">
      <formula>DP56=1</formula>
    </cfRule>
  </conditionalFormatting>
  <conditionalFormatting sqref="AJ86:AR86">
    <cfRule type="expression" dxfId="5" priority="57">
      <formula>DP56=1</formula>
    </cfRule>
  </conditionalFormatting>
  <conditionalFormatting sqref="BA86:BI86">
    <cfRule type="expression" dxfId="5" priority="58">
      <formula>DP56=1</formula>
    </cfRule>
  </conditionalFormatting>
  <conditionalFormatting sqref="BR86:BZ86">
    <cfRule type="expression" dxfId="5" priority="59">
      <formula>DP56=1</formula>
    </cfRule>
  </conditionalFormatting>
  <conditionalFormatting sqref="CI86:CQ86">
    <cfRule type="expression" dxfId="5" priority="60">
      <formula>DP56=1</formula>
    </cfRule>
  </conditionalFormatting>
  <conditionalFormatting sqref="CZ86:DH86">
    <cfRule type="expression" dxfId="5" priority="61">
      <formula>DP56=1</formula>
    </cfRule>
  </conditionalFormatting>
  <conditionalFormatting sqref="J16 J18 J20 J22 J25:J26 J28 J30 J32 J34 J36 J38 J40 J42 J44 J46 J48 J50 J52 J54 J56 J58 J60 J62 J64 J67:J68 J70 J72">
    <cfRule type="expression" dxfId="6" priority="62">
      <formula>OR(L17="C",L17="E")</formula>
    </cfRule>
  </conditionalFormatting>
  <conditionalFormatting sqref="AA16 AA18 AA20 AA22 AA25:AA26 AA28 AA30 AA32 AA34 AA36 AA38 AA40 AA42 AA44 AA46 AA48 AA50 AA52 AA54 AA56 AA58 AA60 AA62 AA64 AA67:AA68 AA70 AA72">
    <cfRule type="expression" dxfId="6" priority="63">
      <formula>OR(AC17="C",AC17="E")</formula>
    </cfRule>
  </conditionalFormatting>
  <conditionalFormatting sqref="AR16 AR18 AR20 AR22 AR25:AR26 AR28 AR30 AR32 AR34 AR36 AR38 AR40 AR42 AR44 AR46 AR48 AR50 AR52 AR54 AR56 AR58 AR60 AR62 AR64 AR67:AR68 AR70 AR72">
    <cfRule type="expression" dxfId="6" priority="64">
      <formula>OR(AT17="C",AT17="E")</formula>
    </cfRule>
  </conditionalFormatting>
  <conditionalFormatting sqref="BI16 BI18 BI20 BI22 BI25:BI26 BI28 BI30 BI32 BI34 BI36 BI38 BI40 BI42 BI44 BI46 BI48 BI50 BI52 BI54 BI56 BI58 BI60 BI62 BI64 BI67:BI68 BI70 BI72">
    <cfRule type="expression" dxfId="6" priority="65">
      <formula>OR(BK17="C",BK17="E")</formula>
    </cfRule>
  </conditionalFormatting>
  <conditionalFormatting sqref="BZ16 BZ18 BZ20 BZ22 BZ25:BZ26 BZ28 BZ30 BZ32 BZ34 BZ36 BZ38 BZ40 BZ42 BZ44 BZ46 BZ48 BZ50 BZ52 BZ54 BZ56 BZ58 BZ60 BZ62 BZ64 BZ67:BZ68 BZ70 BZ72">
    <cfRule type="expression" dxfId="6" priority="66">
      <formula>OR(CB17="C",CB17="E")</formula>
    </cfRule>
  </conditionalFormatting>
  <conditionalFormatting sqref="CQ16 CQ18 CQ20 CQ22 CQ25:CQ26 CQ28 CQ30 CQ32 CQ34 CQ36 CQ38 CQ40 CQ42 CQ44 CQ46 CQ48 CQ50 CQ52 CQ54 CQ56 CQ58 CQ60 CQ62 CQ64 CQ67:CQ68 CQ70 CQ72">
    <cfRule type="expression" dxfId="6" priority="67">
      <formula>OR(CS17="C",CS17="E")</formula>
    </cfRule>
  </conditionalFormatting>
  <conditionalFormatting sqref="DH16 DH18 DH20 DH22 DH25:DH26 DH28 DH30 DH32 DH34 DH36 DH38 DH40 DH42 DH44 DH46 DH48 DH50 DH52 DH54 DH56 DH58 DH60 DH62 DH64 DH67:DH68 DH70 DH72">
    <cfRule type="expression" dxfId="6" priority="68">
      <formula>OR(DJ17="C",DJ17="E")</formula>
    </cfRule>
  </conditionalFormatting>
  <dataValidations>
    <dataValidation type="list" allowBlank="1" showErrorMessage="1" sqref="D4 U4 AL4 BC4 BT4 CK4 DB4">
      <formula1>"0 - Muito Mal Recuperado,1 - Muito Pouca Recuperação,2 - Pouca Recuperação,3 - Recuperação Moderada,4 - Boa Recuperação,5 - Muito Boa Recuperação,6 - ,7 - Muito, Muito Boa Recuperação,8 - ,9 - ,10 - Totalmente Recuperado"</formula1>
    </dataValidation>
    <dataValidation type="list" allowBlank="1" showErrorMessage="1" sqref="D80 U80 AL80 BC80 BT80 CK80 DB80">
      <formula1>"0 - Repouso,1 - Muito Fácil,2 -,3 - Razoavelmente Fácil,4 - Um Pouco Difícil,5 - Difícil,6 -,7 - Muito Difícil,8 -,9 - Muito, Muito Difícil,10 - Esforço Máximo"</formula1>
    </dataValidation>
  </dataValidations>
  <hyperlinks>
    <hyperlink display="Ver Progresso Completo" location="'Relatório Semanal'!A1" ref="A91"/>
    <hyperlink display="Ver Progresso Completo" location="'Relatório Semanal'!A1" ref="R91"/>
    <hyperlink display="Ver Progresso Completo" location="'Relatório Semanal'!A1" ref="AI91"/>
    <hyperlink display="Ver Progresso Completo" location="'Relatório Semanal'!A1" ref="AZ91"/>
    <hyperlink display="Ver Progresso Completo" location="'Relatório Semanal'!A1" ref="BQ91"/>
    <hyperlink display="Ver Progresso Completo" location="'Relatório Semanal'!A1" ref="CH91"/>
    <hyperlink display="Ver Progresso Completo" location="'Relatório Semanal'!A1" ref="CY91"/>
  </hyperlink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1.71"/>
  </cols>
  <sheetData>
    <row r="1">
      <c r="A1" s="221" t="s">
        <v>58</v>
      </c>
      <c r="B1" s="222"/>
    </row>
    <row r="2">
      <c r="A2" s="223">
        <v>0.0</v>
      </c>
      <c r="B2" s="223" t="s">
        <v>59</v>
      </c>
    </row>
    <row r="3">
      <c r="A3" s="224">
        <v>1.0</v>
      </c>
      <c r="B3" s="224" t="s">
        <v>60</v>
      </c>
    </row>
    <row r="4">
      <c r="A4" s="225">
        <v>2.0</v>
      </c>
      <c r="B4" s="226"/>
    </row>
    <row r="5">
      <c r="A5" s="227">
        <v>3.0</v>
      </c>
      <c r="B5" s="227" t="s">
        <v>61</v>
      </c>
    </row>
    <row r="6">
      <c r="A6" s="228">
        <v>4.0</v>
      </c>
      <c r="B6" s="228" t="s">
        <v>62</v>
      </c>
    </row>
    <row r="7">
      <c r="A7" s="229">
        <v>5.0</v>
      </c>
      <c r="B7" s="229" t="s">
        <v>63</v>
      </c>
    </row>
    <row r="8">
      <c r="A8" s="230">
        <v>6.0</v>
      </c>
      <c r="B8" s="231"/>
    </row>
    <row r="9">
      <c r="A9" s="232">
        <v>7.0</v>
      </c>
      <c r="B9" s="232" t="s">
        <v>64</v>
      </c>
    </row>
    <row r="10">
      <c r="A10" s="233">
        <v>8.0</v>
      </c>
      <c r="B10" s="234"/>
    </row>
    <row r="11">
      <c r="A11" s="235">
        <v>9.0</v>
      </c>
      <c r="B11" s="235" t="s">
        <v>65</v>
      </c>
    </row>
    <row r="12">
      <c r="A12" s="236">
        <v>10.0</v>
      </c>
      <c r="B12" s="236" t="s">
        <v>66</v>
      </c>
    </row>
    <row r="13">
      <c r="A13" s="237"/>
      <c r="B13" s="238"/>
    </row>
    <row r="14">
      <c r="A14" s="239"/>
      <c r="B14" s="240"/>
    </row>
    <row r="15">
      <c r="A15" s="241" t="s">
        <v>67</v>
      </c>
      <c r="B15" s="61"/>
    </row>
    <row r="16">
      <c r="A16" s="236">
        <v>0.0</v>
      </c>
      <c r="B16" s="236" t="s">
        <v>68</v>
      </c>
    </row>
    <row r="17">
      <c r="A17" s="235">
        <v>1.0</v>
      </c>
      <c r="B17" s="235" t="s">
        <v>69</v>
      </c>
    </row>
    <row r="18">
      <c r="A18" s="233">
        <v>2.0</v>
      </c>
      <c r="B18" s="233" t="s">
        <v>70</v>
      </c>
    </row>
    <row r="19">
      <c r="A19" s="232">
        <v>3.0</v>
      </c>
      <c r="B19" s="232" t="s">
        <v>71</v>
      </c>
    </row>
    <row r="20">
      <c r="A20" s="230">
        <v>4.0</v>
      </c>
      <c r="B20" s="230" t="s">
        <v>72</v>
      </c>
    </row>
    <row r="21">
      <c r="A21" s="229">
        <v>5.0</v>
      </c>
      <c r="B21" s="229" t="s">
        <v>73</v>
      </c>
    </row>
    <row r="22" ht="15.75" customHeight="1">
      <c r="A22" s="228">
        <v>6.0</v>
      </c>
      <c r="B22" s="228"/>
    </row>
    <row r="23" ht="15.75" customHeight="1">
      <c r="A23" s="227">
        <v>7.0</v>
      </c>
      <c r="B23" s="227" t="s">
        <v>74</v>
      </c>
    </row>
    <row r="24" ht="15.75" customHeight="1">
      <c r="A24" s="225">
        <v>8.0</v>
      </c>
      <c r="B24" s="226"/>
    </row>
    <row r="25" ht="15.75" customHeight="1">
      <c r="A25" s="224">
        <v>9.0</v>
      </c>
      <c r="B25" s="224"/>
    </row>
    <row r="26" ht="15.75" customHeight="1">
      <c r="A26" s="223">
        <v>10.0</v>
      </c>
      <c r="B26" s="223" t="s">
        <v>75</v>
      </c>
    </row>
  </sheetData>
  <mergeCells count="3">
    <mergeCell ref="A1:B1"/>
    <mergeCell ref="A13:B14"/>
    <mergeCell ref="A15:B15"/>
  </mergeCells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7" width="10.43"/>
    <col customWidth="1" min="8" max="9" width="9.43"/>
    <col customWidth="1" min="10" max="10" width="2.43"/>
  </cols>
  <sheetData>
    <row r="1" ht="83.25" customHeight="1">
      <c r="A1" s="242" t="s">
        <v>76</v>
      </c>
    </row>
    <row r="2">
      <c r="A2" s="243" t="str">
        <f>Progresso!A1</f>
        <v>Claudinei Gasparoto</v>
      </c>
      <c r="G2" s="244" t="s">
        <v>77</v>
      </c>
      <c r="I2" s="245">
        <v>1.0</v>
      </c>
    </row>
    <row r="3">
      <c r="A3" s="201"/>
      <c r="B3" s="201"/>
      <c r="C3" s="201"/>
      <c r="D3" s="201"/>
      <c r="E3" s="201"/>
      <c r="F3" s="201"/>
    </row>
    <row r="4">
      <c r="A4" s="201" t="str">
        <f>C6&amp;" de "&amp;C5</f>
        <v>0 de 6</v>
      </c>
      <c r="B4" s="246" t="str">
        <f>IF($C$5&lt;3,$C$6/$C$5,"")</f>
        <v/>
      </c>
      <c r="C4" s="246" t="str">
        <f>IF($C$5=3,$C$6/$C$5,"")</f>
        <v/>
      </c>
      <c r="D4" s="246" t="str">
        <f>IF($C$5=4,$C$6/$C$5,"")</f>
        <v/>
      </c>
      <c r="E4" s="246" t="str">
        <f>IF($C$5=5,$C$6/$C$5,"")</f>
        <v/>
      </c>
      <c r="F4" s="246">
        <f>IF($C$5=6,$C$6/$C$5,"")</f>
        <v>0</v>
      </c>
      <c r="G4" s="246" t="str">
        <f>IF($C$5=7,$C$6/$C$5,"")</f>
        <v/>
      </c>
      <c r="H4" s="247"/>
    </row>
    <row r="5">
      <c r="A5" s="248" t="s">
        <v>7</v>
      </c>
      <c r="C5" s="249">
        <f>OFFSET(Progresso!$A$20,0,MATCH($I$2,Progresso!$B$3:$G$3,0))</f>
        <v>6</v>
      </c>
      <c r="D5" s="250"/>
      <c r="E5" s="250"/>
      <c r="F5" s="250"/>
      <c r="G5" s="250"/>
      <c r="H5" s="250"/>
    </row>
    <row r="6">
      <c r="A6" s="251" t="s">
        <v>42</v>
      </c>
      <c r="C6" s="249">
        <f>OFFSET(Progresso!$A$21,0,MATCH($I$2,Progresso!$B$3:$G$3,0))</f>
        <v>0</v>
      </c>
      <c r="D6" s="250"/>
      <c r="E6" s="250"/>
      <c r="F6" s="250"/>
      <c r="G6" s="250"/>
      <c r="H6" s="250"/>
    </row>
    <row r="7">
      <c r="B7" s="250" t="str">
        <f>IF(D19=1,"Meta cumprida, Parabéns!!!","Muito Bem!")</f>
        <v>Muito Bem!</v>
      </c>
    </row>
    <row r="9">
      <c r="A9" s="252" t="s">
        <v>78</v>
      </c>
    </row>
    <row r="10">
      <c r="E10" s="253" t="str">
        <f>"Você levantou "&amp;ROUND(OFFSET(Progresso!$A$10,0,MATCH($I$2,Progresso!$B$3:$G$3,0)),1)&amp;" toneladas essa semana!"</f>
        <v>Você levantou 0 toneladas essa semana!</v>
      </c>
    </row>
    <row r="11">
      <c r="A11" s="73" t="s">
        <v>8</v>
      </c>
      <c r="D11" s="254">
        <f>OFFSET(Progresso!$A$5,0,MATCH($I$2,Progresso!$B$3:$G$3,0))</f>
        <v>0</v>
      </c>
    </row>
    <row r="12">
      <c r="A12" s="73" t="s">
        <v>79</v>
      </c>
      <c r="D12" s="254">
        <f>OFFSET(Progresso!$A$6,0,MATCH($I$2,Progresso!$B$3:$G$3,0))</f>
        <v>0</v>
      </c>
    </row>
    <row r="13">
      <c r="A13" s="73" t="s">
        <v>80</v>
      </c>
      <c r="D13" s="254">
        <f>OFFSET(Progresso!$A$8,0,MATCH($I$2,Progresso!$B$3:$G$3,0))</f>
        <v>0</v>
      </c>
    </row>
    <row r="14">
      <c r="A14" s="73" t="s">
        <v>81</v>
      </c>
      <c r="D14" s="254">
        <f>OFFSET(Progresso!$A$9,0,MATCH($I$2,Progresso!$B$3:$G$3,0))</f>
        <v>0</v>
      </c>
    </row>
    <row r="15">
      <c r="A15" s="73" t="s">
        <v>23</v>
      </c>
      <c r="D15" s="255">
        <f>OFFSET(Progresso!$A$12,0,MATCH($I$2,Progresso!$B$3:$G$3,0))</f>
        <v>0</v>
      </c>
      <c r="E15" s="256" t="str">
        <f>Imagens!A1</f>
        <v/>
      </c>
    </row>
    <row r="16">
      <c r="A16" s="57" t="s">
        <v>26</v>
      </c>
      <c r="D16" s="254">
        <f>OFFSET(Progresso!$A$14,0,MATCH($I$2,Progresso!$B$3:$G$3,0))</f>
        <v>0</v>
      </c>
    </row>
    <row r="17">
      <c r="A17" s="73" t="s">
        <v>82</v>
      </c>
      <c r="D17" s="255">
        <f>OFFSET(Progresso!$A$15,0,MATCH($I$2,Progresso!$B$3:$G$3,0))</f>
        <v>0</v>
      </c>
    </row>
    <row r="18">
      <c r="A18" s="251" t="s">
        <v>40</v>
      </c>
      <c r="D18" s="257">
        <f>OFFSET(Progresso!$A$19,0,MATCH($I$2,Progresso!$B$3:$G$3,0))</f>
        <v>0</v>
      </c>
    </row>
    <row r="19">
      <c r="A19" s="251" t="s">
        <v>43</v>
      </c>
      <c r="D19" s="258">
        <f>OFFSET(Progresso!$A$22,0,MATCH($I$2,Progresso!$B$3:$G$3,0))</f>
        <v>0</v>
      </c>
    </row>
    <row r="20">
      <c r="A20" s="251" t="s">
        <v>44</v>
      </c>
      <c r="D20" s="257">
        <f>OFFSET(Progresso!$A$23,0,MATCH($I$2,Progresso!$B$3:$G$3,0))</f>
        <v>0</v>
      </c>
    </row>
    <row r="21">
      <c r="A21" s="73" t="s">
        <v>45</v>
      </c>
      <c r="D21" s="255">
        <f>OFFSET(Progresso!$A$24,0,MATCH($I$2,Progresso!$B$3:$G$3,0))</f>
        <v>0</v>
      </c>
    </row>
    <row r="22">
      <c r="A22" s="73" t="s">
        <v>83</v>
      </c>
      <c r="D22" s="257">
        <f>OFFSET(Progresso!$A$26,0,MATCH($I$2,Progresso!$B$3:$G$3,0))</f>
        <v>0</v>
      </c>
    </row>
    <row r="23">
      <c r="A23" s="259"/>
      <c r="D23" s="256"/>
    </row>
    <row r="24">
      <c r="A24" s="252" t="s">
        <v>84</v>
      </c>
    </row>
    <row r="25" ht="7.5" customHeight="1"/>
    <row r="26" ht="26.25" customHeight="1">
      <c r="A26" s="260" t="s">
        <v>85</v>
      </c>
      <c r="B26" s="60"/>
      <c r="C26" s="261">
        <f>OFFSET(Progresso!$A$35,0,MATCH($I$2,Progresso!$B$3:$G$3,0))</f>
        <v>775.4036965</v>
      </c>
      <c r="D26" s="61"/>
    </row>
    <row r="27" ht="45.0" customHeight="1">
      <c r="A27" s="262" t="str">
        <f>IF(ROUNDDOWN($C$26,0)&lt;5000,Imagens!$G$2,Imagens!$C$2)</f>
        <v/>
      </c>
      <c r="B27" s="262" t="str">
        <f>IF(ROUNDDOWN($C$26,0)&lt;1000,Imagens!$G$2,Imagens!$D$2)</f>
        <v/>
      </c>
      <c r="C27" s="262" t="str">
        <f>IF(ROUNDDOWN($C$26,0)&lt;500,Imagens!$G$2,Imagens!$E$2)</f>
        <v/>
      </c>
      <c r="D27" s="262" t="str">
        <f>IF(ROUNDDOWN($C$26,0)&lt;100,Imagens!$G$2,Imagens!$F$2)</f>
        <v/>
      </c>
    </row>
    <row r="28">
      <c r="A28" s="263" t="str">
        <f>ROUNDDOWN($C$26,0)&amp;"/5.000"</f>
        <v>775/5.000</v>
      </c>
      <c r="B28" s="263" t="str">
        <f>ROUNDDOWN($C$26,0)&amp;"/1.000"</f>
        <v>775/1.000</v>
      </c>
      <c r="C28" s="263" t="str">
        <f>ROUNDDOWN($C$26,0)&amp;"/500"</f>
        <v>775/500</v>
      </c>
      <c r="D28" s="263" t="str">
        <f>ROUNDDOWN($C26,0)&amp;"/100"</f>
        <v>775/100</v>
      </c>
    </row>
    <row r="29" ht="7.5" customHeight="1">
      <c r="A29" s="264"/>
      <c r="B29" s="264"/>
      <c r="C29" s="265"/>
      <c r="D29" s="265"/>
    </row>
    <row r="30" ht="26.25" customHeight="1">
      <c r="A30" s="266" t="s">
        <v>86</v>
      </c>
      <c r="B30" s="60"/>
      <c r="C30" s="267">
        <f>OFFSET(Progresso!$A$47,0,MATCH($I$2,Progresso!$B$3:$G$3,0))</f>
        <v>0</v>
      </c>
      <c r="D30" s="61"/>
    </row>
    <row r="31" ht="45.0" customHeight="1">
      <c r="A31" s="263" t="str">
        <f>IF(OFFSET(Progresso!$A$52,0,MATCH($I$2,Progresso!$B$3:$G$3,0))&lt;20,Imagens!$G$2,Imagens!$C$2)</f>
        <v/>
      </c>
      <c r="B31" s="263" t="str">
        <f>IF(OFFSET(Progresso!$A$52,0,MATCH($I$2,Progresso!$B$3:$G$3,0))&lt;10,Imagens!$G$2,Imagens!$D$2)</f>
        <v/>
      </c>
      <c r="C31" s="263" t="str">
        <f>IF(OFFSET(Progresso!$A$52,0,MATCH($I$2,Progresso!$B$3:$G$3,0))&lt;5,Imagens!$G$2,Imagens!$E$2)</f>
        <v/>
      </c>
      <c r="D31" s="263" t="str">
        <f>IF(OFFSET(Progresso!$A$52,0,MATCH($I$2,Progresso!$B$3:$G$3,0))&lt;2,Imagens!$G$2,Imagens!$F$2)</f>
        <v/>
      </c>
    </row>
    <row r="32">
      <c r="A32" s="263" t="str">
        <f>OFFSET(Progresso!$A$52,0,MATCH($I$2,Progresso!$B$3:$G$3,0))&amp;"/20"</f>
        <v>0/20</v>
      </c>
      <c r="B32" s="263" t="str">
        <f>OFFSET(Progresso!$A$52,0,MATCH($I$2,Progresso!$B$3:$G$3,0))&amp;"/10"</f>
        <v>0/10</v>
      </c>
      <c r="C32" s="263" t="str">
        <f>OFFSET(Progresso!$A$52,0,MATCH($I$2,Progresso!$B$3:$G$3,0))&amp;"/5"</f>
        <v>0/5</v>
      </c>
      <c r="D32" s="263" t="str">
        <f>OFFSET(Progresso!$A$52,0,MATCH($I$2,Progresso!$B$3:$G$3,0))&amp;"/2"</f>
        <v>0/2</v>
      </c>
    </row>
    <row r="33" ht="7.5" customHeight="1">
      <c r="E33" s="256"/>
      <c r="F33" s="256"/>
      <c r="G33" s="256"/>
      <c r="H33" s="256"/>
      <c r="I33" s="256"/>
      <c r="J33" s="256"/>
    </row>
    <row r="34" ht="26.25" customHeight="1">
      <c r="A34" s="266" t="s">
        <v>87</v>
      </c>
      <c r="B34" s="60"/>
      <c r="C34" s="268">
        <f>OFFSET(Progresso!$A$46,0,MATCH($I$2,Progresso!$B$3:$G$3,0))</f>
        <v>86</v>
      </c>
      <c r="D34" s="61"/>
      <c r="E34" s="269"/>
      <c r="F34" s="266" t="s">
        <v>88</v>
      </c>
      <c r="G34" s="60"/>
      <c r="H34" s="261">
        <f>OFFSET(Progresso!$A$37,0,MATCH($I$2,Progresso!$B$3:$G$3,0))</f>
        <v>12440.77163</v>
      </c>
      <c r="I34" s="61"/>
      <c r="J34" s="269"/>
    </row>
    <row r="35" ht="45.0" customHeight="1">
      <c r="A35" s="263" t="str">
        <f>IF($C34&lt;200,Imagens!$G$2,Imagens!$C$2)</f>
        <v/>
      </c>
      <c r="B35" s="263" t="str">
        <f>IF($C34&lt;100,Imagens!$G$2,Imagens!$D$2)</f>
        <v/>
      </c>
      <c r="C35" s="263" t="str">
        <f>IF($C34&lt;25,Imagens!$G$2,Imagens!$E$2)</f>
        <v/>
      </c>
      <c r="D35" s="263" t="str">
        <f>IF($C34&lt;10,Imagens!$G$2,Imagens!$F$2)</f>
        <v/>
      </c>
      <c r="E35" s="256"/>
      <c r="F35" s="263" t="str">
        <f>IF($H34&lt;20000,Imagens!$G$2,Imagens!$C$2)</f>
        <v/>
      </c>
      <c r="G35" s="263" t="str">
        <f>IF($H34&lt;10000,Imagens!$G$2,Imagens!$D$2)</f>
        <v/>
      </c>
      <c r="H35" s="263" t="str">
        <f>IF($H34&lt;2500,Imagens!$G$2,Imagens!$E$2)</f>
        <v/>
      </c>
      <c r="I35" s="263" t="str">
        <f>IF($H34&lt;1000,Imagens!$G$2,Imagens!$F$2)</f>
        <v/>
      </c>
      <c r="J35" s="256"/>
    </row>
    <row r="36">
      <c r="A36" s="263" t="str">
        <f>$C34&amp;"/200"</f>
        <v>86/200</v>
      </c>
      <c r="B36" s="263" t="str">
        <f>$C34&amp;"/100"</f>
        <v>86/100</v>
      </c>
      <c r="C36" s="263" t="str">
        <f>$C34&amp;"/25"</f>
        <v>86/25</v>
      </c>
      <c r="D36" s="263" t="str">
        <f>$C34&amp;"/10"</f>
        <v>86/10</v>
      </c>
      <c r="F36" s="270" t="str">
        <f>ROUNDDOWN($H34,0)&amp;"/20.000"</f>
        <v>12440/20.000</v>
      </c>
      <c r="G36" s="270" t="str">
        <f>ROUNDDOWN($H34,0)&amp;"/10.000"</f>
        <v>12440/10.000</v>
      </c>
      <c r="H36" s="270" t="str">
        <f>ROUNDDOWN($H34,0)&amp;"/2.500"</f>
        <v>12440/2.500</v>
      </c>
      <c r="I36" s="270" t="str">
        <f>ROUNDDOWN($H34,0)&amp;"/1.000"</f>
        <v>12440/1.000</v>
      </c>
    </row>
    <row r="37" ht="7.5" customHeight="1"/>
    <row r="39">
      <c r="E39" s="271" t="s">
        <v>89</v>
      </c>
    </row>
    <row r="46">
      <c r="F46" s="272"/>
    </row>
  </sheetData>
  <mergeCells count="16">
    <mergeCell ref="A6:B6"/>
    <mergeCell ref="A26:B26"/>
    <mergeCell ref="C26:D26"/>
    <mergeCell ref="A30:B30"/>
    <mergeCell ref="C30:D30"/>
    <mergeCell ref="A34:B34"/>
    <mergeCell ref="C34:D34"/>
    <mergeCell ref="F34:G34"/>
    <mergeCell ref="H34:I34"/>
    <mergeCell ref="A1:E1"/>
    <mergeCell ref="A2:F2"/>
    <mergeCell ref="G2:H2"/>
    <mergeCell ref="A5:B5"/>
    <mergeCell ref="B7:H7"/>
    <mergeCell ref="E10:J14"/>
    <mergeCell ref="E15:J32"/>
  </mergeCells>
  <conditionalFormatting sqref="A3">
    <cfRule type="expression" dxfId="5" priority="1">
      <formula>C6&gt;0</formula>
    </cfRule>
  </conditionalFormatting>
  <conditionalFormatting sqref="B3">
    <cfRule type="expression" dxfId="5" priority="2">
      <formula>C6&gt;1</formula>
    </cfRule>
  </conditionalFormatting>
  <conditionalFormatting sqref="C3">
    <cfRule type="expression" dxfId="5" priority="3">
      <formula>C6&gt;2</formula>
    </cfRule>
  </conditionalFormatting>
  <conditionalFormatting sqref="D3">
    <cfRule type="expression" dxfId="5" priority="4">
      <formula>C6&gt;3</formula>
    </cfRule>
  </conditionalFormatting>
  <conditionalFormatting sqref="E3">
    <cfRule type="expression" dxfId="5" priority="5">
      <formula>C6&gt;4</formula>
    </cfRule>
  </conditionalFormatting>
  <conditionalFormatting sqref="F3">
    <cfRule type="expression" dxfId="5" priority="6">
      <formula>C6&gt;5</formula>
    </cfRule>
  </conditionalFormatting>
  <conditionalFormatting sqref="G3">
    <cfRule type="expression" dxfId="5" priority="7">
      <formula>C6&gt;6</formula>
    </cfRule>
  </conditionalFormatting>
  <conditionalFormatting sqref="A3">
    <cfRule type="expression" dxfId="8" priority="8">
      <formula>C5&gt;0</formula>
    </cfRule>
  </conditionalFormatting>
  <conditionalFormatting sqref="B3">
    <cfRule type="expression" dxfId="8" priority="9">
      <formula>C5&gt;1</formula>
    </cfRule>
  </conditionalFormatting>
  <conditionalFormatting sqref="C3">
    <cfRule type="expression" dxfId="8" priority="10">
      <formula>C5&gt;2</formula>
    </cfRule>
  </conditionalFormatting>
  <conditionalFormatting sqref="D3">
    <cfRule type="expression" dxfId="8" priority="11">
      <formula>C5&gt;3</formula>
    </cfRule>
  </conditionalFormatting>
  <conditionalFormatting sqref="E3">
    <cfRule type="expression" dxfId="8" priority="12">
      <formula>C5&gt;4</formula>
    </cfRule>
  </conditionalFormatting>
  <conditionalFormatting sqref="F3">
    <cfRule type="expression" dxfId="8" priority="13">
      <formula>C5&gt;5</formula>
    </cfRule>
  </conditionalFormatting>
  <conditionalFormatting sqref="G3">
    <cfRule type="expression" dxfId="8" priority="14">
      <formula>C5&gt;6</formula>
    </cfRule>
  </conditionalFormatting>
  <printOptions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1.0"/>
    <col customWidth="1" min="3" max="3" width="7.0"/>
    <col customWidth="1" min="4" max="4" width="6.43"/>
    <col customWidth="1" min="5" max="5" width="7.0"/>
    <col customWidth="1" min="6" max="6" width="6.43"/>
    <col customWidth="1" min="7" max="7" width="7.0"/>
    <col customWidth="1" min="8" max="8" width="6.43"/>
    <col customWidth="1" min="9" max="9" width="7.0"/>
    <col customWidth="1" min="10" max="10" width="6.43"/>
    <col customWidth="1" min="11" max="12" width="1.0"/>
  </cols>
  <sheetData>
    <row r="1" ht="6.0" customHeight="1">
      <c r="A1" s="1"/>
      <c r="B1" s="1"/>
      <c r="C1" s="2"/>
      <c r="D1" s="3"/>
      <c r="E1" s="3"/>
      <c r="F1" s="3"/>
      <c r="G1" s="3"/>
      <c r="H1" s="3"/>
      <c r="I1" s="3"/>
      <c r="J1" s="3"/>
      <c r="K1" s="1"/>
      <c r="L1" s="1"/>
    </row>
    <row r="2" ht="15.75" customHeight="1">
      <c r="A2" s="1"/>
      <c r="B2" s="4"/>
      <c r="C2" s="5"/>
      <c r="D2" s="6"/>
      <c r="E2" s="6"/>
      <c r="F2" s="6"/>
      <c r="G2" s="273" t="s">
        <v>90</v>
      </c>
      <c r="H2" s="274"/>
      <c r="I2" s="274"/>
      <c r="J2" s="274"/>
      <c r="K2" s="8"/>
      <c r="L2" s="1"/>
    </row>
    <row r="3" ht="15.75" customHeight="1">
      <c r="A3" s="1"/>
      <c r="B3" s="4"/>
      <c r="C3" s="5"/>
      <c r="D3" s="6"/>
      <c r="E3" s="6"/>
      <c r="F3" s="6"/>
      <c r="G3" s="275" t="s">
        <v>91</v>
      </c>
      <c r="H3" s="276"/>
      <c r="I3" s="276"/>
      <c r="J3" s="276"/>
      <c r="K3" s="8"/>
      <c r="L3" s="1"/>
    </row>
    <row r="4" ht="6.0" customHeight="1">
      <c r="A4" s="1"/>
      <c r="B4" s="4"/>
      <c r="C4" s="5"/>
      <c r="D4" s="6"/>
      <c r="E4" s="6"/>
      <c r="F4" s="6"/>
      <c r="G4" s="6"/>
      <c r="H4" s="6"/>
      <c r="I4" s="6"/>
      <c r="J4" s="6"/>
      <c r="K4" s="8"/>
      <c r="L4" s="1"/>
    </row>
    <row r="5" ht="21.0" customHeight="1">
      <c r="A5" s="277"/>
      <c r="B5" s="278"/>
      <c r="C5" s="279" t="s">
        <v>92</v>
      </c>
      <c r="D5" s="280">
        <v>63.0</v>
      </c>
      <c r="E5" s="281" t="s">
        <v>93</v>
      </c>
      <c r="F5" s="282">
        <v>18.0</v>
      </c>
      <c r="G5" s="283" t="s">
        <v>94</v>
      </c>
      <c r="H5" s="284">
        <f>D5-J5</f>
        <v>51.66</v>
      </c>
      <c r="I5" s="281" t="s">
        <v>95</v>
      </c>
      <c r="J5" s="285">
        <f>D5*(F5/100)</f>
        <v>11.34</v>
      </c>
      <c r="K5" s="286"/>
      <c r="L5" s="277"/>
    </row>
    <row r="6" ht="21.0" customHeight="1">
      <c r="A6" s="277"/>
      <c r="B6" s="278"/>
      <c r="C6" s="287" t="s">
        <v>96</v>
      </c>
      <c r="D6" s="288">
        <v>57.4</v>
      </c>
      <c r="E6" s="289" t="s">
        <v>97</v>
      </c>
      <c r="F6" s="290">
        <v>52.0</v>
      </c>
      <c r="G6" s="291" t="s">
        <v>98</v>
      </c>
      <c r="H6" s="288">
        <v>14.0</v>
      </c>
      <c r="I6" s="289" t="s">
        <v>99</v>
      </c>
      <c r="J6" s="292"/>
      <c r="K6" s="286"/>
      <c r="L6" s="277"/>
    </row>
    <row r="7" ht="21.0" customHeight="1">
      <c r="A7" s="277"/>
      <c r="B7" s="278"/>
      <c r="C7" s="293" t="s">
        <v>100</v>
      </c>
      <c r="D7" s="294">
        <f>D6/3.5</f>
        <v>16.4</v>
      </c>
      <c r="E7" s="295" t="s">
        <v>101</v>
      </c>
      <c r="F7" s="296">
        <v>159.0</v>
      </c>
      <c r="G7" s="297" t="s">
        <v>102</v>
      </c>
      <c r="H7" s="298">
        <v>180.0</v>
      </c>
      <c r="I7" s="295" t="s">
        <v>103</v>
      </c>
      <c r="J7" s="299">
        <f>OFFSET(Progresso!$A$14,0,Progresso!$A$57)</f>
        <v>219.8007986</v>
      </c>
      <c r="K7" s="286"/>
      <c r="L7" s="277"/>
    </row>
    <row r="8" ht="7.5" customHeight="1">
      <c r="A8" s="300"/>
      <c r="B8" s="301"/>
      <c r="C8" s="302"/>
      <c r="D8" s="303"/>
      <c r="E8" s="303"/>
      <c r="F8" s="303"/>
      <c r="G8" s="303"/>
      <c r="H8" s="303"/>
      <c r="I8" s="303"/>
      <c r="J8" s="304"/>
      <c r="K8" s="305"/>
      <c r="L8" s="300"/>
    </row>
    <row r="9" ht="22.5" customHeight="1">
      <c r="A9" s="300"/>
      <c r="B9" s="301"/>
      <c r="C9" s="306"/>
      <c r="D9" s="307" t="s">
        <v>104</v>
      </c>
      <c r="E9" s="307" t="s">
        <v>105</v>
      </c>
      <c r="F9" s="307" t="s">
        <v>106</v>
      </c>
      <c r="G9" s="307" t="s">
        <v>107</v>
      </c>
      <c r="H9" s="308" t="s">
        <v>108</v>
      </c>
      <c r="I9" s="307" t="s">
        <v>109</v>
      </c>
      <c r="J9" s="309"/>
      <c r="K9" s="305"/>
      <c r="L9" s="300"/>
    </row>
    <row r="10" ht="18.0" customHeight="1">
      <c r="A10" s="277"/>
      <c r="B10" s="278"/>
      <c r="C10" s="306"/>
      <c r="D10" s="310">
        <v>0.5</v>
      </c>
      <c r="E10" s="311">
        <f t="shared" ref="E10:E20" si="1">$F$6+(($F$7-$F$6)*D10)</f>
        <v>105.5</v>
      </c>
      <c r="F10" s="312">
        <f t="shared" ref="F10:F20" si="2">E10/4</f>
        <v>26.375</v>
      </c>
      <c r="G10" s="313">
        <v>8.5</v>
      </c>
      <c r="H10" s="312">
        <f t="shared" ref="H10:H20" si="3">IF(G10="","",60/G10)</f>
        <v>7.058823529</v>
      </c>
      <c r="I10" s="314" t="s">
        <v>110</v>
      </c>
      <c r="J10" s="315"/>
      <c r="K10" s="286"/>
      <c r="L10" s="277"/>
    </row>
    <row r="11" ht="18.0" customHeight="1">
      <c r="A11" s="277"/>
      <c r="B11" s="278"/>
      <c r="C11" s="306"/>
      <c r="D11" s="310">
        <v>0.55</v>
      </c>
      <c r="E11" s="311">
        <f t="shared" si="1"/>
        <v>110.85</v>
      </c>
      <c r="F11" s="312">
        <f t="shared" si="2"/>
        <v>27.7125</v>
      </c>
      <c r="G11" s="313">
        <v>9.1</v>
      </c>
      <c r="H11" s="312">
        <f t="shared" si="3"/>
        <v>6.593406593</v>
      </c>
      <c r="I11" s="314" t="s">
        <v>111</v>
      </c>
      <c r="J11" s="315"/>
      <c r="K11" s="286"/>
      <c r="L11" s="277"/>
    </row>
    <row r="12" ht="18.0" customHeight="1">
      <c r="A12" s="277"/>
      <c r="B12" s="278"/>
      <c r="C12" s="306"/>
      <c r="D12" s="310">
        <v>0.6</v>
      </c>
      <c r="E12" s="311">
        <f t="shared" si="1"/>
        <v>116.2</v>
      </c>
      <c r="F12" s="312">
        <f t="shared" si="2"/>
        <v>29.05</v>
      </c>
      <c r="G12" s="313">
        <v>10.9</v>
      </c>
      <c r="H12" s="312">
        <f t="shared" si="3"/>
        <v>5.504587156</v>
      </c>
      <c r="I12" s="314" t="s">
        <v>112</v>
      </c>
      <c r="J12" s="315"/>
      <c r="K12" s="286"/>
      <c r="L12" s="277"/>
    </row>
    <row r="13" ht="18.0" customHeight="1">
      <c r="A13" s="316"/>
      <c r="B13" s="317"/>
      <c r="C13" s="306"/>
      <c r="D13" s="318">
        <v>0.65</v>
      </c>
      <c r="E13" s="319">
        <f t="shared" si="1"/>
        <v>121.55</v>
      </c>
      <c r="F13" s="320">
        <f t="shared" si="2"/>
        <v>30.3875</v>
      </c>
      <c r="G13" s="321">
        <v>11.8</v>
      </c>
      <c r="H13" s="320">
        <f t="shared" si="3"/>
        <v>5.084745763</v>
      </c>
      <c r="I13" s="322" t="s">
        <v>113</v>
      </c>
      <c r="J13" s="315"/>
      <c r="K13" s="323"/>
      <c r="L13" s="316"/>
    </row>
    <row r="14" ht="18.0" customHeight="1">
      <c r="A14" s="316"/>
      <c r="B14" s="317"/>
      <c r="C14" s="306"/>
      <c r="D14" s="318">
        <v>0.7</v>
      </c>
      <c r="E14" s="319">
        <f t="shared" si="1"/>
        <v>126.9</v>
      </c>
      <c r="F14" s="320">
        <f t="shared" si="2"/>
        <v>31.725</v>
      </c>
      <c r="G14" s="321">
        <v>12.7</v>
      </c>
      <c r="H14" s="320">
        <f t="shared" si="3"/>
        <v>4.724409449</v>
      </c>
      <c r="I14" s="322" t="s">
        <v>114</v>
      </c>
      <c r="J14" s="315"/>
      <c r="K14" s="323"/>
      <c r="L14" s="316"/>
    </row>
    <row r="15" ht="18.0" customHeight="1">
      <c r="A15" s="316"/>
      <c r="B15" s="317"/>
      <c r="C15" s="306"/>
      <c r="D15" s="318">
        <v>0.75</v>
      </c>
      <c r="E15" s="319">
        <f t="shared" si="1"/>
        <v>132.25</v>
      </c>
      <c r="F15" s="320">
        <f t="shared" si="2"/>
        <v>33.0625</v>
      </c>
      <c r="G15" s="321">
        <v>13.6</v>
      </c>
      <c r="H15" s="320">
        <f t="shared" si="3"/>
        <v>4.411764706</v>
      </c>
      <c r="I15" s="322" t="s">
        <v>115</v>
      </c>
      <c r="J15" s="315"/>
      <c r="K15" s="323"/>
      <c r="L15" s="316"/>
    </row>
    <row r="16" ht="18.0" customHeight="1">
      <c r="A16" s="316"/>
      <c r="B16" s="317"/>
      <c r="C16" s="306"/>
      <c r="D16" s="324">
        <v>0.8</v>
      </c>
      <c r="E16" s="325">
        <f t="shared" si="1"/>
        <v>137.6</v>
      </c>
      <c r="F16" s="326">
        <f t="shared" si="2"/>
        <v>34.4</v>
      </c>
      <c r="G16" s="327">
        <v>14.5</v>
      </c>
      <c r="H16" s="326">
        <f t="shared" si="3"/>
        <v>4.137931034</v>
      </c>
      <c r="I16" s="328" t="s">
        <v>116</v>
      </c>
      <c r="J16" s="315"/>
      <c r="K16" s="323"/>
      <c r="L16" s="316"/>
    </row>
    <row r="17" ht="18.0" customHeight="1">
      <c r="A17" s="316"/>
      <c r="B17" s="317"/>
      <c r="C17" s="306"/>
      <c r="D17" s="329">
        <v>0.85</v>
      </c>
      <c r="E17" s="330">
        <f t="shared" si="1"/>
        <v>142.95</v>
      </c>
      <c r="F17" s="331">
        <f t="shared" si="2"/>
        <v>35.7375</v>
      </c>
      <c r="G17" s="332">
        <v>15.4</v>
      </c>
      <c r="H17" s="331">
        <f t="shared" si="3"/>
        <v>3.896103896</v>
      </c>
      <c r="I17" s="333" t="s">
        <v>117</v>
      </c>
      <c r="J17" s="315"/>
      <c r="K17" s="323"/>
      <c r="L17" s="316"/>
    </row>
    <row r="18" ht="18.0" customHeight="1">
      <c r="A18" s="316"/>
      <c r="B18" s="317"/>
      <c r="C18" s="306"/>
      <c r="D18" s="329">
        <v>0.9</v>
      </c>
      <c r="E18" s="330">
        <f t="shared" si="1"/>
        <v>148.3</v>
      </c>
      <c r="F18" s="331">
        <f t="shared" si="2"/>
        <v>37.075</v>
      </c>
      <c r="G18" s="332">
        <v>16.4</v>
      </c>
      <c r="H18" s="331">
        <f t="shared" si="3"/>
        <v>3.658536585</v>
      </c>
      <c r="I18" s="333" t="s">
        <v>118</v>
      </c>
      <c r="J18" s="315"/>
      <c r="K18" s="323"/>
      <c r="L18" s="316"/>
    </row>
    <row r="19" ht="18.0" customHeight="1">
      <c r="A19" s="316"/>
      <c r="B19" s="317"/>
      <c r="C19" s="306"/>
      <c r="D19" s="334">
        <v>0.95</v>
      </c>
      <c r="E19" s="335">
        <f t="shared" si="1"/>
        <v>153.65</v>
      </c>
      <c r="F19" s="336">
        <f t="shared" si="2"/>
        <v>38.4125</v>
      </c>
      <c r="G19" s="337">
        <v>17.2</v>
      </c>
      <c r="H19" s="336">
        <f t="shared" si="3"/>
        <v>3.488372093</v>
      </c>
      <c r="I19" s="338" t="s">
        <v>119</v>
      </c>
      <c r="J19" s="315"/>
      <c r="K19" s="323"/>
      <c r="L19" s="316"/>
    </row>
    <row r="20" ht="18.0" customHeight="1">
      <c r="A20" s="316"/>
      <c r="B20" s="317"/>
      <c r="C20" s="306"/>
      <c r="D20" s="334">
        <v>1.0</v>
      </c>
      <c r="E20" s="335">
        <f t="shared" si="1"/>
        <v>159</v>
      </c>
      <c r="F20" s="336">
        <f t="shared" si="2"/>
        <v>39.75</v>
      </c>
      <c r="G20" s="337">
        <v>18.2</v>
      </c>
      <c r="H20" s="336">
        <f t="shared" si="3"/>
        <v>3.296703297</v>
      </c>
      <c r="I20" s="338" t="s">
        <v>120</v>
      </c>
      <c r="J20" s="315"/>
      <c r="K20" s="323"/>
      <c r="L20" s="316"/>
    </row>
    <row r="21" ht="10.5" customHeight="1">
      <c r="A21" s="1"/>
      <c r="B21" s="4"/>
      <c r="C21" s="339"/>
      <c r="D21" s="340"/>
      <c r="E21" s="341"/>
      <c r="F21" s="341"/>
      <c r="G21" s="341"/>
      <c r="H21" s="341"/>
      <c r="I21" s="340"/>
      <c r="J21" s="342"/>
      <c r="K21" s="8"/>
      <c r="L21" s="1"/>
    </row>
    <row r="22" ht="186.0" customHeight="1">
      <c r="A22" s="32"/>
      <c r="B22" s="32"/>
      <c r="C22" s="33"/>
      <c r="D22" s="34"/>
      <c r="E22" s="34"/>
      <c r="F22" s="34"/>
      <c r="G22" s="34"/>
      <c r="H22" s="34"/>
      <c r="I22" s="34"/>
      <c r="J22" s="34"/>
      <c r="K22" s="32"/>
      <c r="L22" s="32"/>
    </row>
  </sheetData>
  <mergeCells count="1">
    <mergeCell ref="G2:J2"/>
  </mergeCells>
  <printOptions/>
  <pageMargins bottom="0.393700787401575" footer="0.0" header="0.0" left="0.393700787401575" right="0.393700787401575" top="0.3937007874015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3" width="4.29"/>
    <col customWidth="1" min="4" max="68" width="6.14"/>
  </cols>
  <sheetData>
    <row r="1">
      <c r="A1" s="343" t="s">
        <v>121</v>
      </c>
      <c r="E1" s="344" t="s">
        <v>122</v>
      </c>
      <c r="N1" s="345" t="str">
        <f>'Dados de Base'!$G$2</f>
        <v>Claudinei Gasparoto</v>
      </c>
      <c r="AA1" s="346"/>
    </row>
    <row r="2" ht="15.0" customHeight="1">
      <c r="A2" s="347" t="s">
        <v>123</v>
      </c>
    </row>
    <row r="3" ht="15.0" customHeight="1"/>
    <row r="4" ht="23.25" customHeight="1">
      <c r="A4" s="348" t="s">
        <v>124</v>
      </c>
      <c r="B4" s="36"/>
      <c r="C4" s="36"/>
      <c r="D4" s="349">
        <v>1.0</v>
      </c>
      <c r="E4" s="350" t="str">
        <f>CONCATENATE("MESOCICLO ",D4)</f>
        <v>MESOCICLO 1</v>
      </c>
      <c r="F4" s="36"/>
      <c r="G4" s="36"/>
      <c r="H4" s="36"/>
      <c r="I4" s="351">
        <f>D4+1</f>
        <v>2</v>
      </c>
      <c r="J4" s="352" t="str">
        <f>CONCATENATE("MESOCICLO ",I4)</f>
        <v>MESOCICLO 2</v>
      </c>
      <c r="K4" s="36"/>
      <c r="L4" s="36"/>
      <c r="M4" s="353"/>
      <c r="N4" s="351">
        <f>I4+1</f>
        <v>3</v>
      </c>
      <c r="O4" s="352" t="str">
        <f>CONCATENATE("MESOCICLO ",N4)</f>
        <v>MESOCICLO 3</v>
      </c>
      <c r="P4" s="36"/>
      <c r="Q4" s="36"/>
      <c r="R4" s="353"/>
      <c r="S4" s="351">
        <f>N4+1</f>
        <v>4</v>
      </c>
      <c r="T4" s="352" t="str">
        <f>CONCATENATE("MESOCICLO ",S4)</f>
        <v>MESOCICLO 4</v>
      </c>
      <c r="U4" s="36"/>
      <c r="V4" s="36"/>
      <c r="W4" s="353"/>
      <c r="X4" s="351">
        <f>S4+1</f>
        <v>5</v>
      </c>
      <c r="Y4" s="352" t="str">
        <f>CONCATENATE("MESOCICLO ",X4)</f>
        <v>MESOCICLO 5</v>
      </c>
      <c r="Z4" s="36"/>
      <c r="AA4" s="36"/>
      <c r="AB4" s="353"/>
      <c r="AC4" s="351">
        <f>X4+1</f>
        <v>6</v>
      </c>
      <c r="AD4" s="352" t="str">
        <f>CONCATENATE("MESOCICLO ",AC4)</f>
        <v>MESOCICLO 6</v>
      </c>
      <c r="AE4" s="36"/>
      <c r="AF4" s="36"/>
      <c r="AG4" s="353"/>
      <c r="AH4" s="351">
        <f>AC4+1</f>
        <v>7</v>
      </c>
      <c r="AI4" s="352" t="str">
        <f>CONCATENATE("MESOCICLO ",AH4)</f>
        <v>MESOCICLO 7</v>
      </c>
      <c r="AJ4" s="36"/>
      <c r="AK4" s="36"/>
      <c r="AL4" s="353"/>
      <c r="AM4" s="351">
        <f>AH4+1</f>
        <v>8</v>
      </c>
      <c r="AN4" s="352" t="str">
        <f>CONCATENATE("MESOCICLO ",AM4)</f>
        <v>MESOCICLO 8</v>
      </c>
      <c r="AO4" s="36"/>
      <c r="AP4" s="36"/>
      <c r="AQ4" s="353"/>
      <c r="AR4" s="351">
        <f>AM4+1</f>
        <v>9</v>
      </c>
      <c r="AS4" s="352" t="str">
        <f>CONCATENATE("MESOCICLO ",AR4)</f>
        <v>MESOCICLO 9</v>
      </c>
      <c r="AT4" s="36"/>
      <c r="AU4" s="36"/>
      <c r="AV4" s="353"/>
      <c r="AW4" s="351">
        <f>AR4+1</f>
        <v>10</v>
      </c>
      <c r="AX4" s="352" t="str">
        <f>CONCATENATE("MESOCICLO ",AW4)</f>
        <v>MESOCICLO 10</v>
      </c>
      <c r="AY4" s="36"/>
      <c r="AZ4" s="36"/>
      <c r="BA4" s="353"/>
      <c r="BB4" s="351">
        <f>AW4+1</f>
        <v>11</v>
      </c>
      <c r="BC4" s="352" t="str">
        <f>CONCATENATE("MESOCICLO ",BB4)</f>
        <v>MESOCICLO 11</v>
      </c>
      <c r="BD4" s="36"/>
      <c r="BE4" s="36"/>
      <c r="BF4" s="353"/>
      <c r="BG4" s="351">
        <f>BB4+1</f>
        <v>12</v>
      </c>
      <c r="BH4" s="352" t="str">
        <f>CONCATENATE("MESOCICLO ",BG4)</f>
        <v>MESOCICLO 12</v>
      </c>
      <c r="BI4" s="36"/>
      <c r="BJ4" s="36"/>
      <c r="BK4" s="353"/>
      <c r="BL4" s="351">
        <f>BG4+1</f>
        <v>13</v>
      </c>
      <c r="BM4" s="352" t="str">
        <f>CONCATENATE("MESOCICLO ",BL4)</f>
        <v>MESOCICLO 13</v>
      </c>
      <c r="BN4" s="36"/>
      <c r="BO4" s="36"/>
      <c r="BP4" s="353"/>
    </row>
    <row r="5" ht="23.25" customHeight="1">
      <c r="A5" s="354" t="s">
        <v>125</v>
      </c>
      <c r="B5" s="274"/>
      <c r="C5" s="274"/>
      <c r="D5" s="355" t="s">
        <v>126</v>
      </c>
      <c r="E5" s="356">
        <v>1.0</v>
      </c>
      <c r="F5" s="357">
        <f t="shared" ref="F5:H5" si="1">E5+1</f>
        <v>2</v>
      </c>
      <c r="G5" s="357">
        <f t="shared" si="1"/>
        <v>3</v>
      </c>
      <c r="H5" s="358">
        <f t="shared" si="1"/>
        <v>4</v>
      </c>
      <c r="I5" s="355" t="s">
        <v>126</v>
      </c>
      <c r="J5" s="359">
        <f>H5+1</f>
        <v>5</v>
      </c>
      <c r="K5" s="357">
        <f t="shared" ref="K5:M5" si="2">J5+1</f>
        <v>6</v>
      </c>
      <c r="L5" s="357">
        <f t="shared" si="2"/>
        <v>7</v>
      </c>
      <c r="M5" s="357">
        <f t="shared" si="2"/>
        <v>8</v>
      </c>
      <c r="N5" s="355" t="s">
        <v>126</v>
      </c>
      <c r="O5" s="359">
        <f>M5+1</f>
        <v>9</v>
      </c>
      <c r="P5" s="357">
        <f t="shared" ref="P5:R5" si="3">O5+1</f>
        <v>10</v>
      </c>
      <c r="Q5" s="357">
        <f t="shared" si="3"/>
        <v>11</v>
      </c>
      <c r="R5" s="357">
        <f t="shared" si="3"/>
        <v>12</v>
      </c>
      <c r="S5" s="355" t="s">
        <v>126</v>
      </c>
      <c r="T5" s="359">
        <f>R5+1</f>
        <v>13</v>
      </c>
      <c r="U5" s="357">
        <f t="shared" ref="U5:W5" si="4">T5+1</f>
        <v>14</v>
      </c>
      <c r="V5" s="357">
        <f t="shared" si="4"/>
        <v>15</v>
      </c>
      <c r="W5" s="357">
        <f t="shared" si="4"/>
        <v>16</v>
      </c>
      <c r="X5" s="355" t="s">
        <v>126</v>
      </c>
      <c r="Y5" s="359">
        <f>W5+1</f>
        <v>17</v>
      </c>
      <c r="Z5" s="357">
        <f t="shared" ref="Z5:AB5" si="5">Y5+1</f>
        <v>18</v>
      </c>
      <c r="AA5" s="357">
        <f t="shared" si="5"/>
        <v>19</v>
      </c>
      <c r="AB5" s="357">
        <f t="shared" si="5"/>
        <v>20</v>
      </c>
      <c r="AC5" s="355" t="s">
        <v>126</v>
      </c>
      <c r="AD5" s="359">
        <f>AB5+1</f>
        <v>21</v>
      </c>
      <c r="AE5" s="357">
        <f t="shared" ref="AE5:AG5" si="6">AD5+1</f>
        <v>22</v>
      </c>
      <c r="AF5" s="357">
        <f t="shared" si="6"/>
        <v>23</v>
      </c>
      <c r="AG5" s="357">
        <f t="shared" si="6"/>
        <v>24</v>
      </c>
      <c r="AH5" s="355" t="s">
        <v>126</v>
      </c>
      <c r="AI5" s="359">
        <f>AG5+1</f>
        <v>25</v>
      </c>
      <c r="AJ5" s="357">
        <f t="shared" ref="AJ5:AL5" si="7">AI5+1</f>
        <v>26</v>
      </c>
      <c r="AK5" s="357">
        <f t="shared" si="7"/>
        <v>27</v>
      </c>
      <c r="AL5" s="357">
        <f t="shared" si="7"/>
        <v>28</v>
      </c>
      <c r="AM5" s="355" t="s">
        <v>126</v>
      </c>
      <c r="AN5" s="359">
        <f>AL5+1</f>
        <v>29</v>
      </c>
      <c r="AO5" s="357">
        <f t="shared" ref="AO5:AQ5" si="8">AN5+1</f>
        <v>30</v>
      </c>
      <c r="AP5" s="357">
        <f t="shared" si="8"/>
        <v>31</v>
      </c>
      <c r="AQ5" s="357">
        <f t="shared" si="8"/>
        <v>32</v>
      </c>
      <c r="AR5" s="355" t="s">
        <v>126</v>
      </c>
      <c r="AS5" s="359">
        <f>AQ5+1</f>
        <v>33</v>
      </c>
      <c r="AT5" s="357">
        <f t="shared" ref="AT5:AV5" si="9">AS5+1</f>
        <v>34</v>
      </c>
      <c r="AU5" s="357">
        <f t="shared" si="9"/>
        <v>35</v>
      </c>
      <c r="AV5" s="357">
        <f t="shared" si="9"/>
        <v>36</v>
      </c>
      <c r="AW5" s="355" t="s">
        <v>126</v>
      </c>
      <c r="AX5" s="359">
        <f>AV5+1</f>
        <v>37</v>
      </c>
      <c r="AY5" s="357">
        <f t="shared" ref="AY5:BA5" si="10">AX5+1</f>
        <v>38</v>
      </c>
      <c r="AZ5" s="357">
        <f t="shared" si="10"/>
        <v>39</v>
      </c>
      <c r="BA5" s="357">
        <f t="shared" si="10"/>
        <v>40</v>
      </c>
      <c r="BB5" s="355" t="s">
        <v>126</v>
      </c>
      <c r="BC5" s="359">
        <f>BA5+1</f>
        <v>41</v>
      </c>
      <c r="BD5" s="357">
        <f t="shared" ref="BD5:BF5" si="11">BC5+1</f>
        <v>42</v>
      </c>
      <c r="BE5" s="357">
        <f t="shared" si="11"/>
        <v>43</v>
      </c>
      <c r="BF5" s="357">
        <f t="shared" si="11"/>
        <v>44</v>
      </c>
      <c r="BG5" s="355" t="s">
        <v>126</v>
      </c>
      <c r="BH5" s="359">
        <f>BF5+1</f>
        <v>45</v>
      </c>
      <c r="BI5" s="357">
        <f t="shared" ref="BI5:BK5" si="12">BH5+1</f>
        <v>46</v>
      </c>
      <c r="BJ5" s="357">
        <f t="shared" si="12"/>
        <v>47</v>
      </c>
      <c r="BK5" s="357">
        <f t="shared" si="12"/>
        <v>48</v>
      </c>
      <c r="BL5" s="355" t="s">
        <v>126</v>
      </c>
      <c r="BM5" s="359">
        <f>BK5+1</f>
        <v>49</v>
      </c>
      <c r="BN5" s="357">
        <f t="shared" ref="BN5:BP5" si="13">BM5+1</f>
        <v>50</v>
      </c>
      <c r="BO5" s="357">
        <f t="shared" si="13"/>
        <v>51</v>
      </c>
      <c r="BP5" s="357">
        <f t="shared" si="13"/>
        <v>52</v>
      </c>
    </row>
    <row r="6" ht="23.25" customHeight="1">
      <c r="A6" s="360" t="s">
        <v>127</v>
      </c>
      <c r="B6" s="60"/>
      <c r="C6" s="60"/>
      <c r="D6" s="361" t="s">
        <v>128</v>
      </c>
      <c r="E6" s="362">
        <v>45838.0</v>
      </c>
      <c r="F6" s="363">
        <f t="shared" ref="F6:H6" si="14">E6+7</f>
        <v>45845</v>
      </c>
      <c r="G6" s="363">
        <f t="shared" si="14"/>
        <v>45852</v>
      </c>
      <c r="H6" s="364">
        <f t="shared" si="14"/>
        <v>45859</v>
      </c>
      <c r="I6" s="361" t="s">
        <v>128</v>
      </c>
      <c r="J6" s="365">
        <f>H6+7</f>
        <v>45866</v>
      </c>
      <c r="K6" s="363">
        <f t="shared" ref="K6:M6" si="15">J6+7</f>
        <v>45873</v>
      </c>
      <c r="L6" s="363">
        <f t="shared" si="15"/>
        <v>45880</v>
      </c>
      <c r="M6" s="363">
        <f t="shared" si="15"/>
        <v>45887</v>
      </c>
      <c r="N6" s="361" t="s">
        <v>128</v>
      </c>
      <c r="O6" s="365">
        <f>M6+7</f>
        <v>45894</v>
      </c>
      <c r="P6" s="363">
        <f t="shared" ref="P6:R6" si="16">O6+7</f>
        <v>45901</v>
      </c>
      <c r="Q6" s="363">
        <f t="shared" si="16"/>
        <v>45908</v>
      </c>
      <c r="R6" s="363">
        <f t="shared" si="16"/>
        <v>45915</v>
      </c>
      <c r="S6" s="361" t="s">
        <v>128</v>
      </c>
      <c r="T6" s="365">
        <f>R6+7</f>
        <v>45922</v>
      </c>
      <c r="U6" s="363">
        <f t="shared" ref="U6:W6" si="17">T6+7</f>
        <v>45929</v>
      </c>
      <c r="V6" s="363">
        <f t="shared" si="17"/>
        <v>45936</v>
      </c>
      <c r="W6" s="363">
        <f t="shared" si="17"/>
        <v>45943</v>
      </c>
      <c r="X6" s="361" t="s">
        <v>128</v>
      </c>
      <c r="Y6" s="365">
        <f>W6+7</f>
        <v>45950</v>
      </c>
      <c r="Z6" s="363">
        <f t="shared" ref="Z6:AB6" si="18">Y6+7</f>
        <v>45957</v>
      </c>
      <c r="AA6" s="363">
        <f t="shared" si="18"/>
        <v>45964</v>
      </c>
      <c r="AB6" s="363">
        <f t="shared" si="18"/>
        <v>45971</v>
      </c>
      <c r="AC6" s="361" t="s">
        <v>128</v>
      </c>
      <c r="AD6" s="365">
        <f>AB6+7</f>
        <v>45978</v>
      </c>
      <c r="AE6" s="363">
        <f t="shared" ref="AE6:AG6" si="19">AD6+7</f>
        <v>45985</v>
      </c>
      <c r="AF6" s="363">
        <f t="shared" si="19"/>
        <v>45992</v>
      </c>
      <c r="AG6" s="363">
        <f t="shared" si="19"/>
        <v>45999</v>
      </c>
      <c r="AH6" s="361" t="s">
        <v>128</v>
      </c>
      <c r="AI6" s="365">
        <f>AG6+7</f>
        <v>46006</v>
      </c>
      <c r="AJ6" s="363">
        <f t="shared" ref="AJ6:AL6" si="20">AI6+7</f>
        <v>46013</v>
      </c>
      <c r="AK6" s="363">
        <f t="shared" si="20"/>
        <v>46020</v>
      </c>
      <c r="AL6" s="363">
        <f t="shared" si="20"/>
        <v>46027</v>
      </c>
      <c r="AM6" s="361" t="s">
        <v>128</v>
      </c>
      <c r="AN6" s="365">
        <f>AL6+7</f>
        <v>46034</v>
      </c>
      <c r="AO6" s="363">
        <f t="shared" ref="AO6:AQ6" si="21">AN6+7</f>
        <v>46041</v>
      </c>
      <c r="AP6" s="363">
        <f t="shared" si="21"/>
        <v>46048</v>
      </c>
      <c r="AQ6" s="363">
        <f t="shared" si="21"/>
        <v>46055</v>
      </c>
      <c r="AR6" s="361" t="s">
        <v>128</v>
      </c>
      <c r="AS6" s="365">
        <f>AQ6+7</f>
        <v>46062</v>
      </c>
      <c r="AT6" s="363">
        <f t="shared" ref="AT6:AV6" si="22">AS6+7</f>
        <v>46069</v>
      </c>
      <c r="AU6" s="363">
        <f t="shared" si="22"/>
        <v>46076</v>
      </c>
      <c r="AV6" s="363">
        <f t="shared" si="22"/>
        <v>46083</v>
      </c>
      <c r="AW6" s="361" t="s">
        <v>128</v>
      </c>
      <c r="AX6" s="365">
        <f>AV6+7</f>
        <v>46090</v>
      </c>
      <c r="AY6" s="363">
        <f t="shared" ref="AY6:BA6" si="23">AX6+7</f>
        <v>46097</v>
      </c>
      <c r="AZ6" s="363">
        <f t="shared" si="23"/>
        <v>46104</v>
      </c>
      <c r="BA6" s="363">
        <f t="shared" si="23"/>
        <v>46111</v>
      </c>
      <c r="BB6" s="361" t="s">
        <v>128</v>
      </c>
      <c r="BC6" s="365">
        <f>BA6+7</f>
        <v>46118</v>
      </c>
      <c r="BD6" s="363">
        <f t="shared" ref="BD6:BF6" si="24">BC6+7</f>
        <v>46125</v>
      </c>
      <c r="BE6" s="363">
        <f t="shared" si="24"/>
        <v>46132</v>
      </c>
      <c r="BF6" s="363">
        <f t="shared" si="24"/>
        <v>46139</v>
      </c>
      <c r="BG6" s="361" t="s">
        <v>128</v>
      </c>
      <c r="BH6" s="365">
        <f>BF6+7</f>
        <v>46146</v>
      </c>
      <c r="BI6" s="363">
        <f t="shared" ref="BI6:BK6" si="25">BH6+7</f>
        <v>46153</v>
      </c>
      <c r="BJ6" s="363">
        <f t="shared" si="25"/>
        <v>46160</v>
      </c>
      <c r="BK6" s="363">
        <f t="shared" si="25"/>
        <v>46167</v>
      </c>
      <c r="BL6" s="361" t="s">
        <v>128</v>
      </c>
      <c r="BM6" s="365">
        <f>BK6+7</f>
        <v>46174</v>
      </c>
      <c r="BN6" s="363">
        <f t="shared" ref="BN6:BP6" si="26">BM6+7</f>
        <v>46181</v>
      </c>
      <c r="BO6" s="363">
        <f t="shared" si="26"/>
        <v>46188</v>
      </c>
      <c r="BP6" s="363">
        <f t="shared" si="26"/>
        <v>46195</v>
      </c>
    </row>
    <row r="7" ht="23.25" customHeight="1">
      <c r="A7" s="360" t="s">
        <v>129</v>
      </c>
      <c r="B7" s="60"/>
      <c r="C7" s="60"/>
      <c r="D7" s="361" t="s">
        <v>128</v>
      </c>
      <c r="E7" s="366" t="s">
        <v>130</v>
      </c>
      <c r="F7" s="366" t="s">
        <v>130</v>
      </c>
      <c r="G7" s="366" t="s">
        <v>131</v>
      </c>
      <c r="H7" s="366" t="s">
        <v>130</v>
      </c>
      <c r="I7" s="361" t="s">
        <v>128</v>
      </c>
      <c r="J7" s="366" t="s">
        <v>130</v>
      </c>
      <c r="K7" s="366" t="s">
        <v>130</v>
      </c>
      <c r="L7" s="366" t="s">
        <v>130</v>
      </c>
      <c r="M7" s="366" t="s">
        <v>131</v>
      </c>
      <c r="N7" s="367" t="s">
        <v>128</v>
      </c>
      <c r="O7" s="366" t="s">
        <v>130</v>
      </c>
      <c r="P7" s="366" t="s">
        <v>130</v>
      </c>
      <c r="Q7" s="366" t="s">
        <v>130</v>
      </c>
      <c r="R7" s="366" t="s">
        <v>130</v>
      </c>
      <c r="S7" s="361" t="s">
        <v>128</v>
      </c>
      <c r="T7" s="366" t="s">
        <v>130</v>
      </c>
      <c r="U7" s="366" t="s">
        <v>130</v>
      </c>
      <c r="V7" s="366" t="s">
        <v>130</v>
      </c>
      <c r="W7" s="366" t="s">
        <v>130</v>
      </c>
      <c r="X7" s="361" t="s">
        <v>128</v>
      </c>
      <c r="Y7" s="366" t="s">
        <v>130</v>
      </c>
      <c r="Z7" s="366" t="s">
        <v>130</v>
      </c>
      <c r="AA7" s="366" t="s">
        <v>130</v>
      </c>
      <c r="AB7" s="366" t="s">
        <v>130</v>
      </c>
      <c r="AC7" s="361" t="s">
        <v>128</v>
      </c>
      <c r="AD7" s="366" t="s">
        <v>130</v>
      </c>
      <c r="AE7" s="366" t="s">
        <v>130</v>
      </c>
      <c r="AF7" s="366" t="s">
        <v>130</v>
      </c>
      <c r="AG7" s="366" t="s">
        <v>130</v>
      </c>
      <c r="AH7" s="361" t="s">
        <v>128</v>
      </c>
      <c r="AI7" s="366" t="s">
        <v>130</v>
      </c>
      <c r="AJ7" s="366" t="s">
        <v>130</v>
      </c>
      <c r="AK7" s="366" t="s">
        <v>130</v>
      </c>
      <c r="AL7" s="366" t="s">
        <v>130</v>
      </c>
      <c r="AM7" s="361" t="s">
        <v>128</v>
      </c>
      <c r="AN7" s="366" t="s">
        <v>130</v>
      </c>
      <c r="AO7" s="366" t="s">
        <v>130</v>
      </c>
      <c r="AP7" s="366" t="s">
        <v>130</v>
      </c>
      <c r="AQ7" s="366" t="s">
        <v>130</v>
      </c>
      <c r="AR7" s="361" t="s">
        <v>128</v>
      </c>
      <c r="AS7" s="366" t="s">
        <v>130</v>
      </c>
      <c r="AT7" s="366" t="s">
        <v>130</v>
      </c>
      <c r="AU7" s="366" t="s">
        <v>130</v>
      </c>
      <c r="AV7" s="366" t="s">
        <v>130</v>
      </c>
      <c r="AW7" s="361" t="s">
        <v>128</v>
      </c>
      <c r="AX7" s="366"/>
      <c r="AY7" s="366"/>
      <c r="AZ7" s="366"/>
      <c r="BA7" s="366"/>
      <c r="BB7" s="361" t="s">
        <v>128</v>
      </c>
      <c r="BC7" s="366"/>
      <c r="BD7" s="366"/>
      <c r="BE7" s="366"/>
      <c r="BF7" s="366"/>
      <c r="BG7" s="361" t="s">
        <v>128</v>
      </c>
      <c r="BH7" s="366"/>
      <c r="BI7" s="366"/>
      <c r="BJ7" s="366"/>
      <c r="BK7" s="366"/>
      <c r="BL7" s="361" t="s">
        <v>128</v>
      </c>
      <c r="BM7" s="366"/>
      <c r="BN7" s="366"/>
      <c r="BO7" s="366"/>
      <c r="BP7" s="366"/>
    </row>
    <row r="8" ht="23.25" customHeight="1">
      <c r="A8" s="368" t="s">
        <v>132</v>
      </c>
      <c r="B8" s="60"/>
      <c r="C8" s="60"/>
      <c r="D8" s="369" t="s">
        <v>128</v>
      </c>
      <c r="E8" s="370"/>
      <c r="F8" s="371"/>
      <c r="G8" s="371"/>
      <c r="H8" s="372"/>
      <c r="I8" s="361" t="s">
        <v>128</v>
      </c>
      <c r="J8" s="370"/>
      <c r="K8" s="371"/>
      <c r="L8" s="371"/>
      <c r="M8" s="372"/>
      <c r="N8" s="361" t="s">
        <v>128</v>
      </c>
      <c r="O8" s="370"/>
      <c r="P8" s="371"/>
      <c r="Q8" s="371"/>
      <c r="R8" s="372"/>
      <c r="S8" s="361" t="s">
        <v>128</v>
      </c>
      <c r="T8" s="370"/>
      <c r="U8" s="371"/>
      <c r="V8" s="371"/>
      <c r="W8" s="372"/>
      <c r="X8" s="361" t="s">
        <v>128</v>
      </c>
      <c r="Y8" s="370" t="s">
        <v>133</v>
      </c>
      <c r="Z8" s="371"/>
      <c r="AA8" s="371"/>
      <c r="AB8" s="372"/>
      <c r="AC8" s="361" t="s">
        <v>128</v>
      </c>
      <c r="AD8" s="370" t="s">
        <v>133</v>
      </c>
      <c r="AE8" s="371"/>
      <c r="AF8" s="371"/>
      <c r="AG8" s="372"/>
      <c r="AH8" s="361" t="s">
        <v>128</v>
      </c>
      <c r="AI8" s="370" t="s">
        <v>133</v>
      </c>
      <c r="AJ8" s="371"/>
      <c r="AK8" s="371"/>
      <c r="AL8" s="372"/>
      <c r="AM8" s="361" t="s">
        <v>128</v>
      </c>
      <c r="AN8" s="370" t="s">
        <v>134</v>
      </c>
      <c r="AO8" s="371"/>
      <c r="AP8" s="371"/>
      <c r="AQ8" s="372"/>
      <c r="AR8" s="361" t="s">
        <v>128</v>
      </c>
      <c r="AS8" s="370" t="s">
        <v>135</v>
      </c>
      <c r="AT8" s="371"/>
      <c r="AU8" s="371"/>
      <c r="AV8" s="372"/>
      <c r="AW8" s="361" t="s">
        <v>128</v>
      </c>
      <c r="AX8" s="370" t="s">
        <v>133</v>
      </c>
      <c r="AY8" s="371"/>
      <c r="AZ8" s="371"/>
      <c r="BA8" s="372"/>
      <c r="BB8" s="361" t="s">
        <v>128</v>
      </c>
      <c r="BC8" s="370" t="s">
        <v>136</v>
      </c>
      <c r="BD8" s="371"/>
      <c r="BE8" s="371"/>
      <c r="BF8" s="372"/>
      <c r="BG8" s="361" t="s">
        <v>128</v>
      </c>
      <c r="BH8" s="370"/>
      <c r="BI8" s="371"/>
      <c r="BJ8" s="371"/>
      <c r="BK8" s="372"/>
      <c r="BL8" s="361" t="s">
        <v>128</v>
      </c>
      <c r="BM8" s="370"/>
      <c r="BN8" s="371"/>
      <c r="BO8" s="371"/>
      <c r="BP8" s="372"/>
    </row>
    <row r="9" ht="23.25" customHeight="1">
      <c r="A9" s="373" t="s">
        <v>137</v>
      </c>
      <c r="B9" s="374"/>
      <c r="C9" s="374"/>
      <c r="D9" s="375" t="s">
        <v>128</v>
      </c>
      <c r="E9" s="376"/>
      <c r="F9" s="377"/>
      <c r="G9" s="377"/>
      <c r="H9" s="378"/>
      <c r="I9" s="375" t="s">
        <v>128</v>
      </c>
      <c r="J9" s="376"/>
      <c r="K9" s="377"/>
      <c r="L9" s="377"/>
      <c r="M9" s="377"/>
      <c r="N9" s="375" t="s">
        <v>128</v>
      </c>
      <c r="O9" s="376"/>
      <c r="P9" s="377"/>
      <c r="Q9" s="377"/>
      <c r="R9" s="377"/>
      <c r="S9" s="375" t="s">
        <v>128</v>
      </c>
      <c r="T9" s="376"/>
      <c r="U9" s="377"/>
      <c r="V9" s="377"/>
      <c r="W9" s="377"/>
      <c r="X9" s="375" t="s">
        <v>128</v>
      </c>
      <c r="Y9" s="376"/>
      <c r="Z9" s="377"/>
      <c r="AA9" s="377"/>
      <c r="AB9" s="377"/>
      <c r="AC9" s="375" t="s">
        <v>128</v>
      </c>
      <c r="AD9" s="376"/>
      <c r="AE9" s="377"/>
      <c r="AF9" s="377"/>
      <c r="AG9" s="377"/>
      <c r="AH9" s="375" t="s">
        <v>128</v>
      </c>
      <c r="AI9" s="376"/>
      <c r="AJ9" s="377"/>
      <c r="AK9" s="377"/>
      <c r="AL9" s="377"/>
      <c r="AM9" s="375" t="s">
        <v>128</v>
      </c>
      <c r="AN9" s="376"/>
      <c r="AO9" s="377"/>
      <c r="AP9" s="377"/>
      <c r="AQ9" s="377"/>
      <c r="AR9" s="375" t="s">
        <v>128</v>
      </c>
      <c r="AS9" s="376"/>
      <c r="AT9" s="377"/>
      <c r="AU9" s="377"/>
      <c r="AV9" s="377"/>
      <c r="AW9" s="375" t="s">
        <v>128</v>
      </c>
      <c r="AX9" s="376"/>
      <c r="AY9" s="377"/>
      <c r="AZ9" s="377"/>
      <c r="BA9" s="377"/>
      <c r="BB9" s="375" t="s">
        <v>128</v>
      </c>
      <c r="BC9" s="376"/>
      <c r="BD9" s="377"/>
      <c r="BE9" s="377"/>
      <c r="BF9" s="377"/>
      <c r="BG9" s="375" t="s">
        <v>128</v>
      </c>
      <c r="BH9" s="376"/>
      <c r="BI9" s="377"/>
      <c r="BJ9" s="377"/>
      <c r="BK9" s="377"/>
      <c r="BL9" s="375" t="s">
        <v>128</v>
      </c>
      <c r="BM9" s="376"/>
      <c r="BN9" s="377"/>
      <c r="BO9" s="377"/>
      <c r="BP9" s="377"/>
    </row>
    <row r="10" ht="23.25" customHeight="1">
      <c r="A10" s="379" t="s">
        <v>138</v>
      </c>
      <c r="B10" s="380" t="s">
        <v>139</v>
      </c>
      <c r="C10" s="381"/>
      <c r="D10" s="382" t="s">
        <v>128</v>
      </c>
      <c r="E10" s="383">
        <f t="shared" ref="E10:BP10" si="27">IFS(E11=4,90,E11=6,85,E11=8,80,E11=10,75,E11=12,70,E11=14,65,E11="","",E11="X","X")</f>
        <v>75</v>
      </c>
      <c r="F10" s="384">
        <f t="shared" si="27"/>
        <v>80</v>
      </c>
      <c r="G10" s="384">
        <f t="shared" si="27"/>
        <v>85</v>
      </c>
      <c r="H10" s="385">
        <f t="shared" si="27"/>
        <v>70</v>
      </c>
      <c r="I10" s="382" t="str">
        <f t="shared" si="27"/>
        <v>X</v>
      </c>
      <c r="J10" s="384">
        <f t="shared" si="27"/>
        <v>80</v>
      </c>
      <c r="K10" s="384">
        <f t="shared" si="27"/>
        <v>75</v>
      </c>
      <c r="L10" s="384">
        <f t="shared" si="27"/>
        <v>70</v>
      </c>
      <c r="M10" s="384">
        <f t="shared" si="27"/>
        <v>75</v>
      </c>
      <c r="N10" s="386" t="str">
        <f t="shared" si="27"/>
        <v>X</v>
      </c>
      <c r="O10" s="384" t="str">
        <f t="shared" si="27"/>
        <v/>
      </c>
      <c r="P10" s="384" t="str">
        <f t="shared" si="27"/>
        <v/>
      </c>
      <c r="Q10" s="384" t="str">
        <f t="shared" si="27"/>
        <v/>
      </c>
      <c r="R10" s="384" t="str">
        <f t="shared" si="27"/>
        <v/>
      </c>
      <c r="S10" s="386" t="str">
        <f t="shared" si="27"/>
        <v>X</v>
      </c>
      <c r="T10" s="384" t="str">
        <f t="shared" si="27"/>
        <v/>
      </c>
      <c r="U10" s="384" t="str">
        <f t="shared" si="27"/>
        <v/>
      </c>
      <c r="V10" s="384" t="str">
        <f t="shared" si="27"/>
        <v/>
      </c>
      <c r="W10" s="384" t="str">
        <f t="shared" si="27"/>
        <v/>
      </c>
      <c r="X10" s="386" t="str">
        <f t="shared" si="27"/>
        <v>X</v>
      </c>
      <c r="Y10" s="384" t="str">
        <f t="shared" si="27"/>
        <v/>
      </c>
      <c r="Z10" s="384" t="str">
        <f t="shared" si="27"/>
        <v/>
      </c>
      <c r="AA10" s="384" t="str">
        <f t="shared" si="27"/>
        <v/>
      </c>
      <c r="AB10" s="384" t="str">
        <f t="shared" si="27"/>
        <v/>
      </c>
      <c r="AC10" s="386" t="str">
        <f t="shared" si="27"/>
        <v>X</v>
      </c>
      <c r="AD10" s="384" t="str">
        <f t="shared" si="27"/>
        <v/>
      </c>
      <c r="AE10" s="384" t="str">
        <f t="shared" si="27"/>
        <v/>
      </c>
      <c r="AF10" s="384" t="str">
        <f t="shared" si="27"/>
        <v/>
      </c>
      <c r="AG10" s="384" t="str">
        <f t="shared" si="27"/>
        <v/>
      </c>
      <c r="AH10" s="386" t="str">
        <f t="shared" si="27"/>
        <v>X</v>
      </c>
      <c r="AI10" s="384" t="str">
        <f t="shared" si="27"/>
        <v/>
      </c>
      <c r="AJ10" s="384" t="str">
        <f t="shared" si="27"/>
        <v/>
      </c>
      <c r="AK10" s="384" t="str">
        <f t="shared" si="27"/>
        <v/>
      </c>
      <c r="AL10" s="384" t="str">
        <f t="shared" si="27"/>
        <v/>
      </c>
      <c r="AM10" s="386" t="str">
        <f t="shared" si="27"/>
        <v>X</v>
      </c>
      <c r="AN10" s="384" t="str">
        <f t="shared" si="27"/>
        <v/>
      </c>
      <c r="AO10" s="384" t="str">
        <f t="shared" si="27"/>
        <v/>
      </c>
      <c r="AP10" s="384" t="str">
        <f t="shared" si="27"/>
        <v/>
      </c>
      <c r="AQ10" s="384" t="str">
        <f t="shared" si="27"/>
        <v/>
      </c>
      <c r="AR10" s="386" t="str">
        <f t="shared" si="27"/>
        <v>X</v>
      </c>
      <c r="AS10" s="384" t="str">
        <f t="shared" si="27"/>
        <v/>
      </c>
      <c r="AT10" s="384" t="str">
        <f t="shared" si="27"/>
        <v/>
      </c>
      <c r="AU10" s="384" t="str">
        <f t="shared" si="27"/>
        <v/>
      </c>
      <c r="AV10" s="384" t="str">
        <f t="shared" si="27"/>
        <v/>
      </c>
      <c r="AW10" s="386" t="str">
        <f t="shared" si="27"/>
        <v>X</v>
      </c>
      <c r="AX10" s="384" t="str">
        <f t="shared" si="27"/>
        <v/>
      </c>
      <c r="AY10" s="384" t="str">
        <f t="shared" si="27"/>
        <v/>
      </c>
      <c r="AZ10" s="384" t="str">
        <f t="shared" si="27"/>
        <v/>
      </c>
      <c r="BA10" s="384" t="str">
        <f t="shared" si="27"/>
        <v/>
      </c>
      <c r="BB10" s="386" t="str">
        <f t="shared" si="27"/>
        <v>X</v>
      </c>
      <c r="BC10" s="384" t="str">
        <f t="shared" si="27"/>
        <v/>
      </c>
      <c r="BD10" s="384" t="str">
        <f t="shared" si="27"/>
        <v/>
      </c>
      <c r="BE10" s="384" t="str">
        <f t="shared" si="27"/>
        <v/>
      </c>
      <c r="BF10" s="384" t="str">
        <f t="shared" si="27"/>
        <v/>
      </c>
      <c r="BG10" s="386" t="str">
        <f t="shared" si="27"/>
        <v>X</v>
      </c>
      <c r="BH10" s="384" t="str">
        <f t="shared" si="27"/>
        <v/>
      </c>
      <c r="BI10" s="384" t="str">
        <f t="shared" si="27"/>
        <v/>
      </c>
      <c r="BJ10" s="384" t="str">
        <f t="shared" si="27"/>
        <v/>
      </c>
      <c r="BK10" s="384" t="str">
        <f t="shared" si="27"/>
        <v/>
      </c>
      <c r="BL10" s="386" t="str">
        <f t="shared" si="27"/>
        <v>X</v>
      </c>
      <c r="BM10" s="384" t="str">
        <f t="shared" si="27"/>
        <v/>
      </c>
      <c r="BN10" s="384" t="str">
        <f t="shared" si="27"/>
        <v/>
      </c>
      <c r="BO10" s="384" t="str">
        <f t="shared" si="27"/>
        <v/>
      </c>
      <c r="BP10" s="384" t="str">
        <f t="shared" si="27"/>
        <v/>
      </c>
    </row>
    <row r="11" ht="23.25" customHeight="1">
      <c r="A11" s="387"/>
      <c r="B11" s="388" t="s">
        <v>140</v>
      </c>
      <c r="C11" s="60"/>
      <c r="D11" s="389" t="s">
        <v>128</v>
      </c>
      <c r="E11" s="390">
        <v>10.0</v>
      </c>
      <c r="F11" s="391">
        <v>8.0</v>
      </c>
      <c r="G11" s="391">
        <v>6.0</v>
      </c>
      <c r="H11" s="392">
        <v>12.0</v>
      </c>
      <c r="I11" s="393" t="s">
        <v>128</v>
      </c>
      <c r="J11" s="366">
        <v>8.0</v>
      </c>
      <c r="K11" s="394">
        <v>10.0</v>
      </c>
      <c r="L11" s="394">
        <v>12.0</v>
      </c>
      <c r="M11" s="394">
        <v>10.0</v>
      </c>
      <c r="N11" s="393" t="s">
        <v>128</v>
      </c>
      <c r="O11" s="366"/>
      <c r="P11" s="394"/>
      <c r="Q11" s="394"/>
      <c r="R11" s="394"/>
      <c r="S11" s="393" t="s">
        <v>128</v>
      </c>
      <c r="T11" s="366"/>
      <c r="U11" s="394"/>
      <c r="V11" s="394"/>
      <c r="W11" s="394"/>
      <c r="X11" s="393" t="s">
        <v>128</v>
      </c>
      <c r="Y11" s="366"/>
      <c r="Z11" s="394"/>
      <c r="AA11" s="394"/>
      <c r="AB11" s="394"/>
      <c r="AC11" s="393" t="s">
        <v>128</v>
      </c>
      <c r="AD11" s="366"/>
      <c r="AE11" s="394"/>
      <c r="AF11" s="394"/>
      <c r="AG11" s="394"/>
      <c r="AH11" s="393" t="s">
        <v>128</v>
      </c>
      <c r="AI11" s="366"/>
      <c r="AJ11" s="394"/>
      <c r="AK11" s="394"/>
      <c r="AL11" s="394"/>
      <c r="AM11" s="393" t="s">
        <v>128</v>
      </c>
      <c r="AN11" s="366"/>
      <c r="AO11" s="394"/>
      <c r="AP11" s="394"/>
      <c r="AQ11" s="394"/>
      <c r="AR11" s="393" t="s">
        <v>128</v>
      </c>
      <c r="AS11" s="366"/>
      <c r="AT11" s="394"/>
      <c r="AU11" s="394"/>
      <c r="AV11" s="394"/>
      <c r="AW11" s="393" t="s">
        <v>128</v>
      </c>
      <c r="AX11" s="366"/>
      <c r="AY11" s="394"/>
      <c r="AZ11" s="394"/>
      <c r="BA11" s="394"/>
      <c r="BB11" s="393" t="s">
        <v>128</v>
      </c>
      <c r="BC11" s="366"/>
      <c r="BD11" s="394"/>
      <c r="BE11" s="394"/>
      <c r="BF11" s="394"/>
      <c r="BG11" s="393" t="s">
        <v>128</v>
      </c>
      <c r="BH11" s="366"/>
      <c r="BI11" s="394"/>
      <c r="BJ11" s="394"/>
      <c r="BK11" s="394"/>
      <c r="BL11" s="393" t="s">
        <v>128</v>
      </c>
      <c r="BM11" s="366"/>
      <c r="BN11" s="394"/>
      <c r="BO11" s="394"/>
      <c r="BP11" s="394"/>
    </row>
    <row r="12" ht="23.25" customHeight="1">
      <c r="A12" s="387"/>
      <c r="B12" s="388" t="s">
        <v>141</v>
      </c>
      <c r="C12" s="60"/>
      <c r="D12" s="395">
        <v>16.0</v>
      </c>
      <c r="E12" s="396">
        <f>IF(E7="REG",D12/2,D12)</f>
        <v>16</v>
      </c>
      <c r="F12" s="396">
        <f>IF(F7="REG",D12/2,D12)</f>
        <v>16</v>
      </c>
      <c r="G12" s="396">
        <f>IF(G7="REG",D12/2,D12)</f>
        <v>16</v>
      </c>
      <c r="H12" s="396">
        <f>IF(H7="REG",D12/2,D12)</f>
        <v>16</v>
      </c>
      <c r="I12" s="397">
        <f>D12+2</f>
        <v>18</v>
      </c>
      <c r="J12" s="396">
        <f>IF(J7="REG",I12/2,I12)</f>
        <v>18</v>
      </c>
      <c r="K12" s="396">
        <f>IF(K7="REG",I12/2,I12)</f>
        <v>18</v>
      </c>
      <c r="L12" s="396">
        <f>IF(L7="REG",I12/2,I12)</f>
        <v>18</v>
      </c>
      <c r="M12" s="396">
        <f>IF(M7="REG",I12/2,I12)</f>
        <v>18</v>
      </c>
      <c r="N12" s="397">
        <f>I12+2</f>
        <v>20</v>
      </c>
      <c r="O12" s="396">
        <f>IF(O7="REG",N12/2,N12)</f>
        <v>20</v>
      </c>
      <c r="P12" s="396">
        <f>IF(P7="REG",N12/2,N12)</f>
        <v>20</v>
      </c>
      <c r="Q12" s="396">
        <f>IF(Q7="REG",N12/2,N12)</f>
        <v>20</v>
      </c>
      <c r="R12" s="396">
        <f>IF(R7="REG",N12/2,N12)</f>
        <v>20</v>
      </c>
      <c r="S12" s="397">
        <f>N12+2</f>
        <v>22</v>
      </c>
      <c r="T12" s="396">
        <f>IF(T7="REG",S12/2,S12)</f>
        <v>22</v>
      </c>
      <c r="U12" s="396">
        <f>IF(U7="REG",S12/2,S12)</f>
        <v>22</v>
      </c>
      <c r="V12" s="396">
        <f>IF(V7="REG",S12/2,S12)</f>
        <v>22</v>
      </c>
      <c r="W12" s="396">
        <f>IF(W7="REG",S12/2,S12)</f>
        <v>22</v>
      </c>
      <c r="X12" s="397">
        <f>S12+2</f>
        <v>24</v>
      </c>
      <c r="Y12" s="396">
        <f>IF(Y7="REG",X12/2,X12)</f>
        <v>24</v>
      </c>
      <c r="Z12" s="396">
        <f>IF(Z7="REG",X12/2,X12)</f>
        <v>24</v>
      </c>
      <c r="AA12" s="396">
        <f>IF(AA7="REG",X12/2,X12)</f>
        <v>24</v>
      </c>
      <c r="AB12" s="396">
        <f>IF(AB7="REG",X12/2,X12)</f>
        <v>24</v>
      </c>
      <c r="AC12" s="397">
        <f>X12+2</f>
        <v>26</v>
      </c>
      <c r="AD12" s="396">
        <f>IF(AD7="REG",AC12/2,AC12)</f>
        <v>26</v>
      </c>
      <c r="AE12" s="396">
        <f>IF(AE7="REG",AC12/2,AC12)</f>
        <v>26</v>
      </c>
      <c r="AF12" s="396">
        <f>IF(AF7="REG",AC12/2,AC12)</f>
        <v>26</v>
      </c>
      <c r="AG12" s="396">
        <f>IF(AG7="REG",AC12/2,AC12)</f>
        <v>26</v>
      </c>
      <c r="AH12" s="397">
        <f>AC12+2</f>
        <v>28</v>
      </c>
      <c r="AI12" s="396">
        <f>IF(AI7="REG",AH12/2,AH12)</f>
        <v>28</v>
      </c>
      <c r="AJ12" s="396">
        <f>IF(AJ7="REG",AH12/2,AH12)</f>
        <v>28</v>
      </c>
      <c r="AK12" s="396">
        <f>IF(AK7="REG",AH12/2,AH12)</f>
        <v>28</v>
      </c>
      <c r="AL12" s="396">
        <f>IF(AL7="REG",AH12/2,AH12)</f>
        <v>28</v>
      </c>
      <c r="AM12" s="397">
        <f>AH12+2</f>
        <v>30</v>
      </c>
      <c r="AN12" s="396">
        <f>IF(AN7="REG",AM12/2,AM12)</f>
        <v>30</v>
      </c>
      <c r="AO12" s="396">
        <f>IF(AO7="REG",AM12/2,AM12)</f>
        <v>30</v>
      </c>
      <c r="AP12" s="396">
        <f>IF(AP7="REG",AM12/2,AM12)</f>
        <v>30</v>
      </c>
      <c r="AQ12" s="396">
        <f>IF(AQ7="REG",AM12/2,AM12)</f>
        <v>30</v>
      </c>
      <c r="AR12" s="397">
        <f>AM12+2</f>
        <v>32</v>
      </c>
      <c r="AS12" s="396">
        <f>IF(AS7="REG",AR12/2,AR12)</f>
        <v>32</v>
      </c>
      <c r="AT12" s="396">
        <f>IF(AT7="REG",AR12/2,AR12)</f>
        <v>32</v>
      </c>
      <c r="AU12" s="396">
        <f>IF(AU7="REG",AR12/2,AR12)</f>
        <v>32</v>
      </c>
      <c r="AV12" s="396">
        <f>IF(AV7="REG",AR12/2,AR12)</f>
        <v>32</v>
      </c>
      <c r="AW12" s="397">
        <f>AR12+2</f>
        <v>34</v>
      </c>
      <c r="AX12" s="396">
        <f>IF(AX7="REG",AW12/2,AW12)</f>
        <v>34</v>
      </c>
      <c r="AY12" s="396">
        <f>IF(AY7="REG",AW12/2,AW12)</f>
        <v>34</v>
      </c>
      <c r="AZ12" s="396">
        <f>IF(AZ7="REG",AW12/2,AW12)</f>
        <v>34</v>
      </c>
      <c r="BA12" s="396">
        <f>IF(BA7="REG",AW12/2,AW12)</f>
        <v>34</v>
      </c>
      <c r="BB12" s="397">
        <f>AW12+2</f>
        <v>36</v>
      </c>
      <c r="BC12" s="396">
        <f>IF(BC7="REG",BB12/2,BB12)</f>
        <v>36</v>
      </c>
      <c r="BD12" s="396">
        <f>IF(BD7="REG",BB12/2,BB12)</f>
        <v>36</v>
      </c>
      <c r="BE12" s="396">
        <f>IF(BE7="REG",BB12/2,BB12)</f>
        <v>36</v>
      </c>
      <c r="BF12" s="396">
        <f>IF(BF7="REG",BB12/2,BB12)</f>
        <v>36</v>
      </c>
      <c r="BG12" s="397">
        <f>BB12+2</f>
        <v>38</v>
      </c>
      <c r="BH12" s="396">
        <f>IF(BH7="REG",BG12/2,BG12)</f>
        <v>38</v>
      </c>
      <c r="BI12" s="396">
        <f>IF(BI7="REG",BG12/2,BG12)</f>
        <v>38</v>
      </c>
      <c r="BJ12" s="396">
        <f>IF(BJ7="REG",BG12/2,BG12)</f>
        <v>38</v>
      </c>
      <c r="BK12" s="396">
        <f>IF(BK7="REG",BG12/2,BG12)</f>
        <v>38</v>
      </c>
      <c r="BL12" s="397">
        <f>BG12+2</f>
        <v>40</v>
      </c>
      <c r="BM12" s="396">
        <f>IF(BM7="REG",BL12/2,BL12)</f>
        <v>40</v>
      </c>
      <c r="BN12" s="396">
        <f>IF(BN7="REG",BL12/2,BL12)</f>
        <v>40</v>
      </c>
      <c r="BO12" s="396">
        <f>IF(BO7="REG",BL12/2,BL12)</f>
        <v>40</v>
      </c>
      <c r="BP12" s="396">
        <f>IF(BP7="REG",BL12/2,BL12)</f>
        <v>40</v>
      </c>
    </row>
    <row r="13" ht="23.25" customHeight="1">
      <c r="A13" s="387"/>
      <c r="B13" s="388" t="s">
        <v>142</v>
      </c>
      <c r="C13" s="60"/>
      <c r="D13" s="389" t="s">
        <v>128</v>
      </c>
      <c r="E13" s="398">
        <f t="shared" ref="E13:H13" si="28">IFS(E7="CHO",0,E7="ADP",4,TRUE(),2)</f>
        <v>2</v>
      </c>
      <c r="F13" s="398">
        <f t="shared" si="28"/>
        <v>2</v>
      </c>
      <c r="G13" s="398">
        <f t="shared" si="28"/>
        <v>0</v>
      </c>
      <c r="H13" s="398">
        <f t="shared" si="28"/>
        <v>2</v>
      </c>
      <c r="I13" s="389" t="s">
        <v>128</v>
      </c>
      <c r="J13" s="398">
        <f t="shared" ref="J13:M13" si="29">IFS(J7="CHO",0,J7="ADP",4,TRUE(),2)</f>
        <v>2</v>
      </c>
      <c r="K13" s="398">
        <f t="shared" si="29"/>
        <v>2</v>
      </c>
      <c r="L13" s="398">
        <f t="shared" si="29"/>
        <v>2</v>
      </c>
      <c r="M13" s="398">
        <f t="shared" si="29"/>
        <v>0</v>
      </c>
      <c r="N13" s="389" t="s">
        <v>128</v>
      </c>
      <c r="O13" s="398">
        <f t="shared" ref="O13:R13" si="30">IFS(O7="CHO",0,O7="ADP",4,TRUE(),2)</f>
        <v>2</v>
      </c>
      <c r="P13" s="398">
        <f t="shared" si="30"/>
        <v>2</v>
      </c>
      <c r="Q13" s="398">
        <f t="shared" si="30"/>
        <v>2</v>
      </c>
      <c r="R13" s="398">
        <f t="shared" si="30"/>
        <v>2</v>
      </c>
      <c r="S13" s="389" t="s">
        <v>128</v>
      </c>
      <c r="T13" s="398">
        <f t="shared" ref="T13:W13" si="31">IFS(T7="CHO",0,T7="ADP",4,TRUE(),2)</f>
        <v>2</v>
      </c>
      <c r="U13" s="398">
        <f t="shared" si="31"/>
        <v>2</v>
      </c>
      <c r="V13" s="398">
        <f t="shared" si="31"/>
        <v>2</v>
      </c>
      <c r="W13" s="398">
        <f t="shared" si="31"/>
        <v>2</v>
      </c>
      <c r="X13" s="389" t="s">
        <v>128</v>
      </c>
      <c r="Y13" s="398">
        <f t="shared" ref="Y13:AB13" si="32">IFS(Y7="CHO",0,Y7="ADP",4,TRUE(),2)</f>
        <v>2</v>
      </c>
      <c r="Z13" s="398">
        <f t="shared" si="32"/>
        <v>2</v>
      </c>
      <c r="AA13" s="398">
        <f t="shared" si="32"/>
        <v>2</v>
      </c>
      <c r="AB13" s="398">
        <f t="shared" si="32"/>
        <v>2</v>
      </c>
      <c r="AC13" s="389" t="s">
        <v>128</v>
      </c>
      <c r="AD13" s="398">
        <f t="shared" ref="AD13:AG13" si="33">IFS(AD7="CHO",0,AD7="ADP",4,TRUE(),2)</f>
        <v>2</v>
      </c>
      <c r="AE13" s="398">
        <f t="shared" si="33"/>
        <v>2</v>
      </c>
      <c r="AF13" s="398">
        <f t="shared" si="33"/>
        <v>2</v>
      </c>
      <c r="AG13" s="398">
        <f t="shared" si="33"/>
        <v>2</v>
      </c>
      <c r="AH13" s="389" t="s">
        <v>128</v>
      </c>
      <c r="AI13" s="398">
        <f t="shared" ref="AI13:AL13" si="34">IFS(AI7="CHO",0,AI7="ADP",4,TRUE(),2)</f>
        <v>2</v>
      </c>
      <c r="AJ13" s="398">
        <f t="shared" si="34"/>
        <v>2</v>
      </c>
      <c r="AK13" s="398">
        <f t="shared" si="34"/>
        <v>2</v>
      </c>
      <c r="AL13" s="398">
        <f t="shared" si="34"/>
        <v>2</v>
      </c>
      <c r="AM13" s="389" t="s">
        <v>128</v>
      </c>
      <c r="AN13" s="398">
        <f t="shared" ref="AN13:AQ13" si="35">IFS(AN7="CHO",0,AN7="ADP",4,TRUE(),2)</f>
        <v>2</v>
      </c>
      <c r="AO13" s="398">
        <f t="shared" si="35"/>
        <v>2</v>
      </c>
      <c r="AP13" s="398">
        <f t="shared" si="35"/>
        <v>2</v>
      </c>
      <c r="AQ13" s="398">
        <f t="shared" si="35"/>
        <v>2</v>
      </c>
      <c r="AR13" s="389" t="s">
        <v>128</v>
      </c>
      <c r="AS13" s="398">
        <f t="shared" ref="AS13:AV13" si="36">IFS(AS7="CHO",0,AS7="ADP",4,TRUE(),2)</f>
        <v>2</v>
      </c>
      <c r="AT13" s="398">
        <f t="shared" si="36"/>
        <v>2</v>
      </c>
      <c r="AU13" s="398">
        <f t="shared" si="36"/>
        <v>2</v>
      </c>
      <c r="AV13" s="398">
        <f t="shared" si="36"/>
        <v>2</v>
      </c>
      <c r="AW13" s="389" t="s">
        <v>128</v>
      </c>
      <c r="AX13" s="398">
        <f t="shared" ref="AX13:BA13" si="37">IFS(AX7="CHO",0,AX7="ADP",4,TRUE(),2)</f>
        <v>2</v>
      </c>
      <c r="AY13" s="398">
        <f t="shared" si="37"/>
        <v>2</v>
      </c>
      <c r="AZ13" s="398">
        <f t="shared" si="37"/>
        <v>2</v>
      </c>
      <c r="BA13" s="398">
        <f t="shared" si="37"/>
        <v>2</v>
      </c>
      <c r="BB13" s="389" t="s">
        <v>128</v>
      </c>
      <c r="BC13" s="398">
        <f t="shared" ref="BC13:BF13" si="38">IFS(BC7="CHO",0,BC7="ADP",4,TRUE(),2)</f>
        <v>2</v>
      </c>
      <c r="BD13" s="398">
        <f t="shared" si="38"/>
        <v>2</v>
      </c>
      <c r="BE13" s="398">
        <f t="shared" si="38"/>
        <v>2</v>
      </c>
      <c r="BF13" s="398">
        <f t="shared" si="38"/>
        <v>2</v>
      </c>
      <c r="BG13" s="389" t="s">
        <v>128</v>
      </c>
      <c r="BH13" s="398">
        <f t="shared" ref="BH13:BK13" si="39">IFS(BH7="CHO",0,BH7="ADP",4,TRUE(),2)</f>
        <v>2</v>
      </c>
      <c r="BI13" s="398">
        <f t="shared" si="39"/>
        <v>2</v>
      </c>
      <c r="BJ13" s="398">
        <f t="shared" si="39"/>
        <v>2</v>
      </c>
      <c r="BK13" s="398">
        <f t="shared" si="39"/>
        <v>2</v>
      </c>
      <c r="BL13" s="389" t="s">
        <v>128</v>
      </c>
      <c r="BM13" s="398">
        <f t="shared" ref="BM13:BP13" si="40">IFS(BM7="CHO",0,BM7="ADP",4,TRUE(),2)</f>
        <v>2</v>
      </c>
      <c r="BN13" s="398">
        <f t="shared" si="40"/>
        <v>2</v>
      </c>
      <c r="BO13" s="398">
        <f t="shared" si="40"/>
        <v>2</v>
      </c>
      <c r="BP13" s="398">
        <f t="shared" si="40"/>
        <v>2</v>
      </c>
    </row>
    <row r="14" ht="23.25" customHeight="1">
      <c r="A14" s="387"/>
      <c r="B14" s="388" t="s">
        <v>143</v>
      </c>
      <c r="C14" s="60"/>
      <c r="D14" s="399" t="s">
        <v>128</v>
      </c>
      <c r="E14" s="400" t="s">
        <v>144</v>
      </c>
      <c r="F14" s="401" t="s">
        <v>144</v>
      </c>
      <c r="G14" s="401" t="s">
        <v>144</v>
      </c>
      <c r="H14" s="401" t="s">
        <v>145</v>
      </c>
      <c r="I14" s="399" t="s">
        <v>128</v>
      </c>
      <c r="J14" s="400" t="s">
        <v>145</v>
      </c>
      <c r="K14" s="400" t="s">
        <v>145</v>
      </c>
      <c r="L14" s="400" t="s">
        <v>146</v>
      </c>
      <c r="M14" s="400" t="s">
        <v>146</v>
      </c>
      <c r="N14" s="399" t="s">
        <v>128</v>
      </c>
      <c r="O14" s="400"/>
      <c r="P14" s="400"/>
      <c r="Q14" s="400"/>
      <c r="R14" s="400"/>
      <c r="S14" s="399" t="s">
        <v>128</v>
      </c>
      <c r="T14" s="400"/>
      <c r="U14" s="400"/>
      <c r="V14" s="400"/>
      <c r="W14" s="400"/>
      <c r="X14" s="399" t="s">
        <v>128</v>
      </c>
      <c r="Y14" s="400"/>
      <c r="Z14" s="400"/>
      <c r="AA14" s="400"/>
      <c r="AB14" s="400"/>
      <c r="AC14" s="399" t="s">
        <v>128</v>
      </c>
      <c r="AD14" s="400"/>
      <c r="AE14" s="400"/>
      <c r="AF14" s="400"/>
      <c r="AG14" s="400"/>
      <c r="AH14" s="399" t="s">
        <v>128</v>
      </c>
      <c r="AI14" s="400"/>
      <c r="AJ14" s="400"/>
      <c r="AK14" s="400"/>
      <c r="AL14" s="400"/>
      <c r="AM14" s="399" t="s">
        <v>128</v>
      </c>
      <c r="AN14" s="400"/>
      <c r="AO14" s="400"/>
      <c r="AP14" s="400"/>
      <c r="AQ14" s="400"/>
      <c r="AR14" s="399" t="s">
        <v>128</v>
      </c>
      <c r="AS14" s="400"/>
      <c r="AT14" s="400"/>
      <c r="AU14" s="400"/>
      <c r="AV14" s="400"/>
      <c r="AW14" s="399" t="s">
        <v>128</v>
      </c>
      <c r="AX14" s="400"/>
      <c r="AY14" s="400"/>
      <c r="AZ14" s="400"/>
      <c r="BA14" s="400"/>
      <c r="BB14" s="399" t="s">
        <v>128</v>
      </c>
      <c r="BC14" s="400"/>
      <c r="BD14" s="400"/>
      <c r="BE14" s="400"/>
      <c r="BF14" s="400"/>
      <c r="BG14" s="399" t="s">
        <v>128</v>
      </c>
      <c r="BH14" s="400"/>
      <c r="BI14" s="400"/>
      <c r="BJ14" s="400"/>
      <c r="BK14" s="400"/>
      <c r="BL14" s="399" t="s">
        <v>128</v>
      </c>
      <c r="BM14" s="400"/>
      <c r="BN14" s="400"/>
      <c r="BO14" s="400"/>
      <c r="BP14" s="400"/>
    </row>
    <row r="15" ht="23.25" customHeight="1">
      <c r="A15" s="387"/>
      <c r="B15" s="402" t="s">
        <v>15</v>
      </c>
      <c r="C15" s="371"/>
      <c r="D15" s="403" t="s">
        <v>128</v>
      </c>
      <c r="E15" s="404" t="s">
        <v>147</v>
      </c>
      <c r="F15" s="404" t="s">
        <v>147</v>
      </c>
      <c r="G15" s="404" t="s">
        <v>147</v>
      </c>
      <c r="H15" s="404" t="s">
        <v>147</v>
      </c>
      <c r="I15" s="403" t="s">
        <v>128</v>
      </c>
      <c r="J15" s="404" t="s">
        <v>147</v>
      </c>
      <c r="K15" s="404" t="s">
        <v>147</v>
      </c>
      <c r="L15" s="404" t="s">
        <v>148</v>
      </c>
      <c r="M15" s="404" t="s">
        <v>148</v>
      </c>
      <c r="N15" s="403" t="s">
        <v>128</v>
      </c>
      <c r="O15" s="404"/>
      <c r="P15" s="404"/>
      <c r="Q15" s="404"/>
      <c r="R15" s="404"/>
      <c r="S15" s="403" t="s">
        <v>128</v>
      </c>
      <c r="T15" s="404"/>
      <c r="U15" s="404"/>
      <c r="V15" s="404"/>
      <c r="W15" s="404"/>
      <c r="X15" s="403" t="s">
        <v>128</v>
      </c>
      <c r="Y15" s="404"/>
      <c r="Z15" s="404"/>
      <c r="AA15" s="404"/>
      <c r="AB15" s="404"/>
      <c r="AC15" s="403" t="s">
        <v>128</v>
      </c>
      <c r="AD15" s="404"/>
      <c r="AE15" s="404"/>
      <c r="AF15" s="404"/>
      <c r="AG15" s="404"/>
      <c r="AH15" s="403" t="s">
        <v>128</v>
      </c>
      <c r="AI15" s="404"/>
      <c r="AJ15" s="404"/>
      <c r="AK15" s="404"/>
      <c r="AL15" s="404"/>
      <c r="AM15" s="403" t="s">
        <v>128</v>
      </c>
      <c r="AN15" s="404"/>
      <c r="AO15" s="404"/>
      <c r="AP15" s="404"/>
      <c r="AQ15" s="404"/>
      <c r="AR15" s="403" t="s">
        <v>128</v>
      </c>
      <c r="AS15" s="404"/>
      <c r="AT15" s="404"/>
      <c r="AU15" s="404"/>
      <c r="AV15" s="404"/>
      <c r="AW15" s="403" t="s">
        <v>128</v>
      </c>
      <c r="AX15" s="404"/>
      <c r="AY15" s="404"/>
      <c r="AZ15" s="404"/>
      <c r="BA15" s="404"/>
      <c r="BB15" s="403" t="s">
        <v>128</v>
      </c>
      <c r="BC15" s="404"/>
      <c r="BD15" s="404"/>
      <c r="BE15" s="404"/>
      <c r="BF15" s="404"/>
      <c r="BG15" s="403" t="s">
        <v>128</v>
      </c>
      <c r="BH15" s="404"/>
      <c r="BI15" s="404"/>
      <c r="BJ15" s="404"/>
      <c r="BK15" s="404"/>
      <c r="BL15" s="403" t="s">
        <v>128</v>
      </c>
      <c r="BM15" s="404"/>
      <c r="BN15" s="404"/>
      <c r="BO15" s="404"/>
      <c r="BP15" s="404"/>
    </row>
    <row r="16" ht="23.25" customHeight="1">
      <c r="A16" s="387"/>
      <c r="B16" s="402" t="s">
        <v>149</v>
      </c>
      <c r="C16" s="371"/>
      <c r="D16" s="405" t="s">
        <v>128</v>
      </c>
      <c r="E16" s="406"/>
      <c r="F16" s="407" t="str">
        <f t="shared" ref="F16:H16" si="41">E16</f>
        <v/>
      </c>
      <c r="G16" s="407" t="str">
        <f t="shared" si="41"/>
        <v/>
      </c>
      <c r="H16" s="408" t="str">
        <f t="shared" si="41"/>
        <v/>
      </c>
      <c r="I16" s="405" t="s">
        <v>128</v>
      </c>
      <c r="J16" s="406" t="str">
        <f>H16</f>
        <v/>
      </c>
      <c r="K16" s="407" t="str">
        <f t="shared" ref="K16:M16" si="42">J16</f>
        <v/>
      </c>
      <c r="L16" s="407" t="str">
        <f t="shared" si="42"/>
        <v/>
      </c>
      <c r="M16" s="407" t="str">
        <f t="shared" si="42"/>
        <v/>
      </c>
      <c r="N16" s="405" t="s">
        <v>128</v>
      </c>
      <c r="O16" s="406" t="str">
        <f>M16</f>
        <v/>
      </c>
      <c r="P16" s="407" t="str">
        <f t="shared" ref="P16:R16" si="43">O16</f>
        <v/>
      </c>
      <c r="Q16" s="407" t="str">
        <f t="shared" si="43"/>
        <v/>
      </c>
      <c r="R16" s="407" t="str">
        <f t="shared" si="43"/>
        <v/>
      </c>
      <c r="S16" s="405" t="s">
        <v>128</v>
      </c>
      <c r="T16" s="406" t="str">
        <f>R16</f>
        <v/>
      </c>
      <c r="U16" s="407" t="str">
        <f t="shared" ref="U16:W16" si="44">T16</f>
        <v/>
      </c>
      <c r="V16" s="407" t="str">
        <f t="shared" si="44"/>
        <v/>
      </c>
      <c r="W16" s="407" t="str">
        <f t="shared" si="44"/>
        <v/>
      </c>
      <c r="X16" s="405" t="s">
        <v>128</v>
      </c>
      <c r="Y16" s="406" t="str">
        <f>W16</f>
        <v/>
      </c>
      <c r="Z16" s="407" t="str">
        <f t="shared" ref="Z16:AB16" si="45">Y16</f>
        <v/>
      </c>
      <c r="AA16" s="407" t="str">
        <f t="shared" si="45"/>
        <v/>
      </c>
      <c r="AB16" s="407" t="str">
        <f t="shared" si="45"/>
        <v/>
      </c>
      <c r="AC16" s="405" t="s">
        <v>128</v>
      </c>
      <c r="AD16" s="406" t="str">
        <f>AB16</f>
        <v/>
      </c>
      <c r="AE16" s="407" t="str">
        <f t="shared" ref="AE16:AG16" si="46">AD16</f>
        <v/>
      </c>
      <c r="AF16" s="407" t="str">
        <f t="shared" si="46"/>
        <v/>
      </c>
      <c r="AG16" s="407" t="str">
        <f t="shared" si="46"/>
        <v/>
      </c>
      <c r="AH16" s="405" t="s">
        <v>128</v>
      </c>
      <c r="AI16" s="406" t="str">
        <f>AG16</f>
        <v/>
      </c>
      <c r="AJ16" s="407" t="str">
        <f t="shared" ref="AJ16:AL16" si="47">AI16</f>
        <v/>
      </c>
      <c r="AK16" s="407" t="str">
        <f t="shared" si="47"/>
        <v/>
      </c>
      <c r="AL16" s="407" t="str">
        <f t="shared" si="47"/>
        <v/>
      </c>
      <c r="AM16" s="405" t="s">
        <v>128</v>
      </c>
      <c r="AN16" s="406" t="str">
        <f>AL16</f>
        <v/>
      </c>
      <c r="AO16" s="407" t="str">
        <f t="shared" ref="AO16:AQ16" si="48">AN16</f>
        <v/>
      </c>
      <c r="AP16" s="407" t="str">
        <f t="shared" si="48"/>
        <v/>
      </c>
      <c r="AQ16" s="407" t="str">
        <f t="shared" si="48"/>
        <v/>
      </c>
      <c r="AR16" s="405" t="s">
        <v>128</v>
      </c>
      <c r="AS16" s="406" t="str">
        <f>AQ16</f>
        <v/>
      </c>
      <c r="AT16" s="407" t="str">
        <f t="shared" ref="AT16:AV16" si="49">AS16</f>
        <v/>
      </c>
      <c r="AU16" s="407" t="str">
        <f t="shared" si="49"/>
        <v/>
      </c>
      <c r="AV16" s="407" t="str">
        <f t="shared" si="49"/>
        <v/>
      </c>
      <c r="AW16" s="405" t="s">
        <v>128</v>
      </c>
      <c r="AX16" s="406" t="str">
        <f>AV16</f>
        <v/>
      </c>
      <c r="AY16" s="407" t="str">
        <f t="shared" ref="AY16:BA16" si="50">AX16</f>
        <v/>
      </c>
      <c r="AZ16" s="407" t="str">
        <f t="shared" si="50"/>
        <v/>
      </c>
      <c r="BA16" s="407" t="str">
        <f t="shared" si="50"/>
        <v/>
      </c>
      <c r="BB16" s="405" t="s">
        <v>128</v>
      </c>
      <c r="BC16" s="406" t="str">
        <f>BA16</f>
        <v/>
      </c>
      <c r="BD16" s="407" t="str">
        <f t="shared" ref="BD16:BF16" si="51">BC16</f>
        <v/>
      </c>
      <c r="BE16" s="407" t="str">
        <f t="shared" si="51"/>
        <v/>
      </c>
      <c r="BF16" s="407" t="str">
        <f t="shared" si="51"/>
        <v/>
      </c>
      <c r="BG16" s="405" t="s">
        <v>128</v>
      </c>
      <c r="BH16" s="406" t="str">
        <f>BF16</f>
        <v/>
      </c>
      <c r="BI16" s="407" t="str">
        <f t="shared" ref="BI16:BK16" si="52">BH16</f>
        <v/>
      </c>
      <c r="BJ16" s="407" t="str">
        <f t="shared" si="52"/>
        <v/>
      </c>
      <c r="BK16" s="407" t="str">
        <f t="shared" si="52"/>
        <v/>
      </c>
      <c r="BL16" s="405" t="s">
        <v>128</v>
      </c>
      <c r="BM16" s="406" t="str">
        <f>BK16</f>
        <v/>
      </c>
      <c r="BN16" s="407" t="str">
        <f t="shared" ref="BN16:BP16" si="53">BM16</f>
        <v/>
      </c>
      <c r="BO16" s="407" t="str">
        <f t="shared" si="53"/>
        <v/>
      </c>
      <c r="BP16" s="407" t="str">
        <f t="shared" si="53"/>
        <v/>
      </c>
    </row>
    <row r="17" ht="23.25" customHeight="1">
      <c r="A17" s="387"/>
      <c r="B17" s="402" t="s">
        <v>150</v>
      </c>
      <c r="C17" s="371"/>
      <c r="D17" s="405" t="s">
        <v>128</v>
      </c>
      <c r="E17" s="406"/>
      <c r="F17" s="406"/>
      <c r="G17" s="406"/>
      <c r="H17" s="406"/>
      <c r="I17" s="405" t="s">
        <v>128</v>
      </c>
      <c r="J17" s="406"/>
      <c r="K17" s="406"/>
      <c r="L17" s="406"/>
      <c r="M17" s="406"/>
      <c r="N17" s="405" t="s">
        <v>128</v>
      </c>
      <c r="O17" s="406"/>
      <c r="P17" s="406"/>
      <c r="Q17" s="406"/>
      <c r="R17" s="406"/>
      <c r="S17" s="405" t="s">
        <v>128</v>
      </c>
      <c r="T17" s="406"/>
      <c r="U17" s="406"/>
      <c r="V17" s="406"/>
      <c r="W17" s="406"/>
      <c r="X17" s="405" t="s">
        <v>128</v>
      </c>
      <c r="Y17" s="406"/>
      <c r="Z17" s="406"/>
      <c r="AA17" s="406"/>
      <c r="AB17" s="406"/>
      <c r="AC17" s="405" t="s">
        <v>128</v>
      </c>
      <c r="AD17" s="406"/>
      <c r="AE17" s="406"/>
      <c r="AF17" s="406"/>
      <c r="AG17" s="406"/>
      <c r="AH17" s="405" t="s">
        <v>128</v>
      </c>
      <c r="AI17" s="406"/>
      <c r="AJ17" s="406"/>
      <c r="AK17" s="406"/>
      <c r="AL17" s="406"/>
      <c r="AM17" s="405" t="s">
        <v>128</v>
      </c>
      <c r="AN17" s="406"/>
      <c r="AO17" s="406"/>
      <c r="AP17" s="406"/>
      <c r="AQ17" s="406"/>
      <c r="AR17" s="405" t="s">
        <v>128</v>
      </c>
      <c r="AS17" s="406"/>
      <c r="AT17" s="406"/>
      <c r="AU17" s="406"/>
      <c r="AV17" s="406"/>
      <c r="AW17" s="405" t="s">
        <v>128</v>
      </c>
      <c r="AX17" s="406"/>
      <c r="AY17" s="406"/>
      <c r="AZ17" s="406"/>
      <c r="BA17" s="406"/>
      <c r="BB17" s="405" t="s">
        <v>128</v>
      </c>
      <c r="BC17" s="406"/>
      <c r="BD17" s="406"/>
      <c r="BE17" s="406"/>
      <c r="BF17" s="406"/>
      <c r="BG17" s="405" t="s">
        <v>128</v>
      </c>
      <c r="BH17" s="406"/>
      <c r="BI17" s="406"/>
      <c r="BJ17" s="406"/>
      <c r="BK17" s="406"/>
      <c r="BL17" s="405" t="s">
        <v>128</v>
      </c>
      <c r="BM17" s="406"/>
      <c r="BN17" s="406"/>
      <c r="BO17" s="406"/>
      <c r="BP17" s="406"/>
    </row>
    <row r="18" ht="23.25" customHeight="1">
      <c r="A18" s="409"/>
      <c r="B18" s="402" t="s">
        <v>151</v>
      </c>
      <c r="C18" s="371"/>
      <c r="D18" s="405" t="s">
        <v>128</v>
      </c>
      <c r="E18" s="410"/>
      <c r="F18" s="411"/>
      <c r="G18" s="411"/>
      <c r="H18" s="412"/>
      <c r="I18" s="405" t="s">
        <v>128</v>
      </c>
      <c r="J18" s="410"/>
      <c r="K18" s="411"/>
      <c r="L18" s="411"/>
      <c r="M18" s="411"/>
      <c r="N18" s="405" t="s">
        <v>128</v>
      </c>
      <c r="O18" s="410"/>
      <c r="P18" s="411"/>
      <c r="Q18" s="411"/>
      <c r="R18" s="411"/>
      <c r="S18" s="405" t="s">
        <v>128</v>
      </c>
      <c r="T18" s="410"/>
      <c r="U18" s="411"/>
      <c r="V18" s="411"/>
      <c r="W18" s="411"/>
      <c r="X18" s="405" t="s">
        <v>128</v>
      </c>
      <c r="Y18" s="410"/>
      <c r="Z18" s="411"/>
      <c r="AA18" s="411"/>
      <c r="AB18" s="411"/>
      <c r="AC18" s="405" t="s">
        <v>128</v>
      </c>
      <c r="AD18" s="410"/>
      <c r="AE18" s="411"/>
      <c r="AF18" s="411"/>
      <c r="AG18" s="411"/>
      <c r="AH18" s="405" t="s">
        <v>128</v>
      </c>
      <c r="AI18" s="410"/>
      <c r="AJ18" s="411"/>
      <c r="AK18" s="411"/>
      <c r="AL18" s="411"/>
      <c r="AM18" s="405" t="s">
        <v>128</v>
      </c>
      <c r="AN18" s="410"/>
      <c r="AO18" s="411"/>
      <c r="AP18" s="411"/>
      <c r="AQ18" s="411"/>
      <c r="AR18" s="405" t="s">
        <v>128</v>
      </c>
      <c r="AS18" s="410"/>
      <c r="AT18" s="411"/>
      <c r="AU18" s="411"/>
      <c r="AV18" s="411"/>
      <c r="AW18" s="405" t="s">
        <v>128</v>
      </c>
      <c r="AX18" s="410"/>
      <c r="AY18" s="411"/>
      <c r="AZ18" s="411"/>
      <c r="BA18" s="411"/>
      <c r="BB18" s="405" t="s">
        <v>128</v>
      </c>
      <c r="BC18" s="410"/>
      <c r="BD18" s="411"/>
      <c r="BE18" s="411"/>
      <c r="BF18" s="411"/>
      <c r="BG18" s="405" t="s">
        <v>128</v>
      </c>
      <c r="BH18" s="410"/>
      <c r="BI18" s="411"/>
      <c r="BJ18" s="411"/>
      <c r="BK18" s="411"/>
      <c r="BL18" s="405" t="s">
        <v>128</v>
      </c>
      <c r="BM18" s="410"/>
      <c r="BN18" s="411"/>
      <c r="BO18" s="411"/>
      <c r="BP18" s="411"/>
    </row>
    <row r="19" ht="23.25" customHeight="1">
      <c r="A19" s="413" t="s">
        <v>152</v>
      </c>
      <c r="B19" s="414" t="s">
        <v>153</v>
      </c>
      <c r="C19" s="381"/>
      <c r="D19" s="415"/>
      <c r="E19" s="416" t="str">
        <f>IF(E7="REG",D19/2,D19)</f>
        <v/>
      </c>
      <c r="F19" s="416" t="str">
        <f>IF(F7="REG",D19/2,D19)</f>
        <v/>
      </c>
      <c r="G19" s="417" t="str">
        <f>IF(G7="REG",D19/2,D19)</f>
        <v/>
      </c>
      <c r="H19" s="417" t="str">
        <f>IF(H7="REG",D19/2,D19)</f>
        <v/>
      </c>
      <c r="I19" s="418">
        <f t="shared" ref="I19:I20" si="54">D19*1.05</f>
        <v>0</v>
      </c>
      <c r="J19" s="416">
        <f>IF(J7="REG",I19/2,I19)</f>
        <v>0</v>
      </c>
      <c r="K19" s="416">
        <f>IF(K7="REG",I19/2,I19)</f>
        <v>0</v>
      </c>
      <c r="L19" s="417">
        <f>IF(L7="REG",I19/2,I19)</f>
        <v>0</v>
      </c>
      <c r="M19" s="417">
        <f>IF(M7="REG",I19/2,I19)</f>
        <v>0</v>
      </c>
      <c r="N19" s="418">
        <f t="shared" ref="N19:N20" si="55">I19*1.05</f>
        <v>0</v>
      </c>
      <c r="O19" s="416">
        <f>IF(O7="REG",N19/2,N19)</f>
        <v>0</v>
      </c>
      <c r="P19" s="416">
        <f>IF(P7="REG",N19/2,N19)</f>
        <v>0</v>
      </c>
      <c r="Q19" s="417">
        <f>IF(Q7="REG",N19/2,N19)</f>
        <v>0</v>
      </c>
      <c r="R19" s="417">
        <f>IF(R7="REG",N19/2,N19)</f>
        <v>0</v>
      </c>
      <c r="S19" s="418">
        <f t="shared" ref="S19:S20" si="56">N19*1.05</f>
        <v>0</v>
      </c>
      <c r="T19" s="416">
        <f>IF(T7="REG",S19/2,S19)</f>
        <v>0</v>
      </c>
      <c r="U19" s="416">
        <f>IF(U7="REG",S19/2,S19)</f>
        <v>0</v>
      </c>
      <c r="V19" s="417">
        <f>IF(V7="REG",S19/2,S19)</f>
        <v>0</v>
      </c>
      <c r="W19" s="417">
        <f>IF(W7="REG",S19/2,S19)</f>
        <v>0</v>
      </c>
      <c r="X19" s="418">
        <f t="shared" ref="X19:X20" si="57">S19*1.05</f>
        <v>0</v>
      </c>
      <c r="Y19" s="416">
        <f>IF(Y7="REG",X19/2,X19)</f>
        <v>0</v>
      </c>
      <c r="Z19" s="416">
        <f>IF(Z7="REG",X19/2,X19)</f>
        <v>0</v>
      </c>
      <c r="AA19" s="417">
        <f>IF(AA7="REG",X19/2,X19)</f>
        <v>0</v>
      </c>
      <c r="AB19" s="417">
        <f>IF(AB7="REG",X19/2,X19)</f>
        <v>0</v>
      </c>
      <c r="AC19" s="418">
        <f t="shared" ref="AC19:AC20" si="58">X19*1.05</f>
        <v>0</v>
      </c>
      <c r="AD19" s="416">
        <f>IF(AD7="REG",AC19/2,AC19)</f>
        <v>0</v>
      </c>
      <c r="AE19" s="416">
        <f>IF(AE7="REG",AC19/2,AC19)</f>
        <v>0</v>
      </c>
      <c r="AF19" s="417">
        <f>IF(AF7="REG",AC19/2,AC19)</f>
        <v>0</v>
      </c>
      <c r="AG19" s="417">
        <f>IF(AG7="REG",AC19/2,AC19)</f>
        <v>0</v>
      </c>
      <c r="AH19" s="418">
        <f t="shared" ref="AH19:AH20" si="59">AC19*1.05</f>
        <v>0</v>
      </c>
      <c r="AI19" s="416">
        <f>IF(AI7="REG",AH19/2,AH19)</f>
        <v>0</v>
      </c>
      <c r="AJ19" s="416">
        <f>IF(AJ7="REG",AH19/2,AH19)</f>
        <v>0</v>
      </c>
      <c r="AK19" s="417">
        <f>IF(AK7="REG",AH19/2,AH19)</f>
        <v>0</v>
      </c>
      <c r="AL19" s="417">
        <f>IF(AL7="REG",AH19/2,AH19)</f>
        <v>0</v>
      </c>
      <c r="AM19" s="418">
        <f t="shared" ref="AM19:AM20" si="60">AH19*1.05</f>
        <v>0</v>
      </c>
      <c r="AN19" s="416">
        <f>IF(AN7="REG",AM19/2,AM19)</f>
        <v>0</v>
      </c>
      <c r="AO19" s="416">
        <f>IF(AO7="REG",AM19/2,AM19)</f>
        <v>0</v>
      </c>
      <c r="AP19" s="417">
        <f>IF(AP7="REG",AM19/2,AM19)</f>
        <v>0</v>
      </c>
      <c r="AQ19" s="417">
        <f>IF(AQ7="REG",AM19/2,AM19)</f>
        <v>0</v>
      </c>
      <c r="AR19" s="418">
        <f t="shared" ref="AR19:AR20" si="61">AM19*1.05</f>
        <v>0</v>
      </c>
      <c r="AS19" s="416">
        <f>IF(AS7="REG",AR19/2,AR19)</f>
        <v>0</v>
      </c>
      <c r="AT19" s="416">
        <f>IF(AT7="REG",AR19/2,AR19)</f>
        <v>0</v>
      </c>
      <c r="AU19" s="417">
        <f>IF(AU7="REG",AR19/2,AR19)</f>
        <v>0</v>
      </c>
      <c r="AV19" s="417">
        <f>IF(AV7="REG",AR19/2,AR19)</f>
        <v>0</v>
      </c>
      <c r="AW19" s="418">
        <f t="shared" ref="AW19:AW20" si="62">AR19*1.05</f>
        <v>0</v>
      </c>
      <c r="AX19" s="416">
        <f>IF(AX7="REG",AW19/2,AW19)</f>
        <v>0</v>
      </c>
      <c r="AY19" s="416">
        <f>IF(AY7="REG",AW19/2,AW19)</f>
        <v>0</v>
      </c>
      <c r="AZ19" s="417">
        <f>IF(AZ7="REG",AW19/2,AW19)</f>
        <v>0</v>
      </c>
      <c r="BA19" s="417">
        <f>IF(BA7="REG",AW19/2,AW19)</f>
        <v>0</v>
      </c>
      <c r="BB19" s="418">
        <f t="shared" ref="BB19:BB20" si="63">AW19*1.05</f>
        <v>0</v>
      </c>
      <c r="BC19" s="416">
        <f>IF(BC7="REG",BB19/2,BB19)</f>
        <v>0</v>
      </c>
      <c r="BD19" s="416">
        <f>IF(BD7="REG",BB19/2,BB19)</f>
        <v>0</v>
      </c>
      <c r="BE19" s="417">
        <f>IF(BE7="REG",BB19/2,BB19)</f>
        <v>0</v>
      </c>
      <c r="BF19" s="417">
        <f>IF(BF7="REG",BB19/2,BB19)</f>
        <v>0</v>
      </c>
      <c r="BG19" s="418">
        <f t="shared" ref="BG19:BG20" si="64">BB19*1.05</f>
        <v>0</v>
      </c>
      <c r="BH19" s="416">
        <f>IF(BH7="REG",BG19/2,BG19)</f>
        <v>0</v>
      </c>
      <c r="BI19" s="416">
        <f>IF(BI7="REG",BG19/2,BG19)</f>
        <v>0</v>
      </c>
      <c r="BJ19" s="417">
        <f>IF(BJ7="REG",BG19/2,BG19)</f>
        <v>0</v>
      </c>
      <c r="BK19" s="417">
        <f>IF(BK7="REG",BG19/2,BG19)</f>
        <v>0</v>
      </c>
      <c r="BL19" s="418">
        <f t="shared" ref="BL19:BL20" si="65">BG19*1.05</f>
        <v>0</v>
      </c>
      <c r="BM19" s="416">
        <f>IF(BM7="REG",BL19/2,BL19)</f>
        <v>0</v>
      </c>
      <c r="BN19" s="416">
        <f>IF(BN7="REG",BL19/2,BL19)</f>
        <v>0</v>
      </c>
      <c r="BO19" s="417">
        <f>IF(BO7="REG",BL19/2,BL19)</f>
        <v>0</v>
      </c>
      <c r="BP19" s="417">
        <f>IF(BP7="REG",BL19/2,BL19)</f>
        <v>0</v>
      </c>
    </row>
    <row r="20" ht="23.25" customHeight="1">
      <c r="A20" s="419"/>
      <c r="B20" s="420" t="s">
        <v>154</v>
      </c>
      <c r="C20" s="60"/>
      <c r="D20" s="393"/>
      <c r="E20" s="421" t="str">
        <f>IF(E7="REG",D20/2,D20)</f>
        <v/>
      </c>
      <c r="F20" s="422" t="str">
        <f>IF(F7="REG",D20/2,D20)</f>
        <v/>
      </c>
      <c r="G20" s="422" t="str">
        <f>IF(G7="REG",D20/2,D20)</f>
        <v/>
      </c>
      <c r="H20" s="423" t="str">
        <f>IF(H7="REG",D20/2,D20)</f>
        <v/>
      </c>
      <c r="I20" s="393">
        <f t="shared" si="54"/>
        <v>0</v>
      </c>
      <c r="J20" s="421">
        <f>IF(J7="REG",I20/2,I20)</f>
        <v>0</v>
      </c>
      <c r="K20" s="422">
        <f>IF(K7="REG",I20/2,I20)</f>
        <v>0</v>
      </c>
      <c r="L20" s="422">
        <f>IF(L7="REG",I20/2,I20)</f>
        <v>0</v>
      </c>
      <c r="M20" s="423">
        <f>IF(M7="REG",I20/2,I20)</f>
        <v>0</v>
      </c>
      <c r="N20" s="393">
        <f t="shared" si="55"/>
        <v>0</v>
      </c>
      <c r="O20" s="421">
        <f>IF(O7="REG",N20/2,N20)</f>
        <v>0</v>
      </c>
      <c r="P20" s="422">
        <f>IF(P7="REG",N20/2,N20)</f>
        <v>0</v>
      </c>
      <c r="Q20" s="422">
        <f>IF(Q7="REG",N20/2,N20)</f>
        <v>0</v>
      </c>
      <c r="R20" s="423">
        <f>IF(R7="REG",N20/2,N20)</f>
        <v>0</v>
      </c>
      <c r="S20" s="393">
        <f t="shared" si="56"/>
        <v>0</v>
      </c>
      <c r="T20" s="421">
        <f>IF(T7="REG",S20/2,S20)</f>
        <v>0</v>
      </c>
      <c r="U20" s="422">
        <f>IF(U7="REG",S20/2,S20)</f>
        <v>0</v>
      </c>
      <c r="V20" s="422">
        <f>IF(V7="REG",S20/2,S20)</f>
        <v>0</v>
      </c>
      <c r="W20" s="423">
        <f>IF(W7="REG",S20/2,S20)</f>
        <v>0</v>
      </c>
      <c r="X20" s="393">
        <f t="shared" si="57"/>
        <v>0</v>
      </c>
      <c r="Y20" s="421">
        <f>IF(Y7="REG",X20/2,X20)</f>
        <v>0</v>
      </c>
      <c r="Z20" s="422">
        <f>IF(Z7="REG",X20/2,X20)</f>
        <v>0</v>
      </c>
      <c r="AA20" s="422">
        <f>IF(AA7="REG",X20/2,X20)</f>
        <v>0</v>
      </c>
      <c r="AB20" s="423">
        <f>IF(AB7="REG",X20/2,X20)</f>
        <v>0</v>
      </c>
      <c r="AC20" s="393">
        <f t="shared" si="58"/>
        <v>0</v>
      </c>
      <c r="AD20" s="421">
        <f>IF(AD7="REG",AC20/2,AC20)</f>
        <v>0</v>
      </c>
      <c r="AE20" s="422">
        <f>IF(AE7="REG",AC20/2,AC20)</f>
        <v>0</v>
      </c>
      <c r="AF20" s="422">
        <f>IF(AF7="REG",AC20/2,AC20)</f>
        <v>0</v>
      </c>
      <c r="AG20" s="423">
        <f>IF(AG7="REG",AC20/2,AC20)</f>
        <v>0</v>
      </c>
      <c r="AH20" s="393">
        <f t="shared" si="59"/>
        <v>0</v>
      </c>
      <c r="AI20" s="421">
        <f>IF(AI7="REG",AH20/2,AH20)</f>
        <v>0</v>
      </c>
      <c r="AJ20" s="422">
        <f>IF(AJ7="REG",AH20/2,AH20)</f>
        <v>0</v>
      </c>
      <c r="AK20" s="422">
        <f>IF(AK7="REG",AH20/2,AH20)</f>
        <v>0</v>
      </c>
      <c r="AL20" s="423">
        <f>IF(AL7="REG",AH20/2,AH20)</f>
        <v>0</v>
      </c>
      <c r="AM20" s="393">
        <f t="shared" si="60"/>
        <v>0</v>
      </c>
      <c r="AN20" s="421">
        <f>IF(AN7="REG",AM20/2,AM20)</f>
        <v>0</v>
      </c>
      <c r="AO20" s="422">
        <f>IF(AO7="REG",AM20/2,AM20)</f>
        <v>0</v>
      </c>
      <c r="AP20" s="422">
        <f>IF(AP7="REG",AM20/2,AM20)</f>
        <v>0</v>
      </c>
      <c r="AQ20" s="423">
        <f>IF(AQ7="REG",AM20/2,AM20)</f>
        <v>0</v>
      </c>
      <c r="AR20" s="393">
        <f t="shared" si="61"/>
        <v>0</v>
      </c>
      <c r="AS20" s="421">
        <f>IF(AS7="REG",AR20/2,AR20)</f>
        <v>0</v>
      </c>
      <c r="AT20" s="422">
        <f>IF(AT7="REG",AR20/2,AR20)</f>
        <v>0</v>
      </c>
      <c r="AU20" s="422">
        <f>IF(AU7="REG",AR20/2,AR20)</f>
        <v>0</v>
      </c>
      <c r="AV20" s="423">
        <f>IF(AV7="REG",AR20/2,AR20)</f>
        <v>0</v>
      </c>
      <c r="AW20" s="393">
        <f t="shared" si="62"/>
        <v>0</v>
      </c>
      <c r="AX20" s="421">
        <f>IF(AX7="REG",AW20/2,AW20)</f>
        <v>0</v>
      </c>
      <c r="AY20" s="422">
        <f>IF(AY7="REG",AW20/2,AW20)</f>
        <v>0</v>
      </c>
      <c r="AZ20" s="422">
        <f>IF(AZ7="REG",AW20/2,AW20)</f>
        <v>0</v>
      </c>
      <c r="BA20" s="423">
        <f>IF(BA7="REG",AW20/2,AW20)</f>
        <v>0</v>
      </c>
      <c r="BB20" s="393">
        <f t="shared" si="63"/>
        <v>0</v>
      </c>
      <c r="BC20" s="421">
        <f>IF(BC7="REG",BB20/2,BB20)</f>
        <v>0</v>
      </c>
      <c r="BD20" s="422">
        <f>IF(BD7="REG",BB20/2,BB20)</f>
        <v>0</v>
      </c>
      <c r="BE20" s="422">
        <f>IF(BE7="REG",BB20/2,BB20)</f>
        <v>0</v>
      </c>
      <c r="BF20" s="423">
        <f>IF(BF7="REG",BB20/2,BB20)</f>
        <v>0</v>
      </c>
      <c r="BG20" s="393">
        <f t="shared" si="64"/>
        <v>0</v>
      </c>
      <c r="BH20" s="421">
        <f>IF(BH7="REG",BG20/2,BG20)</f>
        <v>0</v>
      </c>
      <c r="BI20" s="422">
        <f>IF(BI7="REG",BG20/2,BG20)</f>
        <v>0</v>
      </c>
      <c r="BJ20" s="422">
        <f>IF(BJ7="REG",BG20/2,BG20)</f>
        <v>0</v>
      </c>
      <c r="BK20" s="423">
        <f>IF(BK7="REG",BG20/2,BG20)</f>
        <v>0</v>
      </c>
      <c r="BL20" s="393">
        <f t="shared" si="65"/>
        <v>0</v>
      </c>
      <c r="BM20" s="421">
        <f>IF(BM7="REG",BL20/2,BL20)</f>
        <v>0</v>
      </c>
      <c r="BN20" s="422">
        <f>IF(BN7="REG",BL20/2,BL20)</f>
        <v>0</v>
      </c>
      <c r="BO20" s="422">
        <f>IF(BO7="REG",BL20/2,BL20)</f>
        <v>0</v>
      </c>
      <c r="BP20" s="423">
        <f>IF(BP7="REG",BL20/2,BL20)</f>
        <v>0</v>
      </c>
    </row>
    <row r="21" ht="23.25" customHeight="1">
      <c r="A21" s="419"/>
      <c r="B21" s="424" t="s">
        <v>155</v>
      </c>
      <c r="C21" s="60"/>
      <c r="D21" s="425" t="s">
        <v>128</v>
      </c>
      <c r="E21" s="426">
        <v>25.0</v>
      </c>
      <c r="F21" s="426">
        <v>25.0</v>
      </c>
      <c r="G21" s="426">
        <v>25.0</v>
      </c>
      <c r="H21" s="426">
        <v>25.0</v>
      </c>
      <c r="I21" s="427" t="s">
        <v>128</v>
      </c>
      <c r="J21" s="426">
        <v>25.0</v>
      </c>
      <c r="K21" s="426">
        <v>25.0</v>
      </c>
      <c r="L21" s="426">
        <v>25.0</v>
      </c>
      <c r="M21" s="426">
        <v>25.0</v>
      </c>
      <c r="N21" s="427" t="s">
        <v>128</v>
      </c>
      <c r="O21" s="426">
        <v>25.0</v>
      </c>
      <c r="P21" s="426">
        <v>25.0</v>
      </c>
      <c r="Q21" s="426">
        <v>25.0</v>
      </c>
      <c r="R21" s="426">
        <v>25.0</v>
      </c>
      <c r="S21" s="427" t="s">
        <v>128</v>
      </c>
      <c r="T21" s="426">
        <v>25.0</v>
      </c>
      <c r="U21" s="426">
        <v>25.0</v>
      </c>
      <c r="V21" s="426">
        <v>25.0</v>
      </c>
      <c r="W21" s="426">
        <v>25.0</v>
      </c>
      <c r="X21" s="427" t="s">
        <v>128</v>
      </c>
      <c r="Y21" s="426">
        <v>25.0</v>
      </c>
      <c r="Z21" s="426">
        <v>25.0</v>
      </c>
      <c r="AA21" s="426">
        <v>25.0</v>
      </c>
      <c r="AB21" s="426">
        <v>25.0</v>
      </c>
      <c r="AC21" s="427" t="s">
        <v>128</v>
      </c>
      <c r="AD21" s="426">
        <v>25.0</v>
      </c>
      <c r="AE21" s="426">
        <v>25.0</v>
      </c>
      <c r="AF21" s="426">
        <v>25.0</v>
      </c>
      <c r="AG21" s="426">
        <v>25.0</v>
      </c>
      <c r="AH21" s="427" t="s">
        <v>128</v>
      </c>
      <c r="AI21" s="426">
        <v>25.0</v>
      </c>
      <c r="AJ21" s="426">
        <v>25.0</v>
      </c>
      <c r="AK21" s="426">
        <v>25.0</v>
      </c>
      <c r="AL21" s="426">
        <v>25.0</v>
      </c>
      <c r="AM21" s="427" t="s">
        <v>128</v>
      </c>
      <c r="AN21" s="426">
        <v>25.0</v>
      </c>
      <c r="AO21" s="426">
        <v>25.0</v>
      </c>
      <c r="AP21" s="426">
        <v>25.0</v>
      </c>
      <c r="AQ21" s="426">
        <v>25.0</v>
      </c>
      <c r="AR21" s="427" t="s">
        <v>128</v>
      </c>
      <c r="AS21" s="426">
        <v>25.0</v>
      </c>
      <c r="AT21" s="426">
        <v>25.0</v>
      </c>
      <c r="AU21" s="426">
        <v>25.0</v>
      </c>
      <c r="AV21" s="426">
        <v>25.0</v>
      </c>
      <c r="AW21" s="427" t="s">
        <v>128</v>
      </c>
      <c r="AX21" s="426">
        <v>25.0</v>
      </c>
      <c r="AY21" s="426">
        <v>25.0</v>
      </c>
      <c r="AZ21" s="426">
        <v>25.0</v>
      </c>
      <c r="BA21" s="426">
        <v>25.0</v>
      </c>
      <c r="BB21" s="427" t="s">
        <v>128</v>
      </c>
      <c r="BC21" s="426">
        <v>25.0</v>
      </c>
      <c r="BD21" s="426">
        <v>25.0</v>
      </c>
      <c r="BE21" s="426">
        <v>25.0</v>
      </c>
      <c r="BF21" s="426">
        <v>25.0</v>
      </c>
      <c r="BG21" s="427" t="s">
        <v>128</v>
      </c>
      <c r="BH21" s="426">
        <v>25.0</v>
      </c>
      <c r="BI21" s="426">
        <v>25.0</v>
      </c>
      <c r="BJ21" s="426">
        <v>25.0</v>
      </c>
      <c r="BK21" s="426">
        <v>25.0</v>
      </c>
      <c r="BL21" s="427" t="s">
        <v>128</v>
      </c>
      <c r="BM21" s="426">
        <v>25.0</v>
      </c>
      <c r="BN21" s="426">
        <v>25.0</v>
      </c>
      <c r="BO21" s="426">
        <v>25.0</v>
      </c>
      <c r="BP21" s="426">
        <v>25.0</v>
      </c>
    </row>
    <row r="22" ht="23.25" customHeight="1">
      <c r="A22" s="419"/>
      <c r="B22" s="424" t="s">
        <v>156</v>
      </c>
      <c r="C22" s="60"/>
      <c r="D22" s="425" t="s">
        <v>128</v>
      </c>
      <c r="E22" s="406">
        <v>40.0</v>
      </c>
      <c r="F22" s="406">
        <v>40.0</v>
      </c>
      <c r="G22" s="406">
        <v>40.0</v>
      </c>
      <c r="H22" s="406">
        <v>40.0</v>
      </c>
      <c r="I22" s="428" t="s">
        <v>128</v>
      </c>
      <c r="J22" s="406">
        <v>40.0</v>
      </c>
      <c r="K22" s="406">
        <v>40.0</v>
      </c>
      <c r="L22" s="406">
        <v>40.0</v>
      </c>
      <c r="M22" s="406">
        <v>40.0</v>
      </c>
      <c r="N22" s="428" t="s">
        <v>128</v>
      </c>
      <c r="O22" s="406">
        <v>40.0</v>
      </c>
      <c r="P22" s="406">
        <v>40.0</v>
      </c>
      <c r="Q22" s="406">
        <v>40.0</v>
      </c>
      <c r="R22" s="406">
        <v>40.0</v>
      </c>
      <c r="S22" s="428" t="s">
        <v>128</v>
      </c>
      <c r="T22" s="406">
        <v>40.0</v>
      </c>
      <c r="U22" s="406">
        <v>40.0</v>
      </c>
      <c r="V22" s="406">
        <v>40.0</v>
      </c>
      <c r="W22" s="406">
        <v>40.0</v>
      </c>
      <c r="X22" s="428" t="s">
        <v>128</v>
      </c>
      <c r="Y22" s="406">
        <v>40.0</v>
      </c>
      <c r="Z22" s="406">
        <v>40.0</v>
      </c>
      <c r="AA22" s="406">
        <v>40.0</v>
      </c>
      <c r="AB22" s="406">
        <v>40.0</v>
      </c>
      <c r="AC22" s="428" t="s">
        <v>128</v>
      </c>
      <c r="AD22" s="406">
        <v>40.0</v>
      </c>
      <c r="AE22" s="406">
        <v>40.0</v>
      </c>
      <c r="AF22" s="406">
        <v>40.0</v>
      </c>
      <c r="AG22" s="406">
        <v>40.0</v>
      </c>
      <c r="AH22" s="428" t="s">
        <v>128</v>
      </c>
      <c r="AI22" s="406">
        <v>40.0</v>
      </c>
      <c r="AJ22" s="406">
        <v>40.0</v>
      </c>
      <c r="AK22" s="406">
        <v>40.0</v>
      </c>
      <c r="AL22" s="406">
        <v>40.0</v>
      </c>
      <c r="AM22" s="428" t="s">
        <v>128</v>
      </c>
      <c r="AN22" s="406">
        <v>40.0</v>
      </c>
      <c r="AO22" s="406">
        <v>40.0</v>
      </c>
      <c r="AP22" s="406">
        <v>40.0</v>
      </c>
      <c r="AQ22" s="406">
        <v>40.0</v>
      </c>
      <c r="AR22" s="428" t="s">
        <v>128</v>
      </c>
      <c r="AS22" s="406">
        <v>40.0</v>
      </c>
      <c r="AT22" s="406">
        <v>40.0</v>
      </c>
      <c r="AU22" s="406">
        <v>40.0</v>
      </c>
      <c r="AV22" s="406">
        <v>40.0</v>
      </c>
      <c r="AW22" s="428" t="s">
        <v>128</v>
      </c>
      <c r="AX22" s="406">
        <v>40.0</v>
      </c>
      <c r="AY22" s="406">
        <v>40.0</v>
      </c>
      <c r="AZ22" s="406">
        <v>40.0</v>
      </c>
      <c r="BA22" s="406">
        <v>40.0</v>
      </c>
      <c r="BB22" s="428" t="s">
        <v>128</v>
      </c>
      <c r="BC22" s="406">
        <v>40.0</v>
      </c>
      <c r="BD22" s="406">
        <v>40.0</v>
      </c>
      <c r="BE22" s="406">
        <v>40.0</v>
      </c>
      <c r="BF22" s="406">
        <v>40.0</v>
      </c>
      <c r="BG22" s="428" t="s">
        <v>128</v>
      </c>
      <c r="BH22" s="406">
        <v>40.0</v>
      </c>
      <c r="BI22" s="406">
        <v>40.0</v>
      </c>
      <c r="BJ22" s="406">
        <v>40.0</v>
      </c>
      <c r="BK22" s="406">
        <v>40.0</v>
      </c>
      <c r="BL22" s="428" t="s">
        <v>128</v>
      </c>
      <c r="BM22" s="406">
        <v>40.0</v>
      </c>
      <c r="BN22" s="406">
        <v>40.0</v>
      </c>
      <c r="BO22" s="406">
        <v>40.0</v>
      </c>
      <c r="BP22" s="406">
        <v>40.0</v>
      </c>
    </row>
    <row r="23" ht="23.25" customHeight="1">
      <c r="A23" s="419"/>
      <c r="B23" s="424" t="s">
        <v>157</v>
      </c>
      <c r="C23" s="60"/>
      <c r="D23" s="425" t="s">
        <v>128</v>
      </c>
      <c r="E23" s="366">
        <v>20.0</v>
      </c>
      <c r="F23" s="366">
        <v>20.0</v>
      </c>
      <c r="G23" s="366">
        <v>20.0</v>
      </c>
      <c r="H23" s="366">
        <v>20.0</v>
      </c>
      <c r="I23" s="429" t="s">
        <v>128</v>
      </c>
      <c r="J23" s="366">
        <v>20.0</v>
      </c>
      <c r="K23" s="366">
        <v>20.0</v>
      </c>
      <c r="L23" s="366">
        <v>20.0</v>
      </c>
      <c r="M23" s="366">
        <v>20.0</v>
      </c>
      <c r="N23" s="429" t="s">
        <v>128</v>
      </c>
      <c r="O23" s="366">
        <v>20.0</v>
      </c>
      <c r="P23" s="366">
        <v>20.0</v>
      </c>
      <c r="Q23" s="366">
        <v>20.0</v>
      </c>
      <c r="R23" s="366">
        <v>20.0</v>
      </c>
      <c r="S23" s="429" t="s">
        <v>128</v>
      </c>
      <c r="T23" s="366">
        <v>20.0</v>
      </c>
      <c r="U23" s="366">
        <v>20.0</v>
      </c>
      <c r="V23" s="366">
        <v>20.0</v>
      </c>
      <c r="W23" s="366">
        <v>20.0</v>
      </c>
      <c r="X23" s="429" t="s">
        <v>128</v>
      </c>
      <c r="Y23" s="366">
        <v>20.0</v>
      </c>
      <c r="Z23" s="366">
        <v>20.0</v>
      </c>
      <c r="AA23" s="366">
        <v>20.0</v>
      </c>
      <c r="AB23" s="366">
        <v>20.0</v>
      </c>
      <c r="AC23" s="429" t="s">
        <v>128</v>
      </c>
      <c r="AD23" s="366">
        <v>20.0</v>
      </c>
      <c r="AE23" s="366">
        <v>20.0</v>
      </c>
      <c r="AF23" s="366">
        <v>20.0</v>
      </c>
      <c r="AG23" s="366">
        <v>20.0</v>
      </c>
      <c r="AH23" s="429" t="s">
        <v>128</v>
      </c>
      <c r="AI23" s="366">
        <v>20.0</v>
      </c>
      <c r="AJ23" s="366">
        <v>20.0</v>
      </c>
      <c r="AK23" s="366">
        <v>20.0</v>
      </c>
      <c r="AL23" s="366">
        <v>20.0</v>
      </c>
      <c r="AM23" s="429" t="s">
        <v>128</v>
      </c>
      <c r="AN23" s="366">
        <v>20.0</v>
      </c>
      <c r="AO23" s="366">
        <v>20.0</v>
      </c>
      <c r="AP23" s="366">
        <v>20.0</v>
      </c>
      <c r="AQ23" s="366">
        <v>20.0</v>
      </c>
      <c r="AR23" s="429" t="s">
        <v>128</v>
      </c>
      <c r="AS23" s="366">
        <v>20.0</v>
      </c>
      <c r="AT23" s="366">
        <v>20.0</v>
      </c>
      <c r="AU23" s="366">
        <v>20.0</v>
      </c>
      <c r="AV23" s="366">
        <v>20.0</v>
      </c>
      <c r="AW23" s="429" t="s">
        <v>128</v>
      </c>
      <c r="AX23" s="366">
        <v>20.0</v>
      </c>
      <c r="AY23" s="366">
        <v>20.0</v>
      </c>
      <c r="AZ23" s="366">
        <v>20.0</v>
      </c>
      <c r="BA23" s="366">
        <v>20.0</v>
      </c>
      <c r="BB23" s="429" t="s">
        <v>128</v>
      </c>
      <c r="BC23" s="366">
        <v>20.0</v>
      </c>
      <c r="BD23" s="366">
        <v>20.0</v>
      </c>
      <c r="BE23" s="366">
        <v>20.0</v>
      </c>
      <c r="BF23" s="366">
        <v>20.0</v>
      </c>
      <c r="BG23" s="429" t="s">
        <v>128</v>
      </c>
      <c r="BH23" s="366">
        <v>20.0</v>
      </c>
      <c r="BI23" s="366">
        <v>20.0</v>
      </c>
      <c r="BJ23" s="366">
        <v>20.0</v>
      </c>
      <c r="BK23" s="366">
        <v>20.0</v>
      </c>
      <c r="BL23" s="429" t="s">
        <v>128</v>
      </c>
      <c r="BM23" s="366">
        <v>20.0</v>
      </c>
      <c r="BN23" s="366">
        <v>20.0</v>
      </c>
      <c r="BO23" s="366">
        <v>20.0</v>
      </c>
      <c r="BP23" s="366">
        <v>20.0</v>
      </c>
    </row>
    <row r="24" ht="23.25" customHeight="1">
      <c r="A24" s="419"/>
      <c r="B24" s="424" t="s">
        <v>158</v>
      </c>
      <c r="C24" s="60"/>
      <c r="D24" s="430" t="s">
        <v>128</v>
      </c>
      <c r="E24" s="431">
        <v>10.0</v>
      </c>
      <c r="F24" s="431">
        <v>10.0</v>
      </c>
      <c r="G24" s="431">
        <v>10.0</v>
      </c>
      <c r="H24" s="431">
        <v>10.0</v>
      </c>
      <c r="I24" s="432" t="s">
        <v>128</v>
      </c>
      <c r="J24" s="431">
        <v>10.0</v>
      </c>
      <c r="K24" s="431">
        <v>10.0</v>
      </c>
      <c r="L24" s="431">
        <v>10.0</v>
      </c>
      <c r="M24" s="431">
        <v>10.0</v>
      </c>
      <c r="N24" s="432" t="s">
        <v>128</v>
      </c>
      <c r="O24" s="431">
        <v>10.0</v>
      </c>
      <c r="P24" s="431">
        <v>10.0</v>
      </c>
      <c r="Q24" s="431">
        <v>10.0</v>
      </c>
      <c r="R24" s="431">
        <v>10.0</v>
      </c>
      <c r="S24" s="432" t="s">
        <v>128</v>
      </c>
      <c r="T24" s="431">
        <v>10.0</v>
      </c>
      <c r="U24" s="431">
        <v>10.0</v>
      </c>
      <c r="V24" s="431">
        <v>10.0</v>
      </c>
      <c r="W24" s="431">
        <v>10.0</v>
      </c>
      <c r="X24" s="432" t="s">
        <v>128</v>
      </c>
      <c r="Y24" s="431">
        <v>10.0</v>
      </c>
      <c r="Z24" s="431">
        <v>10.0</v>
      </c>
      <c r="AA24" s="431">
        <v>10.0</v>
      </c>
      <c r="AB24" s="431">
        <v>10.0</v>
      </c>
      <c r="AC24" s="432" t="s">
        <v>128</v>
      </c>
      <c r="AD24" s="431">
        <v>10.0</v>
      </c>
      <c r="AE24" s="431">
        <v>10.0</v>
      </c>
      <c r="AF24" s="431">
        <v>10.0</v>
      </c>
      <c r="AG24" s="431">
        <v>10.0</v>
      </c>
      <c r="AH24" s="432" t="s">
        <v>128</v>
      </c>
      <c r="AI24" s="431">
        <v>10.0</v>
      </c>
      <c r="AJ24" s="431">
        <v>10.0</v>
      </c>
      <c r="AK24" s="431">
        <v>10.0</v>
      </c>
      <c r="AL24" s="431">
        <v>10.0</v>
      </c>
      <c r="AM24" s="432" t="s">
        <v>128</v>
      </c>
      <c r="AN24" s="431">
        <v>10.0</v>
      </c>
      <c r="AO24" s="431">
        <v>10.0</v>
      </c>
      <c r="AP24" s="431">
        <v>10.0</v>
      </c>
      <c r="AQ24" s="431">
        <v>10.0</v>
      </c>
      <c r="AR24" s="432" t="s">
        <v>128</v>
      </c>
      <c r="AS24" s="431">
        <v>10.0</v>
      </c>
      <c r="AT24" s="431">
        <v>10.0</v>
      </c>
      <c r="AU24" s="431">
        <v>10.0</v>
      </c>
      <c r="AV24" s="431">
        <v>10.0</v>
      </c>
      <c r="AW24" s="432" t="s">
        <v>128</v>
      </c>
      <c r="AX24" s="431">
        <v>10.0</v>
      </c>
      <c r="AY24" s="431">
        <v>10.0</v>
      </c>
      <c r="AZ24" s="431">
        <v>10.0</v>
      </c>
      <c r="BA24" s="431">
        <v>10.0</v>
      </c>
      <c r="BB24" s="432" t="s">
        <v>128</v>
      </c>
      <c r="BC24" s="431">
        <v>10.0</v>
      </c>
      <c r="BD24" s="431">
        <v>10.0</v>
      </c>
      <c r="BE24" s="431">
        <v>10.0</v>
      </c>
      <c r="BF24" s="431">
        <v>10.0</v>
      </c>
      <c r="BG24" s="432" t="s">
        <v>128</v>
      </c>
      <c r="BH24" s="431">
        <v>10.0</v>
      </c>
      <c r="BI24" s="431">
        <v>10.0</v>
      </c>
      <c r="BJ24" s="431">
        <v>10.0</v>
      </c>
      <c r="BK24" s="431">
        <v>10.0</v>
      </c>
      <c r="BL24" s="432" t="s">
        <v>128</v>
      </c>
      <c r="BM24" s="431">
        <v>10.0</v>
      </c>
      <c r="BN24" s="431">
        <v>10.0</v>
      </c>
      <c r="BO24" s="431">
        <v>10.0</v>
      </c>
      <c r="BP24" s="431">
        <v>10.0</v>
      </c>
    </row>
    <row r="25" ht="23.25" customHeight="1">
      <c r="A25" s="419"/>
      <c r="B25" s="433" t="s">
        <v>159</v>
      </c>
      <c r="C25" s="374"/>
      <c r="D25" s="434" t="s">
        <v>128</v>
      </c>
      <c r="E25" s="435">
        <v>5.0</v>
      </c>
      <c r="F25" s="435">
        <v>5.0</v>
      </c>
      <c r="G25" s="435">
        <v>5.0</v>
      </c>
      <c r="H25" s="435">
        <v>5.0</v>
      </c>
      <c r="I25" s="436" t="s">
        <v>128</v>
      </c>
      <c r="J25" s="435">
        <v>5.0</v>
      </c>
      <c r="K25" s="435">
        <v>5.0</v>
      </c>
      <c r="L25" s="435">
        <v>5.0</v>
      </c>
      <c r="M25" s="435">
        <v>5.0</v>
      </c>
      <c r="N25" s="436" t="s">
        <v>128</v>
      </c>
      <c r="O25" s="435">
        <v>5.0</v>
      </c>
      <c r="P25" s="435">
        <v>5.0</v>
      </c>
      <c r="Q25" s="435">
        <v>5.0</v>
      </c>
      <c r="R25" s="435">
        <v>5.0</v>
      </c>
      <c r="S25" s="436" t="s">
        <v>128</v>
      </c>
      <c r="T25" s="435">
        <v>5.0</v>
      </c>
      <c r="U25" s="435">
        <v>5.0</v>
      </c>
      <c r="V25" s="435">
        <v>5.0</v>
      </c>
      <c r="W25" s="435">
        <v>5.0</v>
      </c>
      <c r="X25" s="436" t="s">
        <v>128</v>
      </c>
      <c r="Y25" s="435">
        <v>5.0</v>
      </c>
      <c r="Z25" s="435">
        <v>5.0</v>
      </c>
      <c r="AA25" s="435">
        <v>5.0</v>
      </c>
      <c r="AB25" s="435">
        <v>5.0</v>
      </c>
      <c r="AC25" s="436" t="s">
        <v>128</v>
      </c>
      <c r="AD25" s="435">
        <v>5.0</v>
      </c>
      <c r="AE25" s="435">
        <v>5.0</v>
      </c>
      <c r="AF25" s="435">
        <v>5.0</v>
      </c>
      <c r="AG25" s="435">
        <v>5.0</v>
      </c>
      <c r="AH25" s="436" t="s">
        <v>128</v>
      </c>
      <c r="AI25" s="435">
        <v>5.0</v>
      </c>
      <c r="AJ25" s="435">
        <v>5.0</v>
      </c>
      <c r="AK25" s="435">
        <v>5.0</v>
      </c>
      <c r="AL25" s="435">
        <v>5.0</v>
      </c>
      <c r="AM25" s="436" t="s">
        <v>128</v>
      </c>
      <c r="AN25" s="435">
        <v>5.0</v>
      </c>
      <c r="AO25" s="435">
        <v>5.0</v>
      </c>
      <c r="AP25" s="435">
        <v>5.0</v>
      </c>
      <c r="AQ25" s="435">
        <v>5.0</v>
      </c>
      <c r="AR25" s="436" t="s">
        <v>128</v>
      </c>
      <c r="AS25" s="435">
        <v>5.0</v>
      </c>
      <c r="AT25" s="435">
        <v>5.0</v>
      </c>
      <c r="AU25" s="435">
        <v>5.0</v>
      </c>
      <c r="AV25" s="435">
        <v>5.0</v>
      </c>
      <c r="AW25" s="436" t="s">
        <v>128</v>
      </c>
      <c r="AX25" s="435">
        <v>5.0</v>
      </c>
      <c r="AY25" s="435">
        <v>5.0</v>
      </c>
      <c r="AZ25" s="435">
        <v>5.0</v>
      </c>
      <c r="BA25" s="435">
        <v>5.0</v>
      </c>
      <c r="BB25" s="436" t="s">
        <v>128</v>
      </c>
      <c r="BC25" s="435">
        <v>5.0</v>
      </c>
      <c r="BD25" s="435">
        <v>5.0</v>
      </c>
      <c r="BE25" s="435">
        <v>5.0</v>
      </c>
      <c r="BF25" s="435">
        <v>5.0</v>
      </c>
      <c r="BG25" s="436" t="s">
        <v>128</v>
      </c>
      <c r="BH25" s="435">
        <v>5.0</v>
      </c>
      <c r="BI25" s="435">
        <v>5.0</v>
      </c>
      <c r="BJ25" s="435">
        <v>5.0</v>
      </c>
      <c r="BK25" s="435">
        <v>5.0</v>
      </c>
      <c r="BL25" s="436" t="s">
        <v>128</v>
      </c>
      <c r="BM25" s="435">
        <v>5.0</v>
      </c>
      <c r="BN25" s="435">
        <v>5.0</v>
      </c>
      <c r="BO25" s="435">
        <v>5.0</v>
      </c>
      <c r="BP25" s="435">
        <v>5.0</v>
      </c>
    </row>
    <row r="26" ht="23.25" customHeight="1">
      <c r="A26" s="419"/>
      <c r="B26" s="437" t="s">
        <v>160</v>
      </c>
      <c r="C26" s="438"/>
      <c r="D26" s="439" t="str">
        <f>IFS(D$21="","",D$21="X","X",TRUE,D19*(D$21/100))</f>
        <v>X</v>
      </c>
      <c r="E26" s="440">
        <f t="shared" ref="E26:BP26" si="66">IFS(E$21="","",E$21="X","X",TRUE,E$19*(E$21/100))</f>
        <v>0</v>
      </c>
      <c r="F26" s="441">
        <f t="shared" si="66"/>
        <v>0</v>
      </c>
      <c r="G26" s="441">
        <f t="shared" si="66"/>
        <v>0</v>
      </c>
      <c r="H26" s="442">
        <f t="shared" si="66"/>
        <v>0</v>
      </c>
      <c r="I26" s="443" t="str">
        <f t="shared" si="66"/>
        <v>X</v>
      </c>
      <c r="J26" s="444">
        <f t="shared" si="66"/>
        <v>0</v>
      </c>
      <c r="K26" s="441">
        <f t="shared" si="66"/>
        <v>0</v>
      </c>
      <c r="L26" s="441">
        <f t="shared" si="66"/>
        <v>0</v>
      </c>
      <c r="M26" s="441">
        <f t="shared" si="66"/>
        <v>0</v>
      </c>
      <c r="N26" s="443" t="str">
        <f t="shared" si="66"/>
        <v>X</v>
      </c>
      <c r="O26" s="444">
        <f t="shared" si="66"/>
        <v>0</v>
      </c>
      <c r="P26" s="441">
        <f t="shared" si="66"/>
        <v>0</v>
      </c>
      <c r="Q26" s="441">
        <f t="shared" si="66"/>
        <v>0</v>
      </c>
      <c r="R26" s="441">
        <f t="shared" si="66"/>
        <v>0</v>
      </c>
      <c r="S26" s="443" t="str">
        <f t="shared" si="66"/>
        <v>X</v>
      </c>
      <c r="T26" s="444">
        <f t="shared" si="66"/>
        <v>0</v>
      </c>
      <c r="U26" s="441">
        <f t="shared" si="66"/>
        <v>0</v>
      </c>
      <c r="V26" s="441">
        <f t="shared" si="66"/>
        <v>0</v>
      </c>
      <c r="W26" s="441">
        <f t="shared" si="66"/>
        <v>0</v>
      </c>
      <c r="X26" s="443" t="str">
        <f t="shared" si="66"/>
        <v>X</v>
      </c>
      <c r="Y26" s="444">
        <f t="shared" si="66"/>
        <v>0</v>
      </c>
      <c r="Z26" s="441">
        <f t="shared" si="66"/>
        <v>0</v>
      </c>
      <c r="AA26" s="441">
        <f t="shared" si="66"/>
        <v>0</v>
      </c>
      <c r="AB26" s="441">
        <f t="shared" si="66"/>
        <v>0</v>
      </c>
      <c r="AC26" s="443" t="str">
        <f t="shared" si="66"/>
        <v>X</v>
      </c>
      <c r="AD26" s="444">
        <f t="shared" si="66"/>
        <v>0</v>
      </c>
      <c r="AE26" s="441">
        <f t="shared" si="66"/>
        <v>0</v>
      </c>
      <c r="AF26" s="441">
        <f t="shared" si="66"/>
        <v>0</v>
      </c>
      <c r="AG26" s="441">
        <f t="shared" si="66"/>
        <v>0</v>
      </c>
      <c r="AH26" s="443" t="str">
        <f t="shared" si="66"/>
        <v>X</v>
      </c>
      <c r="AI26" s="444">
        <f t="shared" si="66"/>
        <v>0</v>
      </c>
      <c r="AJ26" s="441">
        <f t="shared" si="66"/>
        <v>0</v>
      </c>
      <c r="AK26" s="441">
        <f t="shared" si="66"/>
        <v>0</v>
      </c>
      <c r="AL26" s="441">
        <f t="shared" si="66"/>
        <v>0</v>
      </c>
      <c r="AM26" s="443" t="str">
        <f t="shared" si="66"/>
        <v>X</v>
      </c>
      <c r="AN26" s="444">
        <f t="shared" si="66"/>
        <v>0</v>
      </c>
      <c r="AO26" s="441">
        <f t="shared" si="66"/>
        <v>0</v>
      </c>
      <c r="AP26" s="441">
        <f t="shared" si="66"/>
        <v>0</v>
      </c>
      <c r="AQ26" s="441">
        <f t="shared" si="66"/>
        <v>0</v>
      </c>
      <c r="AR26" s="443" t="str">
        <f t="shared" si="66"/>
        <v>X</v>
      </c>
      <c r="AS26" s="444">
        <f t="shared" si="66"/>
        <v>0</v>
      </c>
      <c r="AT26" s="441">
        <f t="shared" si="66"/>
        <v>0</v>
      </c>
      <c r="AU26" s="441">
        <f t="shared" si="66"/>
        <v>0</v>
      </c>
      <c r="AV26" s="441">
        <f t="shared" si="66"/>
        <v>0</v>
      </c>
      <c r="AW26" s="443" t="str">
        <f t="shared" si="66"/>
        <v>X</v>
      </c>
      <c r="AX26" s="444">
        <f t="shared" si="66"/>
        <v>0</v>
      </c>
      <c r="AY26" s="441">
        <f t="shared" si="66"/>
        <v>0</v>
      </c>
      <c r="AZ26" s="441">
        <f t="shared" si="66"/>
        <v>0</v>
      </c>
      <c r="BA26" s="441">
        <f t="shared" si="66"/>
        <v>0</v>
      </c>
      <c r="BB26" s="443" t="str">
        <f t="shared" si="66"/>
        <v>X</v>
      </c>
      <c r="BC26" s="444">
        <f t="shared" si="66"/>
        <v>0</v>
      </c>
      <c r="BD26" s="441">
        <f t="shared" si="66"/>
        <v>0</v>
      </c>
      <c r="BE26" s="441">
        <f t="shared" si="66"/>
        <v>0</v>
      </c>
      <c r="BF26" s="441">
        <f t="shared" si="66"/>
        <v>0</v>
      </c>
      <c r="BG26" s="443" t="str">
        <f t="shared" si="66"/>
        <v>X</v>
      </c>
      <c r="BH26" s="444">
        <f t="shared" si="66"/>
        <v>0</v>
      </c>
      <c r="BI26" s="441">
        <f t="shared" si="66"/>
        <v>0</v>
      </c>
      <c r="BJ26" s="441">
        <f t="shared" si="66"/>
        <v>0</v>
      </c>
      <c r="BK26" s="441">
        <f t="shared" si="66"/>
        <v>0</v>
      </c>
      <c r="BL26" s="443" t="str">
        <f t="shared" si="66"/>
        <v>X</v>
      </c>
      <c r="BM26" s="444">
        <f t="shared" si="66"/>
        <v>0</v>
      </c>
      <c r="BN26" s="441">
        <f t="shared" si="66"/>
        <v>0</v>
      </c>
      <c r="BO26" s="441">
        <f t="shared" si="66"/>
        <v>0</v>
      </c>
      <c r="BP26" s="441">
        <f t="shared" si="66"/>
        <v>0</v>
      </c>
    </row>
    <row r="27" ht="23.25" customHeight="1">
      <c r="A27" s="419"/>
      <c r="B27" s="445" t="s">
        <v>161</v>
      </c>
      <c r="C27" s="446"/>
      <c r="D27" s="367" t="str">
        <f t="shared" ref="D27:BP27" si="67">IFS(D$22="","",D$22="X","X",TRUE,D19*(D$22/100))</f>
        <v>X</v>
      </c>
      <c r="E27" s="447">
        <f t="shared" si="67"/>
        <v>0</v>
      </c>
      <c r="F27" s="448">
        <f t="shared" si="67"/>
        <v>0</v>
      </c>
      <c r="G27" s="448">
        <f t="shared" si="67"/>
        <v>0</v>
      </c>
      <c r="H27" s="449">
        <f t="shared" si="67"/>
        <v>0</v>
      </c>
      <c r="I27" s="450" t="str">
        <f t="shared" si="67"/>
        <v>X</v>
      </c>
      <c r="J27" s="451">
        <f t="shared" si="67"/>
        <v>0</v>
      </c>
      <c r="K27" s="448">
        <f t="shared" si="67"/>
        <v>0</v>
      </c>
      <c r="L27" s="448">
        <f t="shared" si="67"/>
        <v>0</v>
      </c>
      <c r="M27" s="448">
        <f t="shared" si="67"/>
        <v>0</v>
      </c>
      <c r="N27" s="450" t="str">
        <f t="shared" si="67"/>
        <v>X</v>
      </c>
      <c r="O27" s="451">
        <f t="shared" si="67"/>
        <v>0</v>
      </c>
      <c r="P27" s="448">
        <f t="shared" si="67"/>
        <v>0</v>
      </c>
      <c r="Q27" s="448">
        <f t="shared" si="67"/>
        <v>0</v>
      </c>
      <c r="R27" s="448">
        <f t="shared" si="67"/>
        <v>0</v>
      </c>
      <c r="S27" s="450" t="str">
        <f t="shared" si="67"/>
        <v>X</v>
      </c>
      <c r="T27" s="451">
        <f t="shared" si="67"/>
        <v>0</v>
      </c>
      <c r="U27" s="448">
        <f t="shared" si="67"/>
        <v>0</v>
      </c>
      <c r="V27" s="448">
        <f t="shared" si="67"/>
        <v>0</v>
      </c>
      <c r="W27" s="448">
        <f t="shared" si="67"/>
        <v>0</v>
      </c>
      <c r="X27" s="450" t="str">
        <f t="shared" si="67"/>
        <v>X</v>
      </c>
      <c r="Y27" s="451">
        <f t="shared" si="67"/>
        <v>0</v>
      </c>
      <c r="Z27" s="448">
        <f t="shared" si="67"/>
        <v>0</v>
      </c>
      <c r="AA27" s="448">
        <f t="shared" si="67"/>
        <v>0</v>
      </c>
      <c r="AB27" s="448">
        <f t="shared" si="67"/>
        <v>0</v>
      </c>
      <c r="AC27" s="450" t="str">
        <f t="shared" si="67"/>
        <v>X</v>
      </c>
      <c r="AD27" s="451">
        <f t="shared" si="67"/>
        <v>0</v>
      </c>
      <c r="AE27" s="448">
        <f t="shared" si="67"/>
        <v>0</v>
      </c>
      <c r="AF27" s="448">
        <f t="shared" si="67"/>
        <v>0</v>
      </c>
      <c r="AG27" s="448">
        <f t="shared" si="67"/>
        <v>0</v>
      </c>
      <c r="AH27" s="450" t="str">
        <f t="shared" si="67"/>
        <v>X</v>
      </c>
      <c r="AI27" s="451">
        <f t="shared" si="67"/>
        <v>0</v>
      </c>
      <c r="AJ27" s="448">
        <f t="shared" si="67"/>
        <v>0</v>
      </c>
      <c r="AK27" s="448">
        <f t="shared" si="67"/>
        <v>0</v>
      </c>
      <c r="AL27" s="448">
        <f t="shared" si="67"/>
        <v>0</v>
      </c>
      <c r="AM27" s="450" t="str">
        <f t="shared" si="67"/>
        <v>X</v>
      </c>
      <c r="AN27" s="451">
        <f t="shared" si="67"/>
        <v>0</v>
      </c>
      <c r="AO27" s="448">
        <f t="shared" si="67"/>
        <v>0</v>
      </c>
      <c r="AP27" s="448">
        <f t="shared" si="67"/>
        <v>0</v>
      </c>
      <c r="AQ27" s="448">
        <f t="shared" si="67"/>
        <v>0</v>
      </c>
      <c r="AR27" s="450" t="str">
        <f t="shared" si="67"/>
        <v>X</v>
      </c>
      <c r="AS27" s="451">
        <f t="shared" si="67"/>
        <v>0</v>
      </c>
      <c r="AT27" s="448">
        <f t="shared" si="67"/>
        <v>0</v>
      </c>
      <c r="AU27" s="448">
        <f t="shared" si="67"/>
        <v>0</v>
      </c>
      <c r="AV27" s="448">
        <f t="shared" si="67"/>
        <v>0</v>
      </c>
      <c r="AW27" s="450" t="str">
        <f t="shared" si="67"/>
        <v>X</v>
      </c>
      <c r="AX27" s="451">
        <f t="shared" si="67"/>
        <v>0</v>
      </c>
      <c r="AY27" s="448">
        <f t="shared" si="67"/>
        <v>0</v>
      </c>
      <c r="AZ27" s="448">
        <f t="shared" si="67"/>
        <v>0</v>
      </c>
      <c r="BA27" s="448">
        <f t="shared" si="67"/>
        <v>0</v>
      </c>
      <c r="BB27" s="450" t="str">
        <f t="shared" si="67"/>
        <v>X</v>
      </c>
      <c r="BC27" s="451">
        <f t="shared" si="67"/>
        <v>0</v>
      </c>
      <c r="BD27" s="448">
        <f t="shared" si="67"/>
        <v>0</v>
      </c>
      <c r="BE27" s="448">
        <f t="shared" si="67"/>
        <v>0</v>
      </c>
      <c r="BF27" s="448">
        <f t="shared" si="67"/>
        <v>0</v>
      </c>
      <c r="BG27" s="450" t="str">
        <f t="shared" si="67"/>
        <v>X</v>
      </c>
      <c r="BH27" s="451">
        <f t="shared" si="67"/>
        <v>0</v>
      </c>
      <c r="BI27" s="448">
        <f t="shared" si="67"/>
        <v>0</v>
      </c>
      <c r="BJ27" s="448">
        <f t="shared" si="67"/>
        <v>0</v>
      </c>
      <c r="BK27" s="448">
        <f t="shared" si="67"/>
        <v>0</v>
      </c>
      <c r="BL27" s="450" t="str">
        <f t="shared" si="67"/>
        <v>X</v>
      </c>
      <c r="BM27" s="451">
        <f t="shared" si="67"/>
        <v>0</v>
      </c>
      <c r="BN27" s="448">
        <f t="shared" si="67"/>
        <v>0</v>
      </c>
      <c r="BO27" s="448">
        <f t="shared" si="67"/>
        <v>0</v>
      </c>
      <c r="BP27" s="448">
        <f t="shared" si="67"/>
        <v>0</v>
      </c>
    </row>
    <row r="28" ht="23.25" customHeight="1">
      <c r="A28" s="419"/>
      <c r="B28" s="445" t="s">
        <v>162</v>
      </c>
      <c r="C28" s="446"/>
      <c r="D28" s="367" t="str">
        <f>IFS(D$23="","",D$23="X","X",TRUE,D19*(D$23/100))</f>
        <v>X</v>
      </c>
      <c r="E28" s="451">
        <f t="shared" ref="E28:BP28" si="68">IFS(E$23="","",E$23="X","X",TRUE,E19*(E$23/100)/2)</f>
        <v>0</v>
      </c>
      <c r="F28" s="448">
        <f t="shared" si="68"/>
        <v>0</v>
      </c>
      <c r="G28" s="448">
        <f t="shared" si="68"/>
        <v>0</v>
      </c>
      <c r="H28" s="449">
        <f t="shared" si="68"/>
        <v>0</v>
      </c>
      <c r="I28" s="450" t="str">
        <f t="shared" si="68"/>
        <v>X</v>
      </c>
      <c r="J28" s="451">
        <f t="shared" si="68"/>
        <v>0</v>
      </c>
      <c r="K28" s="451">
        <f t="shared" si="68"/>
        <v>0</v>
      </c>
      <c r="L28" s="451">
        <f t="shared" si="68"/>
        <v>0</v>
      </c>
      <c r="M28" s="451">
        <f t="shared" si="68"/>
        <v>0</v>
      </c>
      <c r="N28" s="450" t="str">
        <f t="shared" si="68"/>
        <v>X</v>
      </c>
      <c r="O28" s="451">
        <f t="shared" si="68"/>
        <v>0</v>
      </c>
      <c r="P28" s="451">
        <f t="shared" si="68"/>
        <v>0</v>
      </c>
      <c r="Q28" s="451">
        <f t="shared" si="68"/>
        <v>0</v>
      </c>
      <c r="R28" s="451">
        <f t="shared" si="68"/>
        <v>0</v>
      </c>
      <c r="S28" s="450" t="str">
        <f t="shared" si="68"/>
        <v>X</v>
      </c>
      <c r="T28" s="451">
        <f t="shared" si="68"/>
        <v>0</v>
      </c>
      <c r="U28" s="451">
        <f t="shared" si="68"/>
        <v>0</v>
      </c>
      <c r="V28" s="451">
        <f t="shared" si="68"/>
        <v>0</v>
      </c>
      <c r="W28" s="451">
        <f t="shared" si="68"/>
        <v>0</v>
      </c>
      <c r="X28" s="450" t="str">
        <f t="shared" si="68"/>
        <v>X</v>
      </c>
      <c r="Y28" s="451">
        <f t="shared" si="68"/>
        <v>0</v>
      </c>
      <c r="Z28" s="451">
        <f t="shared" si="68"/>
        <v>0</v>
      </c>
      <c r="AA28" s="451">
        <f t="shared" si="68"/>
        <v>0</v>
      </c>
      <c r="AB28" s="451">
        <f t="shared" si="68"/>
        <v>0</v>
      </c>
      <c r="AC28" s="450" t="str">
        <f t="shared" si="68"/>
        <v>X</v>
      </c>
      <c r="AD28" s="451">
        <f t="shared" si="68"/>
        <v>0</v>
      </c>
      <c r="AE28" s="451">
        <f t="shared" si="68"/>
        <v>0</v>
      </c>
      <c r="AF28" s="451">
        <f t="shared" si="68"/>
        <v>0</v>
      </c>
      <c r="AG28" s="451">
        <f t="shared" si="68"/>
        <v>0</v>
      </c>
      <c r="AH28" s="450" t="str">
        <f t="shared" si="68"/>
        <v>X</v>
      </c>
      <c r="AI28" s="451">
        <f t="shared" si="68"/>
        <v>0</v>
      </c>
      <c r="AJ28" s="451">
        <f t="shared" si="68"/>
        <v>0</v>
      </c>
      <c r="AK28" s="451">
        <f t="shared" si="68"/>
        <v>0</v>
      </c>
      <c r="AL28" s="451">
        <f t="shared" si="68"/>
        <v>0</v>
      </c>
      <c r="AM28" s="450" t="str">
        <f t="shared" si="68"/>
        <v>X</v>
      </c>
      <c r="AN28" s="451">
        <f t="shared" si="68"/>
        <v>0</v>
      </c>
      <c r="AO28" s="451">
        <f t="shared" si="68"/>
        <v>0</v>
      </c>
      <c r="AP28" s="451">
        <f t="shared" si="68"/>
        <v>0</v>
      </c>
      <c r="AQ28" s="451">
        <f t="shared" si="68"/>
        <v>0</v>
      </c>
      <c r="AR28" s="450" t="str">
        <f t="shared" si="68"/>
        <v>X</v>
      </c>
      <c r="AS28" s="451">
        <f t="shared" si="68"/>
        <v>0</v>
      </c>
      <c r="AT28" s="451">
        <f t="shared" si="68"/>
        <v>0</v>
      </c>
      <c r="AU28" s="451">
        <f t="shared" si="68"/>
        <v>0</v>
      </c>
      <c r="AV28" s="451">
        <f t="shared" si="68"/>
        <v>0</v>
      </c>
      <c r="AW28" s="450" t="str">
        <f t="shared" si="68"/>
        <v>X</v>
      </c>
      <c r="AX28" s="451">
        <f t="shared" si="68"/>
        <v>0</v>
      </c>
      <c r="AY28" s="451">
        <f t="shared" si="68"/>
        <v>0</v>
      </c>
      <c r="AZ28" s="451">
        <f t="shared" si="68"/>
        <v>0</v>
      </c>
      <c r="BA28" s="451">
        <f t="shared" si="68"/>
        <v>0</v>
      </c>
      <c r="BB28" s="450" t="str">
        <f t="shared" si="68"/>
        <v>X</v>
      </c>
      <c r="BC28" s="451">
        <f t="shared" si="68"/>
        <v>0</v>
      </c>
      <c r="BD28" s="451">
        <f t="shared" si="68"/>
        <v>0</v>
      </c>
      <c r="BE28" s="451">
        <f t="shared" si="68"/>
        <v>0</v>
      </c>
      <c r="BF28" s="451">
        <f t="shared" si="68"/>
        <v>0</v>
      </c>
      <c r="BG28" s="450" t="str">
        <f t="shared" si="68"/>
        <v>X</v>
      </c>
      <c r="BH28" s="451">
        <f t="shared" si="68"/>
        <v>0</v>
      </c>
      <c r="BI28" s="451">
        <f t="shared" si="68"/>
        <v>0</v>
      </c>
      <c r="BJ28" s="451">
        <f t="shared" si="68"/>
        <v>0</v>
      </c>
      <c r="BK28" s="451">
        <f t="shared" si="68"/>
        <v>0</v>
      </c>
      <c r="BL28" s="450" t="str">
        <f t="shared" si="68"/>
        <v>X</v>
      </c>
      <c r="BM28" s="451">
        <f t="shared" si="68"/>
        <v>0</v>
      </c>
      <c r="BN28" s="451">
        <f t="shared" si="68"/>
        <v>0</v>
      </c>
      <c r="BO28" s="451">
        <f t="shared" si="68"/>
        <v>0</v>
      </c>
      <c r="BP28" s="451">
        <f t="shared" si="68"/>
        <v>0</v>
      </c>
    </row>
    <row r="29" ht="23.25" customHeight="1">
      <c r="A29" s="419"/>
      <c r="B29" s="445" t="s">
        <v>163</v>
      </c>
      <c r="C29" s="446"/>
      <c r="D29" s="367" t="str">
        <f>IFS(D$24="","",D$24="X","X",TRUE,D19*(D$24/100))</f>
        <v>X</v>
      </c>
      <c r="E29" s="447">
        <f t="shared" ref="E29:BP29" si="69">IFS(E$24="","",E$24="X","X",TRUE,E19*(E$24/100)/2)</f>
        <v>0</v>
      </c>
      <c r="F29" s="448">
        <f t="shared" si="69"/>
        <v>0</v>
      </c>
      <c r="G29" s="448">
        <f t="shared" si="69"/>
        <v>0</v>
      </c>
      <c r="H29" s="449">
        <f t="shared" si="69"/>
        <v>0</v>
      </c>
      <c r="I29" s="443" t="str">
        <f t="shared" si="69"/>
        <v>X</v>
      </c>
      <c r="J29" s="444">
        <f t="shared" si="69"/>
        <v>0</v>
      </c>
      <c r="K29" s="441">
        <f t="shared" si="69"/>
        <v>0</v>
      </c>
      <c r="L29" s="441">
        <f t="shared" si="69"/>
        <v>0</v>
      </c>
      <c r="M29" s="441">
        <f t="shared" si="69"/>
        <v>0</v>
      </c>
      <c r="N29" s="443" t="str">
        <f t="shared" si="69"/>
        <v>X</v>
      </c>
      <c r="O29" s="444">
        <f t="shared" si="69"/>
        <v>0</v>
      </c>
      <c r="P29" s="441">
        <f t="shared" si="69"/>
        <v>0</v>
      </c>
      <c r="Q29" s="441">
        <f t="shared" si="69"/>
        <v>0</v>
      </c>
      <c r="R29" s="441">
        <f t="shared" si="69"/>
        <v>0</v>
      </c>
      <c r="S29" s="443" t="str">
        <f t="shared" si="69"/>
        <v>X</v>
      </c>
      <c r="T29" s="444">
        <f t="shared" si="69"/>
        <v>0</v>
      </c>
      <c r="U29" s="441">
        <f t="shared" si="69"/>
        <v>0</v>
      </c>
      <c r="V29" s="441">
        <f t="shared" si="69"/>
        <v>0</v>
      </c>
      <c r="W29" s="441">
        <f t="shared" si="69"/>
        <v>0</v>
      </c>
      <c r="X29" s="443" t="str">
        <f t="shared" si="69"/>
        <v>X</v>
      </c>
      <c r="Y29" s="444">
        <f t="shared" si="69"/>
        <v>0</v>
      </c>
      <c r="Z29" s="441">
        <f t="shared" si="69"/>
        <v>0</v>
      </c>
      <c r="AA29" s="441">
        <f t="shared" si="69"/>
        <v>0</v>
      </c>
      <c r="AB29" s="441">
        <f t="shared" si="69"/>
        <v>0</v>
      </c>
      <c r="AC29" s="443" t="str">
        <f t="shared" si="69"/>
        <v>X</v>
      </c>
      <c r="AD29" s="444">
        <f t="shared" si="69"/>
        <v>0</v>
      </c>
      <c r="AE29" s="441">
        <f t="shared" si="69"/>
        <v>0</v>
      </c>
      <c r="AF29" s="441">
        <f t="shared" si="69"/>
        <v>0</v>
      </c>
      <c r="AG29" s="441">
        <f t="shared" si="69"/>
        <v>0</v>
      </c>
      <c r="AH29" s="443" t="str">
        <f t="shared" si="69"/>
        <v>X</v>
      </c>
      <c r="AI29" s="444">
        <f t="shared" si="69"/>
        <v>0</v>
      </c>
      <c r="AJ29" s="441">
        <f t="shared" si="69"/>
        <v>0</v>
      </c>
      <c r="AK29" s="441">
        <f t="shared" si="69"/>
        <v>0</v>
      </c>
      <c r="AL29" s="441">
        <f t="shared" si="69"/>
        <v>0</v>
      </c>
      <c r="AM29" s="443" t="str">
        <f t="shared" si="69"/>
        <v>X</v>
      </c>
      <c r="AN29" s="444">
        <f t="shared" si="69"/>
        <v>0</v>
      </c>
      <c r="AO29" s="441">
        <f t="shared" si="69"/>
        <v>0</v>
      </c>
      <c r="AP29" s="441">
        <f t="shared" si="69"/>
        <v>0</v>
      </c>
      <c r="AQ29" s="441">
        <f t="shared" si="69"/>
        <v>0</v>
      </c>
      <c r="AR29" s="443" t="str">
        <f t="shared" si="69"/>
        <v>X</v>
      </c>
      <c r="AS29" s="444">
        <f t="shared" si="69"/>
        <v>0</v>
      </c>
      <c r="AT29" s="441">
        <f t="shared" si="69"/>
        <v>0</v>
      </c>
      <c r="AU29" s="441">
        <f t="shared" si="69"/>
        <v>0</v>
      </c>
      <c r="AV29" s="441">
        <f t="shared" si="69"/>
        <v>0</v>
      </c>
      <c r="AW29" s="443" t="str">
        <f t="shared" si="69"/>
        <v>X</v>
      </c>
      <c r="AX29" s="444">
        <f t="shared" si="69"/>
        <v>0</v>
      </c>
      <c r="AY29" s="441">
        <f t="shared" si="69"/>
        <v>0</v>
      </c>
      <c r="AZ29" s="441">
        <f t="shared" si="69"/>
        <v>0</v>
      </c>
      <c r="BA29" s="441">
        <f t="shared" si="69"/>
        <v>0</v>
      </c>
      <c r="BB29" s="443" t="str">
        <f t="shared" si="69"/>
        <v>X</v>
      </c>
      <c r="BC29" s="444">
        <f t="shared" si="69"/>
        <v>0</v>
      </c>
      <c r="BD29" s="441">
        <f t="shared" si="69"/>
        <v>0</v>
      </c>
      <c r="BE29" s="441">
        <f t="shared" si="69"/>
        <v>0</v>
      </c>
      <c r="BF29" s="441">
        <f t="shared" si="69"/>
        <v>0</v>
      </c>
      <c r="BG29" s="443" t="str">
        <f t="shared" si="69"/>
        <v>X</v>
      </c>
      <c r="BH29" s="444">
        <f t="shared" si="69"/>
        <v>0</v>
      </c>
      <c r="BI29" s="441">
        <f t="shared" si="69"/>
        <v>0</v>
      </c>
      <c r="BJ29" s="441">
        <f t="shared" si="69"/>
        <v>0</v>
      </c>
      <c r="BK29" s="441">
        <f t="shared" si="69"/>
        <v>0</v>
      </c>
      <c r="BL29" s="443" t="str">
        <f t="shared" si="69"/>
        <v>X</v>
      </c>
      <c r="BM29" s="444">
        <f t="shared" si="69"/>
        <v>0</v>
      </c>
      <c r="BN29" s="441">
        <f t="shared" si="69"/>
        <v>0</v>
      </c>
      <c r="BO29" s="441">
        <f t="shared" si="69"/>
        <v>0</v>
      </c>
      <c r="BP29" s="441">
        <f t="shared" si="69"/>
        <v>0</v>
      </c>
    </row>
    <row r="30" ht="23.25" customHeight="1">
      <c r="A30" s="419"/>
      <c r="B30" s="445" t="s">
        <v>164</v>
      </c>
      <c r="C30" s="446"/>
      <c r="D30" s="367" t="str">
        <f>IFS(D$25="","",D$25="X","X",TRUE,D19*(D$25/100))</f>
        <v>X</v>
      </c>
      <c r="E30" s="447">
        <f t="shared" ref="E30:BP30" si="70">IFS(E$25="","",E$25="X","X",TRUE,E19*(E$25/100)/2)</f>
        <v>0</v>
      </c>
      <c r="F30" s="448">
        <f t="shared" si="70"/>
        <v>0</v>
      </c>
      <c r="G30" s="448">
        <f t="shared" si="70"/>
        <v>0</v>
      </c>
      <c r="H30" s="449">
        <f t="shared" si="70"/>
        <v>0</v>
      </c>
      <c r="I30" s="450" t="str">
        <f t="shared" si="70"/>
        <v>X</v>
      </c>
      <c r="J30" s="451">
        <f t="shared" si="70"/>
        <v>0</v>
      </c>
      <c r="K30" s="448">
        <f t="shared" si="70"/>
        <v>0</v>
      </c>
      <c r="L30" s="448">
        <f t="shared" si="70"/>
        <v>0</v>
      </c>
      <c r="M30" s="448">
        <f t="shared" si="70"/>
        <v>0</v>
      </c>
      <c r="N30" s="450" t="str">
        <f t="shared" si="70"/>
        <v>X</v>
      </c>
      <c r="O30" s="451">
        <f t="shared" si="70"/>
        <v>0</v>
      </c>
      <c r="P30" s="448">
        <f t="shared" si="70"/>
        <v>0</v>
      </c>
      <c r="Q30" s="448">
        <f t="shared" si="70"/>
        <v>0</v>
      </c>
      <c r="R30" s="448">
        <f t="shared" si="70"/>
        <v>0</v>
      </c>
      <c r="S30" s="450" t="str">
        <f t="shared" si="70"/>
        <v>X</v>
      </c>
      <c r="T30" s="451">
        <f t="shared" si="70"/>
        <v>0</v>
      </c>
      <c r="U30" s="448">
        <f t="shared" si="70"/>
        <v>0</v>
      </c>
      <c r="V30" s="448">
        <f t="shared" si="70"/>
        <v>0</v>
      </c>
      <c r="W30" s="448">
        <f t="shared" si="70"/>
        <v>0</v>
      </c>
      <c r="X30" s="450" t="str">
        <f t="shared" si="70"/>
        <v>X</v>
      </c>
      <c r="Y30" s="451">
        <f t="shared" si="70"/>
        <v>0</v>
      </c>
      <c r="Z30" s="448">
        <f t="shared" si="70"/>
        <v>0</v>
      </c>
      <c r="AA30" s="448">
        <f t="shared" si="70"/>
        <v>0</v>
      </c>
      <c r="AB30" s="448">
        <f t="shared" si="70"/>
        <v>0</v>
      </c>
      <c r="AC30" s="450" t="str">
        <f t="shared" si="70"/>
        <v>X</v>
      </c>
      <c r="AD30" s="451">
        <f t="shared" si="70"/>
        <v>0</v>
      </c>
      <c r="AE30" s="448">
        <f t="shared" si="70"/>
        <v>0</v>
      </c>
      <c r="AF30" s="448">
        <f t="shared" si="70"/>
        <v>0</v>
      </c>
      <c r="AG30" s="448">
        <f t="shared" si="70"/>
        <v>0</v>
      </c>
      <c r="AH30" s="450" t="str">
        <f t="shared" si="70"/>
        <v>X</v>
      </c>
      <c r="AI30" s="451">
        <f t="shared" si="70"/>
        <v>0</v>
      </c>
      <c r="AJ30" s="448">
        <f t="shared" si="70"/>
        <v>0</v>
      </c>
      <c r="AK30" s="448">
        <f t="shared" si="70"/>
        <v>0</v>
      </c>
      <c r="AL30" s="448">
        <f t="shared" si="70"/>
        <v>0</v>
      </c>
      <c r="AM30" s="450" t="str">
        <f t="shared" si="70"/>
        <v>X</v>
      </c>
      <c r="AN30" s="451">
        <f t="shared" si="70"/>
        <v>0</v>
      </c>
      <c r="AO30" s="448">
        <f t="shared" si="70"/>
        <v>0</v>
      </c>
      <c r="AP30" s="448">
        <f t="shared" si="70"/>
        <v>0</v>
      </c>
      <c r="AQ30" s="448">
        <f t="shared" si="70"/>
        <v>0</v>
      </c>
      <c r="AR30" s="450" t="str">
        <f t="shared" si="70"/>
        <v>X</v>
      </c>
      <c r="AS30" s="451">
        <f t="shared" si="70"/>
        <v>0</v>
      </c>
      <c r="AT30" s="448">
        <f t="shared" si="70"/>
        <v>0</v>
      </c>
      <c r="AU30" s="448">
        <f t="shared" si="70"/>
        <v>0</v>
      </c>
      <c r="AV30" s="448">
        <f t="shared" si="70"/>
        <v>0</v>
      </c>
      <c r="AW30" s="450" t="str">
        <f t="shared" si="70"/>
        <v>X</v>
      </c>
      <c r="AX30" s="451">
        <f t="shared" si="70"/>
        <v>0</v>
      </c>
      <c r="AY30" s="448">
        <f t="shared" si="70"/>
        <v>0</v>
      </c>
      <c r="AZ30" s="448">
        <f t="shared" si="70"/>
        <v>0</v>
      </c>
      <c r="BA30" s="448">
        <f t="shared" si="70"/>
        <v>0</v>
      </c>
      <c r="BB30" s="450" t="str">
        <f t="shared" si="70"/>
        <v>X</v>
      </c>
      <c r="BC30" s="451">
        <f t="shared" si="70"/>
        <v>0</v>
      </c>
      <c r="BD30" s="448">
        <f t="shared" si="70"/>
        <v>0</v>
      </c>
      <c r="BE30" s="448">
        <f t="shared" si="70"/>
        <v>0</v>
      </c>
      <c r="BF30" s="448">
        <f t="shared" si="70"/>
        <v>0</v>
      </c>
      <c r="BG30" s="450" t="str">
        <f t="shared" si="70"/>
        <v>X</v>
      </c>
      <c r="BH30" s="451">
        <f t="shared" si="70"/>
        <v>0</v>
      </c>
      <c r="BI30" s="448">
        <f t="shared" si="70"/>
        <v>0</v>
      </c>
      <c r="BJ30" s="448">
        <f t="shared" si="70"/>
        <v>0</v>
      </c>
      <c r="BK30" s="448">
        <f t="shared" si="70"/>
        <v>0</v>
      </c>
      <c r="BL30" s="450" t="str">
        <f t="shared" si="70"/>
        <v>X</v>
      </c>
      <c r="BM30" s="451">
        <f t="shared" si="70"/>
        <v>0</v>
      </c>
      <c r="BN30" s="448">
        <f t="shared" si="70"/>
        <v>0</v>
      </c>
      <c r="BO30" s="448">
        <f t="shared" si="70"/>
        <v>0</v>
      </c>
      <c r="BP30" s="448">
        <f t="shared" si="70"/>
        <v>0</v>
      </c>
    </row>
    <row r="31" ht="23.25" customHeight="1">
      <c r="A31" s="419"/>
      <c r="B31" s="452" t="s">
        <v>149</v>
      </c>
      <c r="C31" s="381"/>
      <c r="D31" s="453" t="s">
        <v>128</v>
      </c>
      <c r="E31" s="454"/>
      <c r="F31" s="455" t="str">
        <f t="shared" ref="F31:H31" si="71">E31</f>
        <v/>
      </c>
      <c r="G31" s="455" t="str">
        <f t="shared" si="71"/>
        <v/>
      </c>
      <c r="H31" s="455" t="str">
        <f t="shared" si="71"/>
        <v/>
      </c>
      <c r="I31" s="456" t="s">
        <v>128</v>
      </c>
      <c r="J31" s="455" t="str">
        <f>H31</f>
        <v/>
      </c>
      <c r="K31" s="455" t="str">
        <f t="shared" ref="K31:M31" si="72">J31</f>
        <v/>
      </c>
      <c r="L31" s="455" t="str">
        <f t="shared" si="72"/>
        <v/>
      </c>
      <c r="M31" s="455" t="str">
        <f t="shared" si="72"/>
        <v/>
      </c>
      <c r="N31" s="456" t="s">
        <v>128</v>
      </c>
      <c r="O31" s="455" t="str">
        <f>M31</f>
        <v/>
      </c>
      <c r="P31" s="455" t="str">
        <f t="shared" ref="P31:R31" si="73">O31</f>
        <v/>
      </c>
      <c r="Q31" s="455" t="str">
        <f t="shared" si="73"/>
        <v/>
      </c>
      <c r="R31" s="455" t="str">
        <f t="shared" si="73"/>
        <v/>
      </c>
      <c r="S31" s="456" t="s">
        <v>128</v>
      </c>
      <c r="T31" s="455" t="str">
        <f>R31</f>
        <v/>
      </c>
      <c r="U31" s="455" t="str">
        <f t="shared" ref="U31:W31" si="74">T31</f>
        <v/>
      </c>
      <c r="V31" s="455" t="str">
        <f t="shared" si="74"/>
        <v/>
      </c>
      <c r="W31" s="455" t="str">
        <f t="shared" si="74"/>
        <v/>
      </c>
      <c r="X31" s="456" t="s">
        <v>128</v>
      </c>
      <c r="Y31" s="455" t="str">
        <f>W31</f>
        <v/>
      </c>
      <c r="Z31" s="455" t="str">
        <f t="shared" ref="Z31:AB31" si="75">Y31</f>
        <v/>
      </c>
      <c r="AA31" s="455" t="str">
        <f t="shared" si="75"/>
        <v/>
      </c>
      <c r="AB31" s="455" t="str">
        <f t="shared" si="75"/>
        <v/>
      </c>
      <c r="AC31" s="456" t="s">
        <v>128</v>
      </c>
      <c r="AD31" s="455" t="str">
        <f>AB31</f>
        <v/>
      </c>
      <c r="AE31" s="455" t="str">
        <f t="shared" ref="AE31:AG31" si="76">AD31</f>
        <v/>
      </c>
      <c r="AF31" s="455" t="str">
        <f t="shared" si="76"/>
        <v/>
      </c>
      <c r="AG31" s="455" t="str">
        <f t="shared" si="76"/>
        <v/>
      </c>
      <c r="AH31" s="456" t="s">
        <v>128</v>
      </c>
      <c r="AI31" s="455" t="str">
        <f>AG31</f>
        <v/>
      </c>
      <c r="AJ31" s="455" t="str">
        <f t="shared" ref="AJ31:AL31" si="77">AI31</f>
        <v/>
      </c>
      <c r="AK31" s="455" t="str">
        <f t="shared" si="77"/>
        <v/>
      </c>
      <c r="AL31" s="455" t="str">
        <f t="shared" si="77"/>
        <v/>
      </c>
      <c r="AM31" s="456" t="s">
        <v>128</v>
      </c>
      <c r="AN31" s="455" t="str">
        <f>AL31</f>
        <v/>
      </c>
      <c r="AO31" s="455" t="str">
        <f t="shared" ref="AO31:AQ31" si="78">AN31</f>
        <v/>
      </c>
      <c r="AP31" s="455" t="str">
        <f t="shared" si="78"/>
        <v/>
      </c>
      <c r="AQ31" s="455" t="str">
        <f t="shared" si="78"/>
        <v/>
      </c>
      <c r="AR31" s="456" t="s">
        <v>128</v>
      </c>
      <c r="AS31" s="455" t="str">
        <f>AQ31</f>
        <v/>
      </c>
      <c r="AT31" s="455" t="str">
        <f t="shared" ref="AT31:AV31" si="79">AS31</f>
        <v/>
      </c>
      <c r="AU31" s="455" t="str">
        <f t="shared" si="79"/>
        <v/>
      </c>
      <c r="AV31" s="455" t="str">
        <f t="shared" si="79"/>
        <v/>
      </c>
      <c r="AW31" s="456" t="s">
        <v>128</v>
      </c>
      <c r="AX31" s="455" t="str">
        <f>AV31</f>
        <v/>
      </c>
      <c r="AY31" s="455" t="str">
        <f t="shared" ref="AY31:BA31" si="80">AX31</f>
        <v/>
      </c>
      <c r="AZ31" s="455" t="str">
        <f t="shared" si="80"/>
        <v/>
      </c>
      <c r="BA31" s="455" t="str">
        <f t="shared" si="80"/>
        <v/>
      </c>
      <c r="BB31" s="456" t="s">
        <v>128</v>
      </c>
      <c r="BC31" s="455" t="str">
        <f>BA31</f>
        <v/>
      </c>
      <c r="BD31" s="455" t="str">
        <f t="shared" ref="BD31:BF31" si="81">BC31</f>
        <v/>
      </c>
      <c r="BE31" s="455" t="str">
        <f t="shared" si="81"/>
        <v/>
      </c>
      <c r="BF31" s="455" t="str">
        <f t="shared" si="81"/>
        <v/>
      </c>
      <c r="BG31" s="456" t="s">
        <v>128</v>
      </c>
      <c r="BH31" s="455" t="str">
        <f>BF31</f>
        <v/>
      </c>
      <c r="BI31" s="455" t="str">
        <f t="shared" ref="BI31:BK31" si="82">BH31</f>
        <v/>
      </c>
      <c r="BJ31" s="455" t="str">
        <f t="shared" si="82"/>
        <v/>
      </c>
      <c r="BK31" s="455" t="str">
        <f t="shared" si="82"/>
        <v/>
      </c>
      <c r="BL31" s="456" t="s">
        <v>128</v>
      </c>
      <c r="BM31" s="455" t="str">
        <f>BK31</f>
        <v/>
      </c>
      <c r="BN31" s="455" t="str">
        <f t="shared" ref="BN31:BP31" si="83">BM31</f>
        <v/>
      </c>
      <c r="BO31" s="455" t="str">
        <f t="shared" si="83"/>
        <v/>
      </c>
      <c r="BP31" s="455" t="str">
        <f t="shared" si="83"/>
        <v/>
      </c>
    </row>
    <row r="32" ht="23.25" customHeight="1">
      <c r="A32" s="457"/>
      <c r="B32" s="458" t="s">
        <v>151</v>
      </c>
      <c r="C32" s="374"/>
      <c r="D32" s="375" t="s">
        <v>128</v>
      </c>
      <c r="E32" s="376"/>
      <c r="F32" s="377"/>
      <c r="G32" s="377"/>
      <c r="H32" s="459"/>
      <c r="I32" s="375" t="s">
        <v>128</v>
      </c>
      <c r="J32" s="376"/>
      <c r="K32" s="377"/>
      <c r="L32" s="377"/>
      <c r="M32" s="377"/>
      <c r="N32" s="375" t="s">
        <v>128</v>
      </c>
      <c r="O32" s="376"/>
      <c r="P32" s="377"/>
      <c r="Q32" s="377"/>
      <c r="R32" s="377"/>
      <c r="S32" s="375" t="s">
        <v>128</v>
      </c>
      <c r="T32" s="376"/>
      <c r="U32" s="377"/>
      <c r="V32" s="377"/>
      <c r="W32" s="377"/>
      <c r="X32" s="375" t="s">
        <v>128</v>
      </c>
      <c r="Y32" s="376"/>
      <c r="Z32" s="377"/>
      <c r="AA32" s="377"/>
      <c r="AB32" s="377"/>
      <c r="AC32" s="375" t="s">
        <v>128</v>
      </c>
      <c r="AD32" s="376"/>
      <c r="AE32" s="377"/>
      <c r="AF32" s="377"/>
      <c r="AG32" s="377"/>
      <c r="AH32" s="375" t="s">
        <v>128</v>
      </c>
      <c r="AI32" s="376"/>
      <c r="AJ32" s="377"/>
      <c r="AK32" s="377"/>
      <c r="AL32" s="377"/>
      <c r="AM32" s="375" t="s">
        <v>128</v>
      </c>
      <c r="AN32" s="376"/>
      <c r="AO32" s="377"/>
      <c r="AP32" s="377"/>
      <c r="AQ32" s="377"/>
      <c r="AR32" s="375" t="s">
        <v>128</v>
      </c>
      <c r="AS32" s="376"/>
      <c r="AT32" s="377"/>
      <c r="AU32" s="377"/>
      <c r="AV32" s="377"/>
      <c r="AW32" s="375" t="s">
        <v>128</v>
      </c>
      <c r="AX32" s="376"/>
      <c r="AY32" s="377"/>
      <c r="AZ32" s="377"/>
      <c r="BA32" s="377"/>
      <c r="BB32" s="375" t="s">
        <v>128</v>
      </c>
      <c r="BC32" s="376"/>
      <c r="BD32" s="377"/>
      <c r="BE32" s="377"/>
      <c r="BF32" s="377"/>
      <c r="BG32" s="375" t="s">
        <v>128</v>
      </c>
      <c r="BH32" s="376"/>
      <c r="BI32" s="377"/>
      <c r="BJ32" s="377"/>
      <c r="BK32" s="377"/>
      <c r="BL32" s="375" t="s">
        <v>128</v>
      </c>
      <c r="BM32" s="376"/>
      <c r="BN32" s="377"/>
      <c r="BO32" s="377"/>
      <c r="BP32" s="377"/>
    </row>
    <row r="33" ht="23.25" customHeight="1">
      <c r="A33" s="460" t="s">
        <v>165</v>
      </c>
      <c r="B33" s="461" t="s">
        <v>166</v>
      </c>
      <c r="C33" s="381"/>
      <c r="D33" s="462" t="s">
        <v>128</v>
      </c>
      <c r="E33" s="463">
        <f>(((0.0175*'Dados de Base'!$D$5*E26*('Dados de Base'!$D$7*0.5))+(0.0175*'Dados de Base'!$D$5*E27*('Dados de Base'!$D$7*0.65))+(0.0175*'Dados de Base'!$D$5*E28*('Dados de Base'!$D$7*0.8))+(0.0175*'Dados de Base'!$D$5*E29*('Dados de Base'!$D$7*0.9))+(0.0175*'Dados de Base'!$D$5*E30*('Dados de Base'!$D$7*1))+(0.0175*'Dados de Base'!$D$5*30*5.5*E16))/7)+'Dados de Base'!$J$6</f>
        <v>0</v>
      </c>
      <c r="F33" s="464">
        <f>(((0.0175*'Dados de Base'!$D$5*F26*('Dados de Base'!$D$7*0.5))+(0.0175*'Dados de Base'!$D$5*F27*('Dados de Base'!$D$7*0.65))+(0.0175*'Dados de Base'!$D$5*F28*('Dados de Base'!$D$7*0.8))+(0.0175*'Dados de Base'!$D$5*F29*('Dados de Base'!$D$7*0.9))+(0.0175*'Dados de Base'!$D$5*F30*('Dados de Base'!$D$7*1))+(0.0175*'Dados de Base'!$D$5*30*5.5*F16))/7)+'Dados de Base'!$J$6</f>
        <v>0</v>
      </c>
      <c r="G33" s="464">
        <f>(((0.0175*'Dados de Base'!$D$5*G26*('Dados de Base'!$D$7*0.5))+(0.0175*'Dados de Base'!$D$5*G27*('Dados de Base'!$D$7*0.65))+(0.0175*'Dados de Base'!$D$5*G28*('Dados de Base'!$D$7*0.8))+(0.0175*'Dados de Base'!$D$5*G29*('Dados de Base'!$D$7*0.9))+(0.0175*'Dados de Base'!$D$5*G30*('Dados de Base'!$D$7*1))+(0.0175*'Dados de Base'!$D$5*30*5.5*G16))/7)+'Dados de Base'!$J$6</f>
        <v>0</v>
      </c>
      <c r="H33" s="464">
        <f>(((0.0175*'Dados de Base'!$D$5*H26*('Dados de Base'!$D$7*0.5))+(0.0175*'Dados de Base'!$D$5*H27*('Dados de Base'!$D$7*0.65))+(0.0175*'Dados de Base'!$D$5*H28*('Dados de Base'!$D$7*0.8))+(0.0175*'Dados de Base'!$D$5*H29*('Dados de Base'!$D$7*0.9))+(0.0175*'Dados de Base'!$D$5*H30*('Dados de Base'!$D$7*1))+(0.0175*'Dados de Base'!$D$5*30*5.5*H16))/7)+'Dados de Base'!$J$6</f>
        <v>0</v>
      </c>
      <c r="I33" s="465" t="s">
        <v>128</v>
      </c>
      <c r="J33" s="464">
        <f>(((0.0175*'Dados de Base'!$D$5*J26*('Dados de Base'!$D$7*0.5))+(0.0175*'Dados de Base'!$D$5*J27*('Dados de Base'!$D$7*0.65))+(0.0175*'Dados de Base'!$D$5*J28*('Dados de Base'!$D$7*0.8))+(0.0175*'Dados de Base'!$D$5*J29*('Dados de Base'!$D$7*0.9))+(0.0175*'Dados de Base'!$D$5*J30*('Dados de Base'!$D$7*1))+(0.0175*'Dados de Base'!$D$5*30*5.5*J16))/7)+'Dados de Base'!$J$6</f>
        <v>0</v>
      </c>
      <c r="K33" s="464">
        <f>(((0.0175*'Dados de Base'!$D$5*K26*('Dados de Base'!$D$7*0.5))+(0.0175*'Dados de Base'!$D$5*K27*('Dados de Base'!$D$7*0.65))+(0.0175*'Dados de Base'!$D$5*K28*('Dados de Base'!$D$7*0.8))+(0.0175*'Dados de Base'!$D$5*K29*('Dados de Base'!$D$7*0.9))+(0.0175*'Dados de Base'!$D$5*K30*('Dados de Base'!$D$7*1))+(0.0175*'Dados de Base'!$D$5*30*5.5*K16))/7)+'Dados de Base'!$J$6</f>
        <v>0</v>
      </c>
      <c r="L33" s="464">
        <f>(((0.0175*'Dados de Base'!$D$5*L26*('Dados de Base'!$D$7*0.5))+(0.0175*'Dados de Base'!$D$5*L27*('Dados de Base'!$D$7*0.65))+(0.0175*'Dados de Base'!$D$5*L28*('Dados de Base'!$D$7*0.8))+(0.0175*'Dados de Base'!$D$5*L29*('Dados de Base'!$D$7*0.9))+(0.0175*'Dados de Base'!$D$5*L30*('Dados de Base'!$D$7*1))+(0.0175*'Dados de Base'!$D$5*30*5.5*L16))/7)+'Dados de Base'!$J$6</f>
        <v>0</v>
      </c>
      <c r="M33" s="464">
        <f>(((0.0175*'Dados de Base'!$D$5*M26*('Dados de Base'!$D$7*0.5))+(0.0175*'Dados de Base'!$D$5*M27*('Dados de Base'!$D$7*0.65))+(0.0175*'Dados de Base'!$D$5*M28*('Dados de Base'!$D$7*0.8))+(0.0175*'Dados de Base'!$D$5*M29*('Dados de Base'!$D$7*0.9))+(0.0175*'Dados de Base'!$D$5*M30*('Dados de Base'!$D$7*1))+(0.0175*'Dados de Base'!$D$5*30*5.5*M16))/7)+'Dados de Base'!$J$6</f>
        <v>0</v>
      </c>
      <c r="N33" s="465" t="s">
        <v>128</v>
      </c>
      <c r="O33" s="464">
        <f>(((0.0175*'Dados de Base'!$D$5*O26*('Dados de Base'!$D$7*0.5))+(0.0175*'Dados de Base'!$D$5*O27*('Dados de Base'!$D$7*0.65))+(0.0175*'Dados de Base'!$D$5*O28*('Dados de Base'!$D$7*0.8))+(0.0175*'Dados de Base'!$D$5*O29*('Dados de Base'!$D$7*0.9))+(0.0175*'Dados de Base'!$D$5*O30*('Dados de Base'!$D$7*1))+(0.0175*'Dados de Base'!$D$5*30*5.5*O16))/7)+'Dados de Base'!$J$6</f>
        <v>0</v>
      </c>
      <c r="P33" s="464">
        <f>(((0.0175*'Dados de Base'!$D$5*P26*('Dados de Base'!$D$7*0.5))+(0.0175*'Dados de Base'!$D$5*P27*('Dados de Base'!$D$7*0.65))+(0.0175*'Dados de Base'!$D$5*P28*('Dados de Base'!$D$7*0.8))+(0.0175*'Dados de Base'!$D$5*P29*('Dados de Base'!$D$7*0.9))+(0.0175*'Dados de Base'!$D$5*P30*('Dados de Base'!$D$7*1))+(0.0175*'Dados de Base'!$D$5*30*5.5*P16))/7)+'Dados de Base'!$J$6</f>
        <v>0</v>
      </c>
      <c r="Q33" s="464">
        <f>(((0.0175*'Dados de Base'!$D$5*Q26*('Dados de Base'!$D$7*0.5))+(0.0175*'Dados de Base'!$D$5*Q27*('Dados de Base'!$D$7*0.65))+(0.0175*'Dados de Base'!$D$5*Q28*('Dados de Base'!$D$7*0.8))+(0.0175*'Dados de Base'!$D$5*Q29*('Dados de Base'!$D$7*0.9))+(0.0175*'Dados de Base'!$D$5*Q30*('Dados de Base'!$D$7*1))+(0.0175*'Dados de Base'!$D$5*30*5.5*Q16))/7)+'Dados de Base'!$J$6</f>
        <v>0</v>
      </c>
      <c r="R33" s="464">
        <f>(((0.0175*'Dados de Base'!$D$5*R26*('Dados de Base'!$D$7*0.5))+(0.0175*'Dados de Base'!$D$5*R27*('Dados de Base'!$D$7*0.65))+(0.0175*'Dados de Base'!$D$5*R28*('Dados de Base'!$D$7*0.8))+(0.0175*'Dados de Base'!$D$5*R29*('Dados de Base'!$D$7*0.9))+(0.0175*'Dados de Base'!$D$5*R30*('Dados de Base'!$D$7*1))+(0.0175*'Dados de Base'!$D$5*30*5.5*R16))/7)+'Dados de Base'!$J$6</f>
        <v>0</v>
      </c>
      <c r="S33" s="465" t="s">
        <v>128</v>
      </c>
      <c r="T33" s="464">
        <f>(((0.0175*'Dados de Base'!$D$5*T26*('Dados de Base'!$D$7*0.5))+(0.0175*'Dados de Base'!$D$5*T27*('Dados de Base'!$D$7*0.65))+(0.0175*'Dados de Base'!$D$5*T28*('Dados de Base'!$D$7*0.8))+(0.0175*'Dados de Base'!$D$5*T29*('Dados de Base'!$D$7*0.9))+(0.0175*'Dados de Base'!$D$5*T30*('Dados de Base'!$D$7*1))+(0.0175*'Dados de Base'!$D$5*30*5.5*T16))/7)+'Dados de Base'!$J$6</f>
        <v>0</v>
      </c>
      <c r="U33" s="464">
        <f>(((0.0175*'Dados de Base'!$D$5*U26*('Dados de Base'!$D$7*0.5))+(0.0175*'Dados de Base'!$D$5*U27*('Dados de Base'!$D$7*0.65))+(0.0175*'Dados de Base'!$D$5*U28*('Dados de Base'!$D$7*0.8))+(0.0175*'Dados de Base'!$D$5*U29*('Dados de Base'!$D$7*0.9))+(0.0175*'Dados de Base'!$D$5*U30*('Dados de Base'!$D$7*1))+(0.0175*'Dados de Base'!$D$5*30*5.5*U16))/7)+'Dados de Base'!$J$6</f>
        <v>0</v>
      </c>
      <c r="V33" s="464">
        <f>(((0.0175*'Dados de Base'!$D$5*V26*('Dados de Base'!$D$7*0.5))+(0.0175*'Dados de Base'!$D$5*V27*('Dados de Base'!$D$7*0.65))+(0.0175*'Dados de Base'!$D$5*V28*('Dados de Base'!$D$7*0.8))+(0.0175*'Dados de Base'!$D$5*V29*('Dados de Base'!$D$7*0.9))+(0.0175*'Dados de Base'!$D$5*V30*('Dados de Base'!$D$7*1))+(0.0175*'Dados de Base'!$D$5*30*5.5*V16))/7)+'Dados de Base'!$J$6</f>
        <v>0</v>
      </c>
      <c r="W33" s="464">
        <f>(((0.0175*'Dados de Base'!$D$5*W26*('Dados de Base'!$D$7*0.5))+(0.0175*'Dados de Base'!$D$5*W27*('Dados de Base'!$D$7*0.65))+(0.0175*'Dados de Base'!$D$5*W28*('Dados de Base'!$D$7*0.8))+(0.0175*'Dados de Base'!$D$5*W29*('Dados de Base'!$D$7*0.9))+(0.0175*'Dados de Base'!$D$5*W30*('Dados de Base'!$D$7*1))+(0.0175*'Dados de Base'!$D$5*30*5.5*W16))/7)+'Dados de Base'!$J$6</f>
        <v>0</v>
      </c>
      <c r="X33" s="465" t="s">
        <v>128</v>
      </c>
      <c r="Y33" s="464">
        <f>(((0.0175*'Dados de Base'!$D$5*Y26*('Dados de Base'!$D$7*0.5))+(0.0175*'Dados de Base'!$D$5*Y27*('Dados de Base'!$D$7*0.65))+(0.0175*'Dados de Base'!$D$5*Y28*('Dados de Base'!$D$7*0.8))+(0.0175*'Dados de Base'!$D$5*Y29*('Dados de Base'!$D$7*0.9))+(0.0175*'Dados de Base'!$D$5*Y30*('Dados de Base'!$D$7*1))+(0.0175*'Dados de Base'!$D$5*30*5.5*Y16))/7)+'Dados de Base'!$J$6</f>
        <v>0</v>
      </c>
      <c r="Z33" s="464">
        <f>(((0.0175*'Dados de Base'!$D$5*Z26*('Dados de Base'!$D$7*0.5))+(0.0175*'Dados de Base'!$D$5*Z27*('Dados de Base'!$D$7*0.65))+(0.0175*'Dados de Base'!$D$5*Z28*('Dados de Base'!$D$7*0.8))+(0.0175*'Dados de Base'!$D$5*Z29*('Dados de Base'!$D$7*0.9))+(0.0175*'Dados de Base'!$D$5*Z30*('Dados de Base'!$D$7*1))+(0.0175*'Dados de Base'!$D$5*30*5.5*Z16))/7)+'Dados de Base'!$J$6</f>
        <v>0</v>
      </c>
      <c r="AA33" s="464">
        <f>(((0.0175*'Dados de Base'!$D$5*AA26*('Dados de Base'!$D$7*0.5))+(0.0175*'Dados de Base'!$D$5*AA27*('Dados de Base'!$D$7*0.65))+(0.0175*'Dados de Base'!$D$5*AA28*('Dados de Base'!$D$7*0.8))+(0.0175*'Dados de Base'!$D$5*AA29*('Dados de Base'!$D$7*0.9))+(0.0175*'Dados de Base'!$D$5*AA30*('Dados de Base'!$D$7*1))+(0.0175*'Dados de Base'!$D$5*30*5.5*AA16))/7)+'Dados de Base'!$J$6</f>
        <v>0</v>
      </c>
      <c r="AB33" s="464">
        <f>(((0.0175*'Dados de Base'!$D$5*AB26*('Dados de Base'!$D$7*0.5))+(0.0175*'Dados de Base'!$D$5*AB27*('Dados de Base'!$D$7*0.65))+(0.0175*'Dados de Base'!$D$5*AB28*('Dados de Base'!$D$7*0.8))+(0.0175*'Dados de Base'!$D$5*AB29*('Dados de Base'!$D$7*0.9))+(0.0175*'Dados de Base'!$D$5*AB30*('Dados de Base'!$D$7*1))+(0.0175*'Dados de Base'!$D$5*30*5.5*AB16))/7)+'Dados de Base'!$J$6</f>
        <v>0</v>
      </c>
      <c r="AC33" s="465" t="s">
        <v>128</v>
      </c>
      <c r="AD33" s="464">
        <f>(((0.0175*'Dados de Base'!$D$5*AD26*('Dados de Base'!$D$7*0.5))+(0.0175*'Dados de Base'!$D$5*AD27*('Dados de Base'!$D$7*0.65))+(0.0175*'Dados de Base'!$D$5*AD28*('Dados de Base'!$D$7*0.8))+(0.0175*'Dados de Base'!$D$5*AD29*('Dados de Base'!$D$7*0.9))+(0.0175*'Dados de Base'!$D$5*AD30*('Dados de Base'!$D$7*1))+(0.0175*'Dados de Base'!$D$5*30*5.5*AD16))/7)+'Dados de Base'!$J$6</f>
        <v>0</v>
      </c>
      <c r="AE33" s="464">
        <f>(((0.0175*'Dados de Base'!$D$5*AE26*('Dados de Base'!$D$7*0.5))+(0.0175*'Dados de Base'!$D$5*AE27*('Dados de Base'!$D$7*0.65))+(0.0175*'Dados de Base'!$D$5*AE28*('Dados de Base'!$D$7*0.8))+(0.0175*'Dados de Base'!$D$5*AE29*('Dados de Base'!$D$7*0.9))+(0.0175*'Dados de Base'!$D$5*AE30*('Dados de Base'!$D$7*1))+(0.0175*'Dados de Base'!$D$5*30*5.5*AE16))/7)+'Dados de Base'!$J$6</f>
        <v>0</v>
      </c>
      <c r="AF33" s="464">
        <f>(((0.0175*'Dados de Base'!$D$5*AF26*('Dados de Base'!$D$7*0.5))+(0.0175*'Dados de Base'!$D$5*AF27*('Dados de Base'!$D$7*0.65))+(0.0175*'Dados de Base'!$D$5*AF28*('Dados de Base'!$D$7*0.8))+(0.0175*'Dados de Base'!$D$5*AF29*('Dados de Base'!$D$7*0.9))+(0.0175*'Dados de Base'!$D$5*AF30*('Dados de Base'!$D$7*1))+(0.0175*'Dados de Base'!$D$5*30*5.5*AF16))/7)+'Dados de Base'!$J$6</f>
        <v>0</v>
      </c>
      <c r="AG33" s="464">
        <f>(((0.0175*'Dados de Base'!$D$5*AG26*('Dados de Base'!$D$7*0.5))+(0.0175*'Dados de Base'!$D$5*AG27*('Dados de Base'!$D$7*0.65))+(0.0175*'Dados de Base'!$D$5*AG28*('Dados de Base'!$D$7*0.8))+(0.0175*'Dados de Base'!$D$5*AG29*('Dados de Base'!$D$7*0.9))+(0.0175*'Dados de Base'!$D$5*AG30*('Dados de Base'!$D$7*1))+(0.0175*'Dados de Base'!$D$5*30*5.5*AG16))/7)+'Dados de Base'!$J$6</f>
        <v>0</v>
      </c>
      <c r="AH33" s="465" t="s">
        <v>128</v>
      </c>
      <c r="AI33" s="464">
        <f>(((0.0175*'Dados de Base'!$D$5*AI26*('Dados de Base'!$D$7*0.5))+(0.0175*'Dados de Base'!$D$5*AI27*('Dados de Base'!$D$7*0.65))+(0.0175*'Dados de Base'!$D$5*AI28*('Dados de Base'!$D$7*0.8))+(0.0175*'Dados de Base'!$D$5*AI29*('Dados de Base'!$D$7*0.9))+(0.0175*'Dados de Base'!$D$5*AI30*('Dados de Base'!$D$7*1))+(0.0175*'Dados de Base'!$D$5*30*5.5*AI16))/7)+'Dados de Base'!$J$6</f>
        <v>0</v>
      </c>
      <c r="AJ33" s="464">
        <f>(((0.0175*'Dados de Base'!$D$5*AJ26*('Dados de Base'!$D$7*0.5))+(0.0175*'Dados de Base'!$D$5*AJ27*('Dados de Base'!$D$7*0.65))+(0.0175*'Dados de Base'!$D$5*AJ28*('Dados de Base'!$D$7*0.8))+(0.0175*'Dados de Base'!$D$5*AJ29*('Dados de Base'!$D$7*0.9))+(0.0175*'Dados de Base'!$D$5*AJ30*('Dados de Base'!$D$7*1))+(0.0175*'Dados de Base'!$D$5*30*5.5*AJ16))/7)+'Dados de Base'!$J$6</f>
        <v>0</v>
      </c>
      <c r="AK33" s="464">
        <f>(((0.0175*'Dados de Base'!$D$5*AK26*('Dados de Base'!$D$7*0.5))+(0.0175*'Dados de Base'!$D$5*AK27*('Dados de Base'!$D$7*0.65))+(0.0175*'Dados de Base'!$D$5*AK28*('Dados de Base'!$D$7*0.8))+(0.0175*'Dados de Base'!$D$5*AK29*('Dados de Base'!$D$7*0.9))+(0.0175*'Dados de Base'!$D$5*AK30*('Dados de Base'!$D$7*1))+(0.0175*'Dados de Base'!$D$5*30*5.5*AK16))/7)+'Dados de Base'!$J$6</f>
        <v>0</v>
      </c>
      <c r="AL33" s="464">
        <f>(((0.0175*'Dados de Base'!$D$5*AL26*('Dados de Base'!$D$7*0.5))+(0.0175*'Dados de Base'!$D$5*AL27*('Dados de Base'!$D$7*0.65))+(0.0175*'Dados de Base'!$D$5*AL28*('Dados de Base'!$D$7*0.8))+(0.0175*'Dados de Base'!$D$5*AL29*('Dados de Base'!$D$7*0.9))+(0.0175*'Dados de Base'!$D$5*AL30*('Dados de Base'!$D$7*1))+(0.0175*'Dados de Base'!$D$5*30*5.5*AL16))/7)+'Dados de Base'!$J$6</f>
        <v>0</v>
      </c>
      <c r="AM33" s="465" t="s">
        <v>128</v>
      </c>
      <c r="AN33" s="464">
        <f>(((0.0175*'Dados de Base'!$D$5*AN26*('Dados de Base'!$D$7*0.5))+(0.0175*'Dados de Base'!$D$5*AN27*('Dados de Base'!$D$7*0.65))+(0.0175*'Dados de Base'!$D$5*AN28*('Dados de Base'!$D$7*0.8))+(0.0175*'Dados de Base'!$D$5*AN29*('Dados de Base'!$D$7*0.9))+(0.0175*'Dados de Base'!$D$5*AN30*('Dados de Base'!$D$7*1))+(0.0175*'Dados de Base'!$D$5*30*5.5*AN16))/7)+'Dados de Base'!$J$6</f>
        <v>0</v>
      </c>
      <c r="AO33" s="464">
        <f>(((0.0175*'Dados de Base'!$D$5*AO26*('Dados de Base'!$D$7*0.5))+(0.0175*'Dados de Base'!$D$5*AO27*('Dados de Base'!$D$7*0.65))+(0.0175*'Dados de Base'!$D$5*AO28*('Dados de Base'!$D$7*0.8))+(0.0175*'Dados de Base'!$D$5*AO29*('Dados de Base'!$D$7*0.9))+(0.0175*'Dados de Base'!$D$5*AO30*('Dados de Base'!$D$7*1))+(0.0175*'Dados de Base'!$D$5*30*5.5*AO16))/7)+'Dados de Base'!$J$6</f>
        <v>0</v>
      </c>
      <c r="AP33" s="464">
        <f>(((0.0175*'Dados de Base'!$D$5*AP26*('Dados de Base'!$D$7*0.5))+(0.0175*'Dados de Base'!$D$5*AP27*('Dados de Base'!$D$7*0.65))+(0.0175*'Dados de Base'!$D$5*AP28*('Dados de Base'!$D$7*0.8))+(0.0175*'Dados de Base'!$D$5*AP29*('Dados de Base'!$D$7*0.9))+(0.0175*'Dados de Base'!$D$5*AP30*('Dados de Base'!$D$7*1))+(0.0175*'Dados de Base'!$D$5*30*5.5*AP16))/7)+'Dados de Base'!$J$6</f>
        <v>0</v>
      </c>
      <c r="AQ33" s="464">
        <f>(((0.0175*'Dados de Base'!$D$5*AQ26*('Dados de Base'!$D$7*0.5))+(0.0175*'Dados de Base'!$D$5*AQ27*('Dados de Base'!$D$7*0.65))+(0.0175*'Dados de Base'!$D$5*AQ28*('Dados de Base'!$D$7*0.8))+(0.0175*'Dados de Base'!$D$5*AQ29*('Dados de Base'!$D$7*0.9))+(0.0175*'Dados de Base'!$D$5*AQ30*('Dados de Base'!$D$7*1))+(0.0175*'Dados de Base'!$D$5*30*5.5*AQ16))/7)+'Dados de Base'!$J$6</f>
        <v>0</v>
      </c>
      <c r="AR33" s="465" t="s">
        <v>128</v>
      </c>
      <c r="AS33" s="464">
        <f>(((0.0175*'Dados de Base'!$D$5*AS26*('Dados de Base'!$D$7*0.5))+(0.0175*'Dados de Base'!$D$5*AS27*('Dados de Base'!$D$7*0.65))+(0.0175*'Dados de Base'!$D$5*AS28*('Dados de Base'!$D$7*0.8))+(0.0175*'Dados de Base'!$D$5*AS29*('Dados de Base'!$D$7*0.9))+(0.0175*'Dados de Base'!$D$5*AS30*('Dados de Base'!$D$7*1))+(0.0175*'Dados de Base'!$D$5*30*5.5*AS16))/7)+'Dados de Base'!$J$6</f>
        <v>0</v>
      </c>
      <c r="AT33" s="464">
        <f>(((0.0175*'Dados de Base'!$D$5*AT26*('Dados de Base'!$D$7*0.5))+(0.0175*'Dados de Base'!$D$5*AT27*('Dados de Base'!$D$7*0.65))+(0.0175*'Dados de Base'!$D$5*AT28*('Dados de Base'!$D$7*0.8))+(0.0175*'Dados de Base'!$D$5*AT29*('Dados de Base'!$D$7*0.9))+(0.0175*'Dados de Base'!$D$5*AT30*('Dados de Base'!$D$7*1))+(0.0175*'Dados de Base'!$D$5*30*5.5*AT16))/7)+'Dados de Base'!$J$6</f>
        <v>0</v>
      </c>
      <c r="AU33" s="464">
        <f>(((0.0175*'Dados de Base'!$D$5*AU26*('Dados de Base'!$D$7*0.5))+(0.0175*'Dados de Base'!$D$5*AU27*('Dados de Base'!$D$7*0.65))+(0.0175*'Dados de Base'!$D$5*AU28*('Dados de Base'!$D$7*0.8))+(0.0175*'Dados de Base'!$D$5*AU29*('Dados de Base'!$D$7*0.9))+(0.0175*'Dados de Base'!$D$5*AU30*('Dados de Base'!$D$7*1))+(0.0175*'Dados de Base'!$D$5*30*5.5*AU16))/7)+'Dados de Base'!$J$6</f>
        <v>0</v>
      </c>
      <c r="AV33" s="464">
        <f>(((0.0175*'Dados de Base'!$D$5*AV26*('Dados de Base'!$D$7*0.5))+(0.0175*'Dados de Base'!$D$5*AV27*('Dados de Base'!$D$7*0.65))+(0.0175*'Dados de Base'!$D$5*AV28*('Dados de Base'!$D$7*0.8))+(0.0175*'Dados de Base'!$D$5*AV29*('Dados de Base'!$D$7*0.9))+(0.0175*'Dados de Base'!$D$5*AV30*('Dados de Base'!$D$7*1))+(0.0175*'Dados de Base'!$D$5*30*5.5*AV16))/7)+'Dados de Base'!$J$6</f>
        <v>0</v>
      </c>
      <c r="AW33" s="465" t="s">
        <v>128</v>
      </c>
      <c r="AX33" s="464">
        <f>(((0.0175*'Dados de Base'!$D$5*AX26*('Dados de Base'!$D$7*0.5))+(0.0175*'Dados de Base'!$D$5*AX27*('Dados de Base'!$D$7*0.65))+(0.0175*'Dados de Base'!$D$5*AX28*('Dados de Base'!$D$7*0.8))+(0.0175*'Dados de Base'!$D$5*AX29*('Dados de Base'!$D$7*0.9))+(0.0175*'Dados de Base'!$D$5*AX30*('Dados de Base'!$D$7*1))+(0.0175*'Dados de Base'!$D$5*30*5.5*AX16))/7)+'Dados de Base'!$J$6</f>
        <v>0</v>
      </c>
      <c r="AY33" s="464">
        <f>(((0.0175*'Dados de Base'!$D$5*AY26*('Dados de Base'!$D$7*0.5))+(0.0175*'Dados de Base'!$D$5*AY27*('Dados de Base'!$D$7*0.65))+(0.0175*'Dados de Base'!$D$5*AY28*('Dados de Base'!$D$7*0.8))+(0.0175*'Dados de Base'!$D$5*AY29*('Dados de Base'!$D$7*0.9))+(0.0175*'Dados de Base'!$D$5*AY30*('Dados de Base'!$D$7*1))+(0.0175*'Dados de Base'!$D$5*30*5.5*AY16))/7)+'Dados de Base'!$J$6</f>
        <v>0</v>
      </c>
      <c r="AZ33" s="464">
        <f>(((0.0175*'Dados de Base'!$D$5*AZ26*('Dados de Base'!$D$7*0.5))+(0.0175*'Dados de Base'!$D$5*AZ27*('Dados de Base'!$D$7*0.65))+(0.0175*'Dados de Base'!$D$5*AZ28*('Dados de Base'!$D$7*0.8))+(0.0175*'Dados de Base'!$D$5*AZ29*('Dados de Base'!$D$7*0.9))+(0.0175*'Dados de Base'!$D$5*AZ30*('Dados de Base'!$D$7*1))+(0.0175*'Dados de Base'!$D$5*30*5.5*AZ16))/7)+'Dados de Base'!$J$6</f>
        <v>0</v>
      </c>
      <c r="BA33" s="464">
        <f>(((0.0175*'Dados de Base'!$D$5*BA26*('Dados de Base'!$D$7*0.5))+(0.0175*'Dados de Base'!$D$5*BA27*('Dados de Base'!$D$7*0.65))+(0.0175*'Dados de Base'!$D$5*BA28*('Dados de Base'!$D$7*0.8))+(0.0175*'Dados de Base'!$D$5*BA29*('Dados de Base'!$D$7*0.9))+(0.0175*'Dados de Base'!$D$5*BA30*('Dados de Base'!$D$7*1))+(0.0175*'Dados de Base'!$D$5*30*5.5*BA16))/7)+'Dados de Base'!$J$6</f>
        <v>0</v>
      </c>
      <c r="BB33" s="465" t="s">
        <v>128</v>
      </c>
      <c r="BC33" s="464">
        <f>(((0.0175*'Dados de Base'!$D$5*BC26*('Dados de Base'!$D$7*0.5))+(0.0175*'Dados de Base'!$D$5*BC27*('Dados de Base'!$D$7*0.65))+(0.0175*'Dados de Base'!$D$5*BC28*('Dados de Base'!$D$7*0.8))+(0.0175*'Dados de Base'!$D$5*BC29*('Dados de Base'!$D$7*0.9))+(0.0175*'Dados de Base'!$D$5*BC30*('Dados de Base'!$D$7*1))+(0.0175*'Dados de Base'!$D$5*30*5.5*BC16))/7)+'Dados de Base'!$J$6</f>
        <v>0</v>
      </c>
      <c r="BD33" s="464">
        <f>(((0.0175*'Dados de Base'!$D$5*BD26*('Dados de Base'!$D$7*0.5))+(0.0175*'Dados de Base'!$D$5*BD27*('Dados de Base'!$D$7*0.65))+(0.0175*'Dados de Base'!$D$5*BD28*('Dados de Base'!$D$7*0.8))+(0.0175*'Dados de Base'!$D$5*BD29*('Dados de Base'!$D$7*0.9))+(0.0175*'Dados de Base'!$D$5*BD30*('Dados de Base'!$D$7*1))+(0.0175*'Dados de Base'!$D$5*30*5.5*BD16))/7)+'Dados de Base'!$J$6</f>
        <v>0</v>
      </c>
      <c r="BE33" s="464">
        <f>(((0.0175*'Dados de Base'!$D$5*BE26*('Dados de Base'!$D$7*0.5))+(0.0175*'Dados de Base'!$D$5*BE27*('Dados de Base'!$D$7*0.65))+(0.0175*'Dados de Base'!$D$5*BE28*('Dados de Base'!$D$7*0.8))+(0.0175*'Dados de Base'!$D$5*BE29*('Dados de Base'!$D$7*0.9))+(0.0175*'Dados de Base'!$D$5*BE30*('Dados de Base'!$D$7*1))+(0.0175*'Dados de Base'!$D$5*30*5.5*BE16))/7)+'Dados de Base'!$J$6</f>
        <v>0</v>
      </c>
      <c r="BF33" s="464">
        <f>(((0.0175*'Dados de Base'!$D$5*BF26*('Dados de Base'!$D$7*0.5))+(0.0175*'Dados de Base'!$D$5*BF27*('Dados de Base'!$D$7*0.65))+(0.0175*'Dados de Base'!$D$5*BF28*('Dados de Base'!$D$7*0.8))+(0.0175*'Dados de Base'!$D$5*BF29*('Dados de Base'!$D$7*0.9))+(0.0175*'Dados de Base'!$D$5*BF30*('Dados de Base'!$D$7*1))+(0.0175*'Dados de Base'!$D$5*30*5.5*BF16))/7)+'Dados de Base'!$J$6</f>
        <v>0</v>
      </c>
      <c r="BG33" s="465" t="s">
        <v>128</v>
      </c>
      <c r="BH33" s="464">
        <f>(((0.0175*'Dados de Base'!$D$5*BH26*('Dados de Base'!$D$7*0.5))+(0.0175*'Dados de Base'!$D$5*BH27*('Dados de Base'!$D$7*0.65))+(0.0175*'Dados de Base'!$D$5*BH28*('Dados de Base'!$D$7*0.8))+(0.0175*'Dados de Base'!$D$5*BH29*('Dados de Base'!$D$7*0.9))+(0.0175*'Dados de Base'!$D$5*BH30*('Dados de Base'!$D$7*1))+(0.0175*'Dados de Base'!$D$5*30*5.5*BH16))/7)+'Dados de Base'!$J$6</f>
        <v>0</v>
      </c>
      <c r="BI33" s="464">
        <f>(((0.0175*'Dados de Base'!$D$5*BI26*('Dados de Base'!$D$7*0.5))+(0.0175*'Dados de Base'!$D$5*BI27*('Dados de Base'!$D$7*0.65))+(0.0175*'Dados de Base'!$D$5*BI28*('Dados de Base'!$D$7*0.8))+(0.0175*'Dados de Base'!$D$5*BI29*('Dados de Base'!$D$7*0.9))+(0.0175*'Dados de Base'!$D$5*BI30*('Dados de Base'!$D$7*1))+(0.0175*'Dados de Base'!$D$5*30*5.5*BI16))/7)+'Dados de Base'!$J$6</f>
        <v>0</v>
      </c>
      <c r="BJ33" s="464">
        <f>(((0.0175*'Dados de Base'!$D$5*BJ26*('Dados de Base'!$D$7*0.5))+(0.0175*'Dados de Base'!$D$5*BJ27*('Dados de Base'!$D$7*0.65))+(0.0175*'Dados de Base'!$D$5*BJ28*('Dados de Base'!$D$7*0.8))+(0.0175*'Dados de Base'!$D$5*BJ29*('Dados de Base'!$D$7*0.9))+(0.0175*'Dados de Base'!$D$5*BJ30*('Dados de Base'!$D$7*1))+(0.0175*'Dados de Base'!$D$5*30*5.5*BJ16))/7)+'Dados de Base'!$J$6</f>
        <v>0</v>
      </c>
      <c r="BK33" s="464">
        <f>(((0.0175*'Dados de Base'!$D$5*BK26*('Dados de Base'!$D$7*0.5))+(0.0175*'Dados de Base'!$D$5*BK27*('Dados de Base'!$D$7*0.65))+(0.0175*'Dados de Base'!$D$5*BK28*('Dados de Base'!$D$7*0.8))+(0.0175*'Dados de Base'!$D$5*BK29*('Dados de Base'!$D$7*0.9))+(0.0175*'Dados de Base'!$D$5*BK30*('Dados de Base'!$D$7*1))+(0.0175*'Dados de Base'!$D$5*30*5.5*BK16))/7)+'Dados de Base'!$J$6</f>
        <v>0</v>
      </c>
      <c r="BL33" s="465" t="s">
        <v>128</v>
      </c>
      <c r="BM33" s="464">
        <f>(((0.0175*'Dados de Base'!$D$5*BM26*('Dados de Base'!$D$7*0.5))+(0.0175*'Dados de Base'!$D$5*BM27*('Dados de Base'!$D$7*0.65))+(0.0175*'Dados de Base'!$D$5*BM28*('Dados de Base'!$D$7*0.8))+(0.0175*'Dados de Base'!$D$5*BM29*('Dados de Base'!$D$7*0.9))+(0.0175*'Dados de Base'!$D$5*BM30*('Dados de Base'!$D$7*1))+(0.0175*'Dados de Base'!$D$5*30*5.5*BM16))/7)+'Dados de Base'!$J$6</f>
        <v>0</v>
      </c>
      <c r="BN33" s="464">
        <f>(((0.0175*'Dados de Base'!$D$5*BN26*('Dados de Base'!$D$7*0.5))+(0.0175*'Dados de Base'!$D$5*BN27*('Dados de Base'!$D$7*0.65))+(0.0175*'Dados de Base'!$D$5*BN28*('Dados de Base'!$D$7*0.8))+(0.0175*'Dados de Base'!$D$5*BN29*('Dados de Base'!$D$7*0.9))+(0.0175*'Dados de Base'!$D$5*BN30*('Dados de Base'!$D$7*1))+(0.0175*'Dados de Base'!$D$5*30*5.5*BN16))/7)+'Dados de Base'!$J$6</f>
        <v>0</v>
      </c>
      <c r="BO33" s="464">
        <f>(((0.0175*'Dados de Base'!$D$5*BO26*('Dados de Base'!$D$7*0.5))+(0.0175*'Dados de Base'!$D$5*BO27*('Dados de Base'!$D$7*0.65))+(0.0175*'Dados de Base'!$D$5*BO28*('Dados de Base'!$D$7*0.8))+(0.0175*'Dados de Base'!$D$5*BO29*('Dados de Base'!$D$7*0.9))+(0.0175*'Dados de Base'!$D$5*BO30*('Dados de Base'!$D$7*1))+(0.0175*'Dados de Base'!$D$5*30*5.5*BO16))/7)+'Dados de Base'!$J$6</f>
        <v>0</v>
      </c>
      <c r="BP33" s="464">
        <f>(((0.0175*'Dados de Base'!$D$5*BP26*('Dados de Base'!$D$7*0.5))+(0.0175*'Dados de Base'!$D$5*BP27*('Dados de Base'!$D$7*0.65))+(0.0175*'Dados de Base'!$D$5*BP28*('Dados de Base'!$D$7*0.8))+(0.0175*'Dados de Base'!$D$5*BP29*('Dados de Base'!$D$7*0.9))+(0.0175*'Dados de Base'!$D$5*BP30*('Dados de Base'!$D$7*1))+(0.0175*'Dados de Base'!$D$5*30*5.5*BP16))/7)+'Dados de Base'!$J$6</f>
        <v>0</v>
      </c>
    </row>
    <row r="34" ht="23.25" customHeight="1">
      <c r="A34" s="387"/>
      <c r="B34" s="466" t="s">
        <v>167</v>
      </c>
      <c r="C34" s="60"/>
      <c r="D34" s="467" t="s">
        <v>128</v>
      </c>
      <c r="E34" s="468"/>
      <c r="F34" s="469"/>
      <c r="G34" s="469"/>
      <c r="H34" s="469"/>
      <c r="I34" s="467" t="s">
        <v>128</v>
      </c>
      <c r="J34" s="469"/>
      <c r="K34" s="469"/>
      <c r="L34" s="469"/>
      <c r="M34" s="469"/>
      <c r="N34" s="467" t="s">
        <v>128</v>
      </c>
      <c r="O34" s="469"/>
      <c r="P34" s="469"/>
      <c r="Q34" s="469"/>
      <c r="R34" s="469"/>
      <c r="S34" s="467" t="s">
        <v>128</v>
      </c>
      <c r="T34" s="469"/>
      <c r="U34" s="469"/>
      <c r="V34" s="469"/>
      <c r="W34" s="469"/>
      <c r="X34" s="467" t="s">
        <v>128</v>
      </c>
      <c r="Y34" s="469"/>
      <c r="Z34" s="469"/>
      <c r="AA34" s="469"/>
      <c r="AB34" s="469"/>
      <c r="AC34" s="467" t="s">
        <v>128</v>
      </c>
      <c r="AD34" s="469"/>
      <c r="AE34" s="469"/>
      <c r="AF34" s="469"/>
      <c r="AG34" s="469"/>
      <c r="AH34" s="467" t="s">
        <v>128</v>
      </c>
      <c r="AI34" s="469"/>
      <c r="AJ34" s="469"/>
      <c r="AK34" s="469"/>
      <c r="AL34" s="469"/>
      <c r="AM34" s="467" t="s">
        <v>128</v>
      </c>
      <c r="AN34" s="469"/>
      <c r="AO34" s="469"/>
      <c r="AP34" s="469"/>
      <c r="AQ34" s="469"/>
      <c r="AR34" s="467" t="s">
        <v>128</v>
      </c>
      <c r="AS34" s="469"/>
      <c r="AT34" s="469"/>
      <c r="AU34" s="469"/>
      <c r="AV34" s="469"/>
      <c r="AW34" s="467" t="s">
        <v>128</v>
      </c>
      <c r="AX34" s="469"/>
      <c r="AY34" s="469"/>
      <c r="AZ34" s="469"/>
      <c r="BA34" s="469"/>
      <c r="BB34" s="467" t="s">
        <v>128</v>
      </c>
      <c r="BC34" s="469"/>
      <c r="BD34" s="469"/>
      <c r="BE34" s="469"/>
      <c r="BF34" s="469"/>
      <c r="BG34" s="467" t="s">
        <v>128</v>
      </c>
      <c r="BH34" s="469"/>
      <c r="BI34" s="469"/>
      <c r="BJ34" s="469"/>
      <c r="BK34" s="469"/>
      <c r="BL34" s="467" t="s">
        <v>128</v>
      </c>
      <c r="BM34" s="469"/>
      <c r="BN34" s="469"/>
      <c r="BO34" s="469"/>
      <c r="BP34" s="469"/>
    </row>
    <row r="35" ht="23.25" customHeight="1">
      <c r="A35" s="387"/>
      <c r="B35" s="466" t="s">
        <v>168</v>
      </c>
      <c r="C35" s="60"/>
      <c r="D35" s="467" t="s">
        <v>128</v>
      </c>
      <c r="E35" s="468"/>
      <c r="F35" s="469"/>
      <c r="G35" s="469"/>
      <c r="H35" s="469"/>
      <c r="I35" s="467" t="s">
        <v>128</v>
      </c>
      <c r="J35" s="469"/>
      <c r="K35" s="469"/>
      <c r="L35" s="469"/>
      <c r="M35" s="469"/>
      <c r="N35" s="467" t="s">
        <v>128</v>
      </c>
      <c r="O35" s="469"/>
      <c r="P35" s="469"/>
      <c r="Q35" s="469"/>
      <c r="R35" s="469"/>
      <c r="S35" s="467" t="s">
        <v>128</v>
      </c>
      <c r="T35" s="469"/>
      <c r="U35" s="469"/>
      <c r="V35" s="469"/>
      <c r="W35" s="469"/>
      <c r="X35" s="467" t="s">
        <v>128</v>
      </c>
      <c r="Y35" s="469"/>
      <c r="Z35" s="469"/>
      <c r="AA35" s="469"/>
      <c r="AB35" s="469"/>
      <c r="AC35" s="467" t="s">
        <v>128</v>
      </c>
      <c r="AD35" s="469"/>
      <c r="AE35" s="469"/>
      <c r="AF35" s="469"/>
      <c r="AG35" s="469"/>
      <c r="AH35" s="467" t="s">
        <v>128</v>
      </c>
      <c r="AI35" s="469"/>
      <c r="AJ35" s="469"/>
      <c r="AK35" s="469"/>
      <c r="AL35" s="469"/>
      <c r="AM35" s="467" t="s">
        <v>128</v>
      </c>
      <c r="AN35" s="469"/>
      <c r="AO35" s="469"/>
      <c r="AP35" s="469"/>
      <c r="AQ35" s="469"/>
      <c r="AR35" s="467" t="s">
        <v>128</v>
      </c>
      <c r="AS35" s="469"/>
      <c r="AT35" s="469"/>
      <c r="AU35" s="469"/>
      <c r="AV35" s="469"/>
      <c r="AW35" s="467" t="s">
        <v>128</v>
      </c>
      <c r="AX35" s="469"/>
      <c r="AY35" s="469"/>
      <c r="AZ35" s="469"/>
      <c r="BA35" s="469"/>
      <c r="BB35" s="467" t="s">
        <v>128</v>
      </c>
      <c r="BC35" s="469"/>
      <c r="BD35" s="469"/>
      <c r="BE35" s="469"/>
      <c r="BF35" s="469"/>
      <c r="BG35" s="467" t="s">
        <v>128</v>
      </c>
      <c r="BH35" s="469"/>
      <c r="BI35" s="469"/>
      <c r="BJ35" s="469"/>
      <c r="BK35" s="469"/>
      <c r="BL35" s="467" t="s">
        <v>128</v>
      </c>
      <c r="BM35" s="469"/>
      <c r="BN35" s="469"/>
      <c r="BO35" s="469"/>
      <c r="BP35" s="469"/>
    </row>
    <row r="36" ht="23.25" customHeight="1">
      <c r="A36" s="470"/>
      <c r="B36" s="471" t="s">
        <v>151</v>
      </c>
      <c r="C36" s="472"/>
      <c r="D36" s="473" t="s">
        <v>128</v>
      </c>
      <c r="E36" s="474"/>
      <c r="F36" s="475"/>
      <c r="G36" s="475"/>
      <c r="H36" s="475"/>
      <c r="I36" s="473" t="s">
        <v>128</v>
      </c>
      <c r="J36" s="475"/>
      <c r="K36" s="475"/>
      <c r="L36" s="475"/>
      <c r="M36" s="475"/>
      <c r="N36" s="473" t="s">
        <v>128</v>
      </c>
      <c r="O36" s="475"/>
      <c r="P36" s="475"/>
      <c r="Q36" s="475"/>
      <c r="R36" s="475"/>
      <c r="S36" s="473" t="s">
        <v>128</v>
      </c>
      <c r="T36" s="475"/>
      <c r="U36" s="475"/>
      <c r="V36" s="475"/>
      <c r="W36" s="475"/>
      <c r="X36" s="473" t="s">
        <v>128</v>
      </c>
      <c r="Y36" s="475"/>
      <c r="Z36" s="475"/>
      <c r="AA36" s="475"/>
      <c r="AB36" s="475"/>
      <c r="AC36" s="473" t="s">
        <v>128</v>
      </c>
      <c r="AD36" s="475"/>
      <c r="AE36" s="475"/>
      <c r="AF36" s="475"/>
      <c r="AG36" s="475"/>
      <c r="AH36" s="473" t="s">
        <v>128</v>
      </c>
      <c r="AI36" s="475"/>
      <c r="AJ36" s="475"/>
      <c r="AK36" s="475"/>
      <c r="AL36" s="475"/>
      <c r="AM36" s="473" t="s">
        <v>128</v>
      </c>
      <c r="AN36" s="475"/>
      <c r="AO36" s="475"/>
      <c r="AP36" s="475"/>
      <c r="AQ36" s="475"/>
      <c r="AR36" s="473" t="s">
        <v>128</v>
      </c>
      <c r="AS36" s="475"/>
      <c r="AT36" s="475"/>
      <c r="AU36" s="475"/>
      <c r="AV36" s="475"/>
      <c r="AW36" s="473" t="s">
        <v>128</v>
      </c>
      <c r="AX36" s="475"/>
      <c r="AY36" s="475"/>
      <c r="AZ36" s="475"/>
      <c r="BA36" s="475"/>
      <c r="BB36" s="473" t="s">
        <v>128</v>
      </c>
      <c r="BC36" s="475"/>
      <c r="BD36" s="475"/>
      <c r="BE36" s="475"/>
      <c r="BF36" s="475"/>
      <c r="BG36" s="473" t="s">
        <v>128</v>
      </c>
      <c r="BH36" s="475"/>
      <c r="BI36" s="475"/>
      <c r="BJ36" s="475"/>
      <c r="BK36" s="475"/>
      <c r="BL36" s="473" t="s">
        <v>128</v>
      </c>
      <c r="BM36" s="475"/>
      <c r="BN36" s="475"/>
      <c r="BO36" s="475"/>
      <c r="BP36" s="475"/>
    </row>
    <row r="37" ht="23.25" hidden="1" customHeight="1">
      <c r="A37" s="476"/>
      <c r="B37" s="477"/>
      <c r="C37" s="477"/>
      <c r="D37" s="478"/>
      <c r="E37" s="479">
        <f>D4</f>
        <v>1</v>
      </c>
      <c r="F37" s="479">
        <f>D4</f>
        <v>1</v>
      </c>
      <c r="G37" s="479">
        <f>D4</f>
        <v>1</v>
      </c>
      <c r="H37" s="479">
        <f>D4</f>
        <v>1</v>
      </c>
      <c r="I37" s="478"/>
      <c r="J37" s="479">
        <f>I4</f>
        <v>2</v>
      </c>
      <c r="K37" s="479">
        <f>I4</f>
        <v>2</v>
      </c>
      <c r="L37" s="479">
        <f>I4</f>
        <v>2</v>
      </c>
      <c r="M37" s="479">
        <f>I4</f>
        <v>2</v>
      </c>
      <c r="N37" s="478"/>
      <c r="O37" s="479">
        <f>N4</f>
        <v>3</v>
      </c>
      <c r="P37" s="479">
        <f>N4</f>
        <v>3</v>
      </c>
      <c r="Q37" s="479">
        <f>N4</f>
        <v>3</v>
      </c>
      <c r="R37" s="479">
        <f>N4</f>
        <v>3</v>
      </c>
      <c r="S37" s="478"/>
      <c r="T37" s="479">
        <f>S4</f>
        <v>4</v>
      </c>
      <c r="U37" s="479">
        <f>S4</f>
        <v>4</v>
      </c>
      <c r="V37" s="479">
        <f>S4</f>
        <v>4</v>
      </c>
      <c r="W37" s="479">
        <f>S4</f>
        <v>4</v>
      </c>
      <c r="X37" s="478"/>
      <c r="Y37" s="479">
        <f>X4</f>
        <v>5</v>
      </c>
      <c r="Z37" s="479">
        <f>X4</f>
        <v>5</v>
      </c>
      <c r="AA37" s="479">
        <f>X4</f>
        <v>5</v>
      </c>
      <c r="AB37" s="479">
        <f>X4</f>
        <v>5</v>
      </c>
      <c r="AC37" s="478"/>
      <c r="AD37" s="479">
        <f>AC4</f>
        <v>6</v>
      </c>
      <c r="AE37" s="479">
        <f>AC4</f>
        <v>6</v>
      </c>
      <c r="AF37" s="479">
        <f>AC4</f>
        <v>6</v>
      </c>
      <c r="AG37" s="479">
        <f>AC4</f>
        <v>6</v>
      </c>
      <c r="AH37" s="478"/>
      <c r="AI37" s="479">
        <f>AH4</f>
        <v>7</v>
      </c>
      <c r="AJ37" s="479">
        <f>AH4</f>
        <v>7</v>
      </c>
      <c r="AK37" s="479">
        <f>AH4</f>
        <v>7</v>
      </c>
      <c r="AL37" s="479">
        <f>AH4</f>
        <v>7</v>
      </c>
      <c r="AM37" s="478"/>
      <c r="AN37" s="479">
        <f>AM4</f>
        <v>8</v>
      </c>
      <c r="AO37" s="479">
        <f>AM4</f>
        <v>8</v>
      </c>
      <c r="AP37" s="479">
        <f>AM4</f>
        <v>8</v>
      </c>
      <c r="AQ37" s="479">
        <f>AM4</f>
        <v>8</v>
      </c>
      <c r="AR37" s="478"/>
      <c r="AS37" s="479">
        <f>AR4</f>
        <v>9</v>
      </c>
      <c r="AT37" s="479">
        <f>AR4</f>
        <v>9</v>
      </c>
      <c r="AU37" s="479">
        <f>AR4</f>
        <v>9</v>
      </c>
      <c r="AV37" s="479">
        <f>AR4</f>
        <v>9</v>
      </c>
      <c r="AW37" s="478"/>
      <c r="AX37" s="479">
        <f>AW4</f>
        <v>10</v>
      </c>
      <c r="AY37" s="479">
        <f>AW4</f>
        <v>10</v>
      </c>
      <c r="AZ37" s="479">
        <f>AW4</f>
        <v>10</v>
      </c>
      <c r="BA37" s="479">
        <f>AW4</f>
        <v>10</v>
      </c>
      <c r="BB37" s="478"/>
      <c r="BC37" s="479">
        <f>BB4</f>
        <v>11</v>
      </c>
      <c r="BD37" s="479">
        <f>BB4</f>
        <v>11</v>
      </c>
      <c r="BE37" s="479">
        <f>BB4</f>
        <v>11</v>
      </c>
      <c r="BF37" s="479">
        <f>BB4</f>
        <v>11</v>
      </c>
      <c r="BG37" s="478"/>
      <c r="BH37" s="479">
        <f>BG4</f>
        <v>12</v>
      </c>
      <c r="BI37" s="479">
        <f>BG4</f>
        <v>12</v>
      </c>
      <c r="BJ37" s="479">
        <f>BG4</f>
        <v>12</v>
      </c>
      <c r="BK37" s="479">
        <f>BG4</f>
        <v>12</v>
      </c>
      <c r="BL37" s="478"/>
      <c r="BM37" s="479">
        <f>BL4</f>
        <v>13</v>
      </c>
      <c r="BN37" s="479">
        <f>BL4</f>
        <v>13</v>
      </c>
      <c r="BO37" s="479">
        <f>BL4</f>
        <v>13</v>
      </c>
      <c r="BP37" s="479">
        <f>BL4</f>
        <v>13</v>
      </c>
    </row>
    <row r="38" ht="23.25" customHeight="1">
      <c r="A38" s="480" t="s">
        <v>169</v>
      </c>
      <c r="D38" s="481" t="s">
        <v>170</v>
      </c>
      <c r="E38" s="481">
        <f>E5</f>
        <v>1</v>
      </c>
      <c r="F38" s="482">
        <f t="shared" ref="F38:BD38" si="84">E38+1</f>
        <v>2</v>
      </c>
      <c r="G38" s="482">
        <f t="shared" si="84"/>
        <v>3</v>
      </c>
      <c r="H38" s="482">
        <f t="shared" si="84"/>
        <v>4</v>
      </c>
      <c r="I38" s="482">
        <f t="shared" si="84"/>
        <v>5</v>
      </c>
      <c r="J38" s="482">
        <f t="shared" si="84"/>
        <v>6</v>
      </c>
      <c r="K38" s="482">
        <f t="shared" si="84"/>
        <v>7</v>
      </c>
      <c r="L38" s="482">
        <f t="shared" si="84"/>
        <v>8</v>
      </c>
      <c r="M38" s="482">
        <f t="shared" si="84"/>
        <v>9</v>
      </c>
      <c r="N38" s="482">
        <f t="shared" si="84"/>
        <v>10</v>
      </c>
      <c r="O38" s="482">
        <f t="shared" si="84"/>
        <v>11</v>
      </c>
      <c r="P38" s="482">
        <f t="shared" si="84"/>
        <v>12</v>
      </c>
      <c r="Q38" s="482">
        <f t="shared" si="84"/>
        <v>13</v>
      </c>
      <c r="R38" s="482">
        <f t="shared" si="84"/>
        <v>14</v>
      </c>
      <c r="S38" s="482">
        <f t="shared" si="84"/>
        <v>15</v>
      </c>
      <c r="T38" s="482">
        <f t="shared" si="84"/>
        <v>16</v>
      </c>
      <c r="U38" s="482">
        <f t="shared" si="84"/>
        <v>17</v>
      </c>
      <c r="V38" s="482">
        <f t="shared" si="84"/>
        <v>18</v>
      </c>
      <c r="W38" s="482">
        <f t="shared" si="84"/>
        <v>19</v>
      </c>
      <c r="X38" s="482">
        <f t="shared" si="84"/>
        <v>20</v>
      </c>
      <c r="Y38" s="482">
        <f t="shared" si="84"/>
        <v>21</v>
      </c>
      <c r="Z38" s="482">
        <f t="shared" si="84"/>
        <v>22</v>
      </c>
      <c r="AA38" s="482">
        <f t="shared" si="84"/>
        <v>23</v>
      </c>
      <c r="AB38" s="482">
        <f t="shared" si="84"/>
        <v>24</v>
      </c>
      <c r="AC38" s="482">
        <f t="shared" si="84"/>
        <v>25</v>
      </c>
      <c r="AD38" s="482">
        <f t="shared" si="84"/>
        <v>26</v>
      </c>
      <c r="AE38" s="482">
        <f t="shared" si="84"/>
        <v>27</v>
      </c>
      <c r="AF38" s="482">
        <f t="shared" si="84"/>
        <v>28</v>
      </c>
      <c r="AG38" s="482">
        <f t="shared" si="84"/>
        <v>29</v>
      </c>
      <c r="AH38" s="482">
        <f t="shared" si="84"/>
        <v>30</v>
      </c>
      <c r="AI38" s="482">
        <f t="shared" si="84"/>
        <v>31</v>
      </c>
      <c r="AJ38" s="482">
        <f t="shared" si="84"/>
        <v>32</v>
      </c>
      <c r="AK38" s="482">
        <f t="shared" si="84"/>
        <v>33</v>
      </c>
      <c r="AL38" s="482">
        <f t="shared" si="84"/>
        <v>34</v>
      </c>
      <c r="AM38" s="482">
        <f t="shared" si="84"/>
        <v>35</v>
      </c>
      <c r="AN38" s="482">
        <f t="shared" si="84"/>
        <v>36</v>
      </c>
      <c r="AO38" s="482">
        <f t="shared" si="84"/>
        <v>37</v>
      </c>
      <c r="AP38" s="482">
        <f t="shared" si="84"/>
        <v>38</v>
      </c>
      <c r="AQ38" s="482">
        <f t="shared" si="84"/>
        <v>39</v>
      </c>
      <c r="AR38" s="482">
        <f t="shared" si="84"/>
        <v>40</v>
      </c>
      <c r="AS38" s="482">
        <f t="shared" si="84"/>
        <v>41</v>
      </c>
      <c r="AT38" s="482">
        <f t="shared" si="84"/>
        <v>42</v>
      </c>
      <c r="AU38" s="482">
        <f t="shared" si="84"/>
        <v>43</v>
      </c>
      <c r="AV38" s="482">
        <f t="shared" si="84"/>
        <v>44</v>
      </c>
      <c r="AW38" s="482">
        <f t="shared" si="84"/>
        <v>45</v>
      </c>
      <c r="AX38" s="482">
        <f t="shared" si="84"/>
        <v>46</v>
      </c>
      <c r="AY38" s="482">
        <f t="shared" si="84"/>
        <v>47</v>
      </c>
      <c r="AZ38" s="482">
        <f t="shared" si="84"/>
        <v>48</v>
      </c>
      <c r="BA38" s="482">
        <f t="shared" si="84"/>
        <v>49</v>
      </c>
      <c r="BB38" s="482">
        <f t="shared" si="84"/>
        <v>50</v>
      </c>
      <c r="BC38" s="482">
        <f t="shared" si="84"/>
        <v>51</v>
      </c>
      <c r="BD38" s="482">
        <f t="shared" si="84"/>
        <v>52</v>
      </c>
      <c r="BE38" s="483"/>
      <c r="BF38" s="483"/>
      <c r="BG38" s="483"/>
      <c r="BH38" s="483"/>
      <c r="BI38" s="483"/>
      <c r="BJ38" s="483"/>
      <c r="BK38" s="483"/>
      <c r="BL38" s="483"/>
      <c r="BM38" s="483"/>
      <c r="BN38" s="483"/>
      <c r="BO38" s="483"/>
      <c r="BP38" s="483"/>
    </row>
    <row r="39" ht="23.25" customHeight="1">
      <c r="D39" s="481" t="s">
        <v>171</v>
      </c>
      <c r="E39" s="484">
        <f t="shared" ref="E39:H39" si="85">E12</f>
        <v>16</v>
      </c>
      <c r="F39" s="484">
        <f t="shared" si="85"/>
        <v>16</v>
      </c>
      <c r="G39" s="484">
        <f t="shared" si="85"/>
        <v>16</v>
      </c>
      <c r="H39" s="484">
        <f t="shared" si="85"/>
        <v>16</v>
      </c>
      <c r="I39" s="484">
        <f t="shared" ref="I39:L39" si="86">J12</f>
        <v>18</v>
      </c>
      <c r="J39" s="484">
        <f t="shared" si="86"/>
        <v>18</v>
      </c>
      <c r="K39" s="484">
        <f t="shared" si="86"/>
        <v>18</v>
      </c>
      <c r="L39" s="484">
        <f t="shared" si="86"/>
        <v>18</v>
      </c>
      <c r="M39" s="484">
        <f t="shared" ref="M39:P39" si="87">O12</f>
        <v>20</v>
      </c>
      <c r="N39" s="484">
        <f t="shared" si="87"/>
        <v>20</v>
      </c>
      <c r="O39" s="484">
        <f t="shared" si="87"/>
        <v>20</v>
      </c>
      <c r="P39" s="484">
        <f t="shared" si="87"/>
        <v>20</v>
      </c>
      <c r="Q39" s="484">
        <f t="shared" ref="Q39:T39" si="88">T12</f>
        <v>22</v>
      </c>
      <c r="R39" s="484">
        <f t="shared" si="88"/>
        <v>22</v>
      </c>
      <c r="S39" s="484">
        <f t="shared" si="88"/>
        <v>22</v>
      </c>
      <c r="T39" s="484">
        <f t="shared" si="88"/>
        <v>22</v>
      </c>
      <c r="U39" s="484">
        <f t="shared" ref="U39:X39" si="89">Y12</f>
        <v>24</v>
      </c>
      <c r="V39" s="484">
        <f t="shared" si="89"/>
        <v>24</v>
      </c>
      <c r="W39" s="484">
        <f t="shared" si="89"/>
        <v>24</v>
      </c>
      <c r="X39" s="484">
        <f t="shared" si="89"/>
        <v>24</v>
      </c>
      <c r="Y39" s="484">
        <f t="shared" ref="Y39:AB39" si="90">AD12</f>
        <v>26</v>
      </c>
      <c r="Z39" s="484">
        <f t="shared" si="90"/>
        <v>26</v>
      </c>
      <c r="AA39" s="484">
        <f t="shared" si="90"/>
        <v>26</v>
      </c>
      <c r="AB39" s="484">
        <f t="shared" si="90"/>
        <v>26</v>
      </c>
      <c r="AC39" s="484">
        <f t="shared" ref="AC39:AF39" si="91">AI12</f>
        <v>28</v>
      </c>
      <c r="AD39" s="484">
        <f t="shared" si="91"/>
        <v>28</v>
      </c>
      <c r="AE39" s="484">
        <f t="shared" si="91"/>
        <v>28</v>
      </c>
      <c r="AF39" s="484">
        <f t="shared" si="91"/>
        <v>28</v>
      </c>
      <c r="AG39" s="484">
        <f t="shared" ref="AG39:AJ39" si="92">AN12</f>
        <v>30</v>
      </c>
      <c r="AH39" s="484">
        <f t="shared" si="92"/>
        <v>30</v>
      </c>
      <c r="AI39" s="484">
        <f t="shared" si="92"/>
        <v>30</v>
      </c>
      <c r="AJ39" s="484">
        <f t="shared" si="92"/>
        <v>30</v>
      </c>
      <c r="AK39" s="484">
        <f t="shared" ref="AK39:AN39" si="93">AS12</f>
        <v>32</v>
      </c>
      <c r="AL39" s="484">
        <f t="shared" si="93"/>
        <v>32</v>
      </c>
      <c r="AM39" s="484">
        <f t="shared" si="93"/>
        <v>32</v>
      </c>
      <c r="AN39" s="484">
        <f t="shared" si="93"/>
        <v>32</v>
      </c>
      <c r="AO39" s="484">
        <f t="shared" ref="AO39:AR39" si="94">AX12</f>
        <v>34</v>
      </c>
      <c r="AP39" s="484">
        <f t="shared" si="94"/>
        <v>34</v>
      </c>
      <c r="AQ39" s="484">
        <f t="shared" si="94"/>
        <v>34</v>
      </c>
      <c r="AR39" s="484">
        <f t="shared" si="94"/>
        <v>34</v>
      </c>
      <c r="AS39" s="484">
        <f t="shared" ref="AS39:AV39" si="95">BC12</f>
        <v>36</v>
      </c>
      <c r="AT39" s="484">
        <f t="shared" si="95"/>
        <v>36</v>
      </c>
      <c r="AU39" s="484">
        <f t="shared" si="95"/>
        <v>36</v>
      </c>
      <c r="AV39" s="484">
        <f t="shared" si="95"/>
        <v>36</v>
      </c>
      <c r="AW39" s="484">
        <f t="shared" ref="AW39:AZ39" si="96">BH12</f>
        <v>38</v>
      </c>
      <c r="AX39" s="484">
        <f t="shared" si="96"/>
        <v>38</v>
      </c>
      <c r="AY39" s="484">
        <f t="shared" si="96"/>
        <v>38</v>
      </c>
      <c r="AZ39" s="484">
        <f t="shared" si="96"/>
        <v>38</v>
      </c>
      <c r="BA39" s="484">
        <f t="shared" ref="BA39:BD39" si="97">BM12</f>
        <v>40</v>
      </c>
      <c r="BB39" s="484">
        <f t="shared" si="97"/>
        <v>40</v>
      </c>
      <c r="BC39" s="484">
        <f t="shared" si="97"/>
        <v>40</v>
      </c>
      <c r="BD39" s="484">
        <f t="shared" si="97"/>
        <v>40</v>
      </c>
      <c r="BE39" s="483"/>
      <c r="BF39" s="483"/>
      <c r="BG39" s="483"/>
      <c r="BH39" s="483"/>
      <c r="BI39" s="483"/>
      <c r="BJ39" s="483"/>
      <c r="BK39" s="483"/>
      <c r="BL39" s="483"/>
      <c r="BM39" s="483"/>
      <c r="BN39" s="483"/>
      <c r="BO39" s="483"/>
      <c r="BP39" s="483"/>
    </row>
    <row r="40" ht="23.25" customHeight="1">
      <c r="D40" s="481" t="s">
        <v>172</v>
      </c>
      <c r="E40" s="484" t="str">
        <f t="shared" ref="E40:H40" si="98">E19</f>
        <v/>
      </c>
      <c r="F40" s="484" t="str">
        <f t="shared" si="98"/>
        <v/>
      </c>
      <c r="G40" s="484" t="str">
        <f t="shared" si="98"/>
        <v/>
      </c>
      <c r="H40" s="484" t="str">
        <f t="shared" si="98"/>
        <v/>
      </c>
      <c r="I40" s="484">
        <f t="shared" ref="I40:L40" si="99">J19</f>
        <v>0</v>
      </c>
      <c r="J40" s="484">
        <f t="shared" si="99"/>
        <v>0</v>
      </c>
      <c r="K40" s="484">
        <f t="shared" si="99"/>
        <v>0</v>
      </c>
      <c r="L40" s="484">
        <f t="shared" si="99"/>
        <v>0</v>
      </c>
      <c r="M40" s="484">
        <f t="shared" ref="M40:P40" si="100">O19</f>
        <v>0</v>
      </c>
      <c r="N40" s="484">
        <f t="shared" si="100"/>
        <v>0</v>
      </c>
      <c r="O40" s="484">
        <f t="shared" si="100"/>
        <v>0</v>
      </c>
      <c r="P40" s="484">
        <f t="shared" si="100"/>
        <v>0</v>
      </c>
      <c r="Q40" s="484">
        <f t="shared" ref="Q40:T40" si="101">T19</f>
        <v>0</v>
      </c>
      <c r="R40" s="484">
        <f t="shared" si="101"/>
        <v>0</v>
      </c>
      <c r="S40" s="484">
        <f t="shared" si="101"/>
        <v>0</v>
      </c>
      <c r="T40" s="484">
        <f t="shared" si="101"/>
        <v>0</v>
      </c>
      <c r="U40" s="484">
        <f t="shared" ref="U40:X40" si="102">Y19</f>
        <v>0</v>
      </c>
      <c r="V40" s="484">
        <f t="shared" si="102"/>
        <v>0</v>
      </c>
      <c r="W40" s="484">
        <f t="shared" si="102"/>
        <v>0</v>
      </c>
      <c r="X40" s="484">
        <f t="shared" si="102"/>
        <v>0</v>
      </c>
      <c r="Y40" s="484">
        <f t="shared" ref="Y40:AB40" si="103">AD19</f>
        <v>0</v>
      </c>
      <c r="Z40" s="484">
        <f t="shared" si="103"/>
        <v>0</v>
      </c>
      <c r="AA40" s="484">
        <f t="shared" si="103"/>
        <v>0</v>
      </c>
      <c r="AB40" s="484">
        <f t="shared" si="103"/>
        <v>0</v>
      </c>
      <c r="AC40" s="484">
        <f t="shared" ref="AC40:AF40" si="104">AI19</f>
        <v>0</v>
      </c>
      <c r="AD40" s="484">
        <f t="shared" si="104"/>
        <v>0</v>
      </c>
      <c r="AE40" s="484">
        <f t="shared" si="104"/>
        <v>0</v>
      </c>
      <c r="AF40" s="484">
        <f t="shared" si="104"/>
        <v>0</v>
      </c>
      <c r="AG40" s="484">
        <f t="shared" ref="AG40:AJ40" si="105">AN19</f>
        <v>0</v>
      </c>
      <c r="AH40" s="484">
        <f t="shared" si="105"/>
        <v>0</v>
      </c>
      <c r="AI40" s="484">
        <f t="shared" si="105"/>
        <v>0</v>
      </c>
      <c r="AJ40" s="484">
        <f t="shared" si="105"/>
        <v>0</v>
      </c>
      <c r="AK40" s="484">
        <f t="shared" ref="AK40:AN40" si="106">AS19</f>
        <v>0</v>
      </c>
      <c r="AL40" s="484">
        <f t="shared" si="106"/>
        <v>0</v>
      </c>
      <c r="AM40" s="484">
        <f t="shared" si="106"/>
        <v>0</v>
      </c>
      <c r="AN40" s="484">
        <f t="shared" si="106"/>
        <v>0</v>
      </c>
      <c r="AO40" s="484">
        <f t="shared" ref="AO40:AR40" si="107">AX19</f>
        <v>0</v>
      </c>
      <c r="AP40" s="484">
        <f t="shared" si="107"/>
        <v>0</v>
      </c>
      <c r="AQ40" s="484">
        <f t="shared" si="107"/>
        <v>0</v>
      </c>
      <c r="AR40" s="484">
        <f t="shared" si="107"/>
        <v>0</v>
      </c>
      <c r="AS40" s="484">
        <f t="shared" ref="AS40:AV40" si="108">BC19</f>
        <v>0</v>
      </c>
      <c r="AT40" s="484">
        <f t="shared" si="108"/>
        <v>0</v>
      </c>
      <c r="AU40" s="484">
        <f t="shared" si="108"/>
        <v>0</v>
      </c>
      <c r="AV40" s="484">
        <f t="shared" si="108"/>
        <v>0</v>
      </c>
      <c r="AW40" s="484">
        <f t="shared" ref="AW40:AZ40" si="109">BH19</f>
        <v>0</v>
      </c>
      <c r="AX40" s="484">
        <f t="shared" si="109"/>
        <v>0</v>
      </c>
      <c r="AY40" s="484">
        <f t="shared" si="109"/>
        <v>0</v>
      </c>
      <c r="AZ40" s="484">
        <f t="shared" si="109"/>
        <v>0</v>
      </c>
      <c r="BA40" s="484">
        <f t="shared" ref="BA40:BD40" si="110">BM19</f>
        <v>0</v>
      </c>
      <c r="BB40" s="484">
        <f t="shared" si="110"/>
        <v>0</v>
      </c>
      <c r="BC40" s="484">
        <f t="shared" si="110"/>
        <v>0</v>
      </c>
      <c r="BD40" s="484">
        <f t="shared" si="110"/>
        <v>0</v>
      </c>
      <c r="BE40" s="483"/>
      <c r="BF40" s="483"/>
      <c r="BG40" s="483"/>
      <c r="BH40" s="483"/>
      <c r="BI40" s="483"/>
      <c r="BJ40" s="483"/>
      <c r="BK40" s="483"/>
      <c r="BL40" s="483"/>
      <c r="BM40" s="483"/>
      <c r="BN40" s="483"/>
      <c r="BO40" s="483"/>
      <c r="BP40" s="483"/>
    </row>
    <row r="41" ht="23.25" customHeight="1">
      <c r="D41" s="481" t="s">
        <v>173</v>
      </c>
      <c r="E41" s="484">
        <f t="shared" ref="E41:H41" si="111">E33</f>
        <v>0</v>
      </c>
      <c r="F41" s="484">
        <f t="shared" si="111"/>
        <v>0</v>
      </c>
      <c r="G41" s="484">
        <f t="shared" si="111"/>
        <v>0</v>
      </c>
      <c r="H41" s="484">
        <f t="shared" si="111"/>
        <v>0</v>
      </c>
      <c r="I41" s="484">
        <f t="shared" ref="I41:L41" si="112">J33</f>
        <v>0</v>
      </c>
      <c r="J41" s="484">
        <f t="shared" si="112"/>
        <v>0</v>
      </c>
      <c r="K41" s="484">
        <f t="shared" si="112"/>
        <v>0</v>
      </c>
      <c r="L41" s="484">
        <f t="shared" si="112"/>
        <v>0</v>
      </c>
      <c r="M41" s="484">
        <f t="shared" ref="M41:P41" si="113">O33</f>
        <v>0</v>
      </c>
      <c r="N41" s="484">
        <f t="shared" si="113"/>
        <v>0</v>
      </c>
      <c r="O41" s="484">
        <f t="shared" si="113"/>
        <v>0</v>
      </c>
      <c r="P41" s="484">
        <f t="shared" si="113"/>
        <v>0</v>
      </c>
      <c r="Q41" s="484">
        <f t="shared" ref="Q41:T41" si="114">T33</f>
        <v>0</v>
      </c>
      <c r="R41" s="484">
        <f t="shared" si="114"/>
        <v>0</v>
      </c>
      <c r="S41" s="484">
        <f t="shared" si="114"/>
        <v>0</v>
      </c>
      <c r="T41" s="484">
        <f t="shared" si="114"/>
        <v>0</v>
      </c>
      <c r="U41" s="484">
        <f t="shared" ref="U41:X41" si="115">Y33</f>
        <v>0</v>
      </c>
      <c r="V41" s="484">
        <f t="shared" si="115"/>
        <v>0</v>
      </c>
      <c r="W41" s="484">
        <f t="shared" si="115"/>
        <v>0</v>
      </c>
      <c r="X41" s="484">
        <f t="shared" si="115"/>
        <v>0</v>
      </c>
      <c r="Y41" s="484">
        <f t="shared" ref="Y41:AB41" si="116">AD33</f>
        <v>0</v>
      </c>
      <c r="Z41" s="484">
        <f t="shared" si="116"/>
        <v>0</v>
      </c>
      <c r="AA41" s="484">
        <f t="shared" si="116"/>
        <v>0</v>
      </c>
      <c r="AB41" s="484">
        <f t="shared" si="116"/>
        <v>0</v>
      </c>
      <c r="AC41" s="484">
        <f t="shared" ref="AC41:AF41" si="117">AI33</f>
        <v>0</v>
      </c>
      <c r="AD41" s="484">
        <f t="shared" si="117"/>
        <v>0</v>
      </c>
      <c r="AE41" s="484">
        <f t="shared" si="117"/>
        <v>0</v>
      </c>
      <c r="AF41" s="484">
        <f t="shared" si="117"/>
        <v>0</v>
      </c>
      <c r="AG41" s="484">
        <f t="shared" ref="AG41:AJ41" si="118">AN33</f>
        <v>0</v>
      </c>
      <c r="AH41" s="484">
        <f t="shared" si="118"/>
        <v>0</v>
      </c>
      <c r="AI41" s="484">
        <f t="shared" si="118"/>
        <v>0</v>
      </c>
      <c r="AJ41" s="484">
        <f t="shared" si="118"/>
        <v>0</v>
      </c>
      <c r="AK41" s="484">
        <f t="shared" ref="AK41:AN41" si="119">AS33</f>
        <v>0</v>
      </c>
      <c r="AL41" s="484">
        <f t="shared" si="119"/>
        <v>0</v>
      </c>
      <c r="AM41" s="484">
        <f t="shared" si="119"/>
        <v>0</v>
      </c>
      <c r="AN41" s="484">
        <f t="shared" si="119"/>
        <v>0</v>
      </c>
      <c r="AO41" s="484">
        <f t="shared" ref="AO41:AR41" si="120">AX33</f>
        <v>0</v>
      </c>
      <c r="AP41" s="484">
        <f t="shared" si="120"/>
        <v>0</v>
      </c>
      <c r="AQ41" s="484">
        <f t="shared" si="120"/>
        <v>0</v>
      </c>
      <c r="AR41" s="484">
        <f t="shared" si="120"/>
        <v>0</v>
      </c>
      <c r="AS41" s="484">
        <f t="shared" ref="AS41:AV41" si="121">BC33</f>
        <v>0</v>
      </c>
      <c r="AT41" s="484">
        <f t="shared" si="121"/>
        <v>0</v>
      </c>
      <c r="AU41" s="484">
        <f t="shared" si="121"/>
        <v>0</v>
      </c>
      <c r="AV41" s="484">
        <f t="shared" si="121"/>
        <v>0</v>
      </c>
      <c r="AW41" s="484">
        <f t="shared" ref="AW41:AZ41" si="122">BH33</f>
        <v>0</v>
      </c>
      <c r="AX41" s="484">
        <f t="shared" si="122"/>
        <v>0</v>
      </c>
      <c r="AY41" s="484">
        <f t="shared" si="122"/>
        <v>0</v>
      </c>
      <c r="AZ41" s="484">
        <f t="shared" si="122"/>
        <v>0</v>
      </c>
      <c r="BA41" s="484">
        <f t="shared" ref="BA41:BD41" si="123">BM33</f>
        <v>0</v>
      </c>
      <c r="BB41" s="484">
        <f t="shared" si="123"/>
        <v>0</v>
      </c>
      <c r="BC41" s="484">
        <f t="shared" si="123"/>
        <v>0</v>
      </c>
      <c r="BD41" s="484">
        <f t="shared" si="123"/>
        <v>0</v>
      </c>
      <c r="BE41" s="483"/>
      <c r="BF41" s="483"/>
      <c r="BG41" s="483"/>
      <c r="BH41" s="483"/>
      <c r="BI41" s="483"/>
      <c r="BJ41" s="483"/>
      <c r="BK41" s="483"/>
      <c r="BL41" s="483"/>
      <c r="BM41" s="483"/>
      <c r="BN41" s="483"/>
      <c r="BO41" s="483"/>
      <c r="BP41" s="483"/>
    </row>
    <row r="42" ht="23.25" customHeight="1">
      <c r="D42" s="483"/>
      <c r="E42" s="483"/>
      <c r="F42" s="483"/>
      <c r="G42" s="483"/>
      <c r="H42" s="483"/>
      <c r="I42" s="483"/>
      <c r="J42" s="483"/>
      <c r="K42" s="483"/>
      <c r="L42" s="483"/>
      <c r="M42" s="483"/>
      <c r="N42" s="483"/>
      <c r="O42" s="483"/>
      <c r="P42" s="483"/>
      <c r="Q42" s="483"/>
      <c r="R42" s="483"/>
      <c r="S42" s="483"/>
      <c r="T42" s="483"/>
      <c r="U42" s="483"/>
      <c r="V42" s="483"/>
      <c r="W42" s="483"/>
      <c r="X42" s="483"/>
      <c r="Y42" s="483"/>
      <c r="Z42" s="483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3"/>
      <c r="AR42" s="483"/>
      <c r="AS42" s="483"/>
      <c r="AT42" s="483"/>
      <c r="AU42" s="483"/>
      <c r="AV42" s="483"/>
      <c r="AW42" s="483"/>
      <c r="AX42" s="483"/>
      <c r="AY42" s="483"/>
      <c r="AZ42" s="483"/>
      <c r="BA42" s="483"/>
      <c r="BB42" s="483"/>
      <c r="BC42" s="483"/>
      <c r="BD42" s="483"/>
      <c r="BE42" s="483"/>
      <c r="BF42" s="483"/>
      <c r="BG42" s="483"/>
      <c r="BH42" s="483"/>
      <c r="BI42" s="483"/>
      <c r="BJ42" s="483"/>
      <c r="BK42" s="483"/>
      <c r="BL42" s="483"/>
      <c r="BM42" s="483"/>
      <c r="BN42" s="483"/>
      <c r="BO42" s="483"/>
      <c r="BP42" s="483"/>
    </row>
    <row r="43" ht="23.25" customHeight="1">
      <c r="D43" s="483"/>
      <c r="E43" s="483"/>
      <c r="F43" s="483"/>
      <c r="G43" s="483"/>
      <c r="H43" s="483"/>
      <c r="I43" s="483"/>
      <c r="J43" s="483"/>
      <c r="K43" s="483"/>
      <c r="L43" s="483"/>
      <c r="M43" s="483"/>
      <c r="N43" s="483"/>
      <c r="O43" s="483"/>
      <c r="P43" s="483"/>
      <c r="Q43" s="483"/>
      <c r="R43" s="483"/>
      <c r="S43" s="483"/>
      <c r="T43" s="483"/>
      <c r="U43" s="483"/>
      <c r="V43" s="483"/>
      <c r="W43" s="483"/>
      <c r="X43" s="483"/>
      <c r="Y43" s="483"/>
      <c r="Z43" s="483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3"/>
      <c r="AR43" s="483"/>
      <c r="AS43" s="483"/>
      <c r="AT43" s="483"/>
      <c r="AU43" s="483"/>
      <c r="AV43" s="483"/>
      <c r="AW43" s="483"/>
      <c r="AX43" s="483"/>
      <c r="AY43" s="483"/>
      <c r="AZ43" s="483"/>
      <c r="BA43" s="483"/>
      <c r="BB43" s="483"/>
      <c r="BC43" s="483"/>
      <c r="BD43" s="483"/>
      <c r="BE43" s="483"/>
      <c r="BF43" s="483"/>
      <c r="BG43" s="483"/>
      <c r="BH43" s="483"/>
      <c r="BI43" s="483"/>
      <c r="BJ43" s="483"/>
      <c r="BK43" s="483"/>
      <c r="BL43" s="483"/>
      <c r="BM43" s="483"/>
      <c r="BN43" s="483"/>
      <c r="BO43" s="483"/>
      <c r="BP43" s="483"/>
    </row>
    <row r="44" ht="23.25" customHeight="1">
      <c r="D44" s="483"/>
      <c r="E44" s="483"/>
      <c r="F44" s="483"/>
      <c r="G44" s="483"/>
      <c r="H44" s="483"/>
      <c r="I44" s="483"/>
      <c r="J44" s="483"/>
      <c r="K44" s="483"/>
      <c r="L44" s="483"/>
      <c r="M44" s="483"/>
      <c r="N44" s="483"/>
      <c r="O44" s="483"/>
      <c r="P44" s="483"/>
      <c r="Q44" s="483"/>
      <c r="R44" s="483"/>
      <c r="S44" s="483"/>
      <c r="T44" s="483"/>
      <c r="U44" s="483"/>
      <c r="V44" s="483"/>
      <c r="W44" s="483"/>
      <c r="X44" s="483"/>
      <c r="Y44" s="483"/>
      <c r="Z44" s="483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3"/>
      <c r="AR44" s="483"/>
      <c r="AS44" s="483"/>
      <c r="AT44" s="483"/>
      <c r="AU44" s="483"/>
      <c r="AV44" s="483"/>
      <c r="AW44" s="483"/>
      <c r="AX44" s="483"/>
      <c r="AY44" s="483"/>
      <c r="AZ44" s="483"/>
      <c r="BA44" s="483"/>
      <c r="BB44" s="483"/>
      <c r="BC44" s="483"/>
      <c r="BD44" s="483"/>
      <c r="BE44" s="483"/>
      <c r="BF44" s="483"/>
      <c r="BG44" s="483"/>
      <c r="BH44" s="483"/>
      <c r="BI44" s="483"/>
      <c r="BJ44" s="483"/>
      <c r="BK44" s="483"/>
      <c r="BL44" s="483"/>
      <c r="BM44" s="483"/>
      <c r="BN44" s="483"/>
      <c r="BO44" s="483"/>
      <c r="BP44" s="483"/>
    </row>
    <row r="45" ht="23.25" customHeight="1">
      <c r="D45" s="483"/>
      <c r="E45" s="483"/>
      <c r="F45" s="483"/>
      <c r="G45" s="483"/>
      <c r="H45" s="483"/>
      <c r="I45" s="483"/>
      <c r="J45" s="483"/>
      <c r="K45" s="483"/>
      <c r="L45" s="483"/>
      <c r="M45" s="483"/>
      <c r="N45" s="483"/>
      <c r="O45" s="483"/>
      <c r="P45" s="483"/>
      <c r="Q45" s="483"/>
      <c r="R45" s="483"/>
      <c r="S45" s="483"/>
      <c r="T45" s="483"/>
      <c r="U45" s="483"/>
      <c r="V45" s="483"/>
      <c r="W45" s="483"/>
      <c r="X45" s="483"/>
      <c r="Y45" s="483"/>
      <c r="Z45" s="483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3"/>
      <c r="AR45" s="483"/>
      <c r="AS45" s="483"/>
      <c r="AT45" s="483"/>
      <c r="AU45" s="483"/>
      <c r="AV45" s="483"/>
      <c r="AW45" s="483"/>
      <c r="AX45" s="483"/>
      <c r="AY45" s="483"/>
      <c r="AZ45" s="483"/>
      <c r="BA45" s="483"/>
      <c r="BB45" s="483"/>
      <c r="BC45" s="483"/>
      <c r="BD45" s="483"/>
      <c r="BE45" s="483"/>
      <c r="BF45" s="483"/>
      <c r="BG45" s="483"/>
      <c r="BH45" s="483"/>
      <c r="BI45" s="483"/>
      <c r="BJ45" s="483"/>
      <c r="BK45" s="483"/>
      <c r="BL45" s="483"/>
      <c r="BM45" s="483"/>
      <c r="BN45" s="483"/>
      <c r="BO45" s="483"/>
      <c r="BP45" s="483"/>
    </row>
    <row r="46" ht="23.25" customHeight="1">
      <c r="D46" s="483"/>
      <c r="E46" s="483"/>
      <c r="F46" s="483"/>
      <c r="G46" s="483"/>
      <c r="H46" s="483"/>
      <c r="I46" s="483"/>
      <c r="J46" s="483"/>
      <c r="K46" s="483"/>
      <c r="L46" s="483"/>
      <c r="M46" s="483"/>
      <c r="N46" s="483"/>
      <c r="O46" s="483"/>
      <c r="P46" s="483"/>
      <c r="Q46" s="483"/>
      <c r="R46" s="483"/>
      <c r="S46" s="483"/>
      <c r="T46" s="483"/>
      <c r="U46" s="483"/>
      <c r="V46" s="483"/>
      <c r="W46" s="483"/>
      <c r="X46" s="483"/>
      <c r="Y46" s="483"/>
      <c r="Z46" s="483"/>
      <c r="AA46" s="483"/>
      <c r="AB46" s="483"/>
      <c r="AC46" s="483"/>
      <c r="AD46" s="483"/>
      <c r="AE46" s="483"/>
      <c r="AF46" s="483"/>
      <c r="AG46" s="483"/>
      <c r="AH46" s="483"/>
      <c r="AI46" s="483"/>
      <c r="AJ46" s="483"/>
      <c r="AK46" s="483"/>
      <c r="AL46" s="483"/>
      <c r="AM46" s="483"/>
      <c r="AN46" s="483"/>
      <c r="AO46" s="483"/>
      <c r="AP46" s="483"/>
      <c r="AQ46" s="483"/>
      <c r="AR46" s="483"/>
      <c r="AS46" s="483"/>
      <c r="AT46" s="483"/>
      <c r="AU46" s="483"/>
      <c r="AV46" s="483"/>
      <c r="AW46" s="483"/>
      <c r="AX46" s="483"/>
      <c r="AY46" s="483"/>
      <c r="AZ46" s="483"/>
      <c r="BA46" s="483"/>
      <c r="BB46" s="483"/>
      <c r="BC46" s="483"/>
      <c r="BD46" s="483"/>
      <c r="BE46" s="483"/>
      <c r="BF46" s="483"/>
      <c r="BG46" s="483"/>
      <c r="BH46" s="483"/>
      <c r="BI46" s="483"/>
      <c r="BJ46" s="483"/>
      <c r="BK46" s="483"/>
      <c r="BL46" s="483"/>
      <c r="BM46" s="483"/>
      <c r="BN46" s="483"/>
      <c r="BO46" s="483"/>
      <c r="BP46" s="483"/>
    </row>
    <row r="47" ht="23.25" customHeight="1">
      <c r="D47" s="483"/>
      <c r="E47" s="483"/>
      <c r="F47" s="483"/>
      <c r="G47" s="483"/>
      <c r="H47" s="483"/>
      <c r="I47" s="483"/>
      <c r="J47" s="483"/>
      <c r="K47" s="483"/>
      <c r="L47" s="483"/>
      <c r="M47" s="483"/>
      <c r="N47" s="483"/>
      <c r="O47" s="483"/>
      <c r="P47" s="483"/>
      <c r="Q47" s="483"/>
      <c r="R47" s="483"/>
      <c r="S47" s="483"/>
      <c r="T47" s="483"/>
      <c r="U47" s="483"/>
      <c r="V47" s="483"/>
      <c r="W47" s="483"/>
      <c r="X47" s="483"/>
      <c r="Y47" s="483"/>
      <c r="Z47" s="483"/>
      <c r="AA47" s="483"/>
      <c r="AB47" s="483"/>
      <c r="AC47" s="483"/>
      <c r="AD47" s="483"/>
      <c r="AE47" s="483"/>
      <c r="AF47" s="483"/>
      <c r="AG47" s="483"/>
      <c r="AH47" s="483"/>
      <c r="AI47" s="483"/>
      <c r="AJ47" s="483"/>
      <c r="AK47" s="483"/>
      <c r="AL47" s="483"/>
      <c r="AM47" s="483"/>
      <c r="AN47" s="483"/>
      <c r="AO47" s="483"/>
      <c r="AP47" s="483"/>
      <c r="AQ47" s="483"/>
      <c r="AR47" s="483"/>
      <c r="AS47" s="483"/>
      <c r="AT47" s="483"/>
      <c r="AU47" s="483"/>
      <c r="AV47" s="483"/>
      <c r="AW47" s="483"/>
      <c r="AX47" s="483"/>
      <c r="AY47" s="483"/>
      <c r="AZ47" s="483"/>
      <c r="BA47" s="483"/>
      <c r="BB47" s="483"/>
      <c r="BC47" s="483"/>
      <c r="BD47" s="483"/>
      <c r="BE47" s="483"/>
      <c r="BF47" s="483"/>
      <c r="BG47" s="483"/>
      <c r="BH47" s="483"/>
      <c r="BI47" s="483"/>
      <c r="BJ47" s="483"/>
      <c r="BK47" s="483"/>
      <c r="BL47" s="483"/>
      <c r="BM47" s="483"/>
      <c r="BN47" s="483"/>
      <c r="BO47" s="483"/>
      <c r="BP47" s="483"/>
    </row>
    <row r="48" ht="23.25" customHeight="1">
      <c r="D48" s="483"/>
      <c r="E48" s="483"/>
      <c r="F48" s="483"/>
      <c r="G48" s="483"/>
      <c r="H48" s="483"/>
      <c r="I48" s="483"/>
      <c r="J48" s="483"/>
      <c r="K48" s="483"/>
      <c r="L48" s="483"/>
      <c r="M48" s="483"/>
      <c r="N48" s="483"/>
      <c r="O48" s="483"/>
      <c r="P48" s="483"/>
      <c r="Q48" s="483"/>
      <c r="R48" s="483"/>
      <c r="S48" s="483"/>
      <c r="T48" s="483"/>
      <c r="U48" s="483"/>
      <c r="V48" s="483"/>
      <c r="W48" s="483"/>
      <c r="X48" s="483"/>
      <c r="Y48" s="483"/>
      <c r="Z48" s="483"/>
      <c r="AA48" s="483"/>
      <c r="AB48" s="483"/>
      <c r="AC48" s="483"/>
      <c r="AD48" s="483"/>
      <c r="AE48" s="483"/>
      <c r="AF48" s="483"/>
      <c r="AG48" s="483"/>
      <c r="AH48" s="483"/>
      <c r="AI48" s="483"/>
      <c r="AJ48" s="483"/>
      <c r="AK48" s="483"/>
      <c r="AL48" s="483"/>
      <c r="AM48" s="483"/>
      <c r="AN48" s="483"/>
      <c r="AO48" s="483"/>
      <c r="AP48" s="483"/>
      <c r="AQ48" s="483"/>
      <c r="AR48" s="483"/>
      <c r="AS48" s="483"/>
      <c r="AT48" s="483"/>
      <c r="AU48" s="483"/>
      <c r="AV48" s="483"/>
      <c r="AW48" s="483"/>
      <c r="AX48" s="483"/>
      <c r="AY48" s="483"/>
      <c r="AZ48" s="483"/>
      <c r="BA48" s="483"/>
      <c r="BB48" s="483"/>
      <c r="BC48" s="483"/>
      <c r="BD48" s="483"/>
      <c r="BE48" s="483"/>
      <c r="BF48" s="483"/>
      <c r="BG48" s="483"/>
      <c r="BH48" s="483"/>
      <c r="BI48" s="483"/>
      <c r="BJ48" s="483"/>
      <c r="BK48" s="483"/>
      <c r="BL48" s="483"/>
      <c r="BM48" s="483"/>
      <c r="BN48" s="483"/>
      <c r="BO48" s="483"/>
      <c r="BP48" s="483"/>
    </row>
    <row r="49" ht="23.25" customHeight="1">
      <c r="D49" s="483"/>
      <c r="E49" s="483"/>
      <c r="F49" s="483"/>
      <c r="G49" s="483"/>
      <c r="H49" s="483"/>
      <c r="I49" s="483"/>
      <c r="J49" s="483"/>
      <c r="K49" s="483"/>
      <c r="L49" s="483"/>
      <c r="M49" s="483"/>
      <c r="N49" s="483"/>
      <c r="O49" s="483"/>
      <c r="P49" s="483"/>
      <c r="Q49" s="483"/>
      <c r="R49" s="483"/>
      <c r="S49" s="483"/>
      <c r="T49" s="483"/>
      <c r="U49" s="483"/>
      <c r="V49" s="483"/>
      <c r="W49" s="483"/>
      <c r="X49" s="483"/>
      <c r="Y49" s="483"/>
      <c r="Z49" s="483"/>
      <c r="AA49" s="483"/>
      <c r="AB49" s="483"/>
      <c r="AC49" s="483"/>
      <c r="AD49" s="483"/>
      <c r="AE49" s="483"/>
      <c r="AF49" s="483"/>
      <c r="AG49" s="483"/>
      <c r="AH49" s="483"/>
      <c r="AI49" s="483"/>
      <c r="AJ49" s="483"/>
      <c r="AK49" s="483"/>
      <c r="AL49" s="483"/>
      <c r="AM49" s="483"/>
      <c r="AN49" s="483"/>
      <c r="AO49" s="483"/>
      <c r="AP49" s="483"/>
      <c r="AQ49" s="483"/>
      <c r="AR49" s="483"/>
      <c r="AS49" s="483"/>
      <c r="AT49" s="483"/>
      <c r="AU49" s="483"/>
      <c r="AV49" s="483"/>
      <c r="AW49" s="483"/>
      <c r="AX49" s="483"/>
      <c r="AY49" s="483"/>
      <c r="AZ49" s="483"/>
      <c r="BA49" s="483"/>
      <c r="BB49" s="483"/>
      <c r="BC49" s="483"/>
      <c r="BD49" s="483"/>
      <c r="BE49" s="483"/>
      <c r="BF49" s="483"/>
      <c r="BG49" s="483"/>
      <c r="BH49" s="483"/>
      <c r="BI49" s="483"/>
      <c r="BJ49" s="483"/>
      <c r="BK49" s="483"/>
      <c r="BL49" s="483"/>
      <c r="BM49" s="483"/>
      <c r="BN49" s="483"/>
      <c r="BO49" s="483"/>
      <c r="BP49" s="483"/>
    </row>
    <row r="50" ht="23.25" customHeight="1">
      <c r="D50" s="483"/>
      <c r="E50" s="483"/>
      <c r="F50" s="483"/>
      <c r="G50" s="483"/>
      <c r="H50" s="483"/>
      <c r="I50" s="483"/>
      <c r="J50" s="483"/>
      <c r="K50" s="483"/>
      <c r="L50" s="483"/>
      <c r="M50" s="483"/>
      <c r="N50" s="483"/>
      <c r="O50" s="483"/>
      <c r="P50" s="483"/>
      <c r="Q50" s="483"/>
      <c r="R50" s="483"/>
      <c r="S50" s="483"/>
      <c r="T50" s="483"/>
      <c r="U50" s="483"/>
      <c r="V50" s="483"/>
      <c r="W50" s="483"/>
      <c r="X50" s="483"/>
      <c r="Y50" s="483"/>
      <c r="Z50" s="483"/>
      <c r="AA50" s="483"/>
      <c r="AB50" s="483"/>
      <c r="AC50" s="483"/>
      <c r="AD50" s="483"/>
      <c r="AE50" s="483"/>
      <c r="AF50" s="483"/>
      <c r="AG50" s="483"/>
      <c r="AH50" s="483"/>
      <c r="AI50" s="483"/>
      <c r="AJ50" s="483"/>
      <c r="AK50" s="483"/>
      <c r="AL50" s="483"/>
      <c r="AM50" s="483"/>
      <c r="AN50" s="483"/>
      <c r="AO50" s="483"/>
      <c r="AP50" s="483"/>
      <c r="AQ50" s="483"/>
      <c r="AR50" s="483"/>
      <c r="AS50" s="483"/>
      <c r="AT50" s="483"/>
      <c r="AU50" s="483"/>
      <c r="AV50" s="483"/>
      <c r="AW50" s="483"/>
      <c r="AX50" s="483"/>
      <c r="AY50" s="483"/>
      <c r="AZ50" s="483"/>
      <c r="BA50" s="483"/>
      <c r="BB50" s="483"/>
      <c r="BC50" s="483"/>
      <c r="BD50" s="483"/>
      <c r="BE50" s="483"/>
      <c r="BF50" s="483"/>
      <c r="BG50" s="483"/>
      <c r="BH50" s="483"/>
      <c r="BI50" s="483"/>
      <c r="BJ50" s="483"/>
      <c r="BK50" s="483"/>
      <c r="BL50" s="483"/>
      <c r="BM50" s="483"/>
      <c r="BN50" s="483"/>
      <c r="BO50" s="483"/>
      <c r="BP50" s="483"/>
    </row>
    <row r="51" ht="23.25" customHeight="1">
      <c r="D51" s="483"/>
      <c r="E51" s="483"/>
      <c r="F51" s="483"/>
      <c r="G51" s="483"/>
      <c r="H51" s="483"/>
      <c r="I51" s="483"/>
      <c r="J51" s="483"/>
      <c r="K51" s="483"/>
      <c r="L51" s="483"/>
      <c r="M51" s="483"/>
      <c r="N51" s="483"/>
      <c r="O51" s="483"/>
      <c r="P51" s="483"/>
      <c r="Q51" s="483"/>
      <c r="R51" s="483"/>
      <c r="S51" s="483"/>
      <c r="T51" s="483"/>
      <c r="U51" s="483"/>
      <c r="V51" s="483"/>
      <c r="W51" s="483"/>
      <c r="X51" s="483"/>
      <c r="Y51" s="483"/>
      <c r="Z51" s="483"/>
      <c r="AA51" s="483"/>
      <c r="AB51" s="483"/>
      <c r="AC51" s="483"/>
      <c r="AD51" s="483"/>
      <c r="AE51" s="483"/>
      <c r="AF51" s="483"/>
      <c r="AG51" s="483"/>
      <c r="AH51" s="483"/>
      <c r="AI51" s="483"/>
      <c r="AJ51" s="483"/>
      <c r="AK51" s="483"/>
      <c r="AL51" s="483"/>
      <c r="AM51" s="483"/>
      <c r="AN51" s="483"/>
      <c r="AO51" s="483"/>
      <c r="AP51" s="483"/>
      <c r="AQ51" s="483"/>
      <c r="AR51" s="483"/>
      <c r="AS51" s="483"/>
      <c r="AT51" s="483"/>
      <c r="AU51" s="483"/>
      <c r="AV51" s="483"/>
      <c r="AW51" s="483"/>
      <c r="AX51" s="483"/>
      <c r="AY51" s="483"/>
      <c r="AZ51" s="483"/>
      <c r="BA51" s="483"/>
      <c r="BB51" s="483"/>
      <c r="BC51" s="483"/>
      <c r="BD51" s="483"/>
      <c r="BE51" s="483"/>
      <c r="BF51" s="483"/>
      <c r="BG51" s="483"/>
      <c r="BH51" s="483"/>
      <c r="BI51" s="483"/>
      <c r="BJ51" s="483"/>
      <c r="BK51" s="483"/>
      <c r="BL51" s="483"/>
      <c r="BM51" s="483"/>
      <c r="BN51" s="483"/>
      <c r="BO51" s="483"/>
      <c r="BP51" s="483"/>
    </row>
    <row r="52" ht="23.25" customHeight="1">
      <c r="D52" s="483"/>
      <c r="E52" s="483"/>
      <c r="F52" s="483"/>
      <c r="G52" s="483"/>
      <c r="H52" s="483"/>
      <c r="I52" s="483"/>
      <c r="J52" s="483"/>
      <c r="K52" s="483"/>
      <c r="L52" s="483"/>
      <c r="M52" s="483"/>
      <c r="N52" s="483"/>
      <c r="O52" s="483"/>
      <c r="P52" s="483"/>
      <c r="Q52" s="483"/>
      <c r="R52" s="483"/>
      <c r="S52" s="483"/>
      <c r="T52" s="483"/>
      <c r="U52" s="483"/>
      <c r="V52" s="483"/>
      <c r="W52" s="483"/>
      <c r="X52" s="483"/>
      <c r="Y52" s="483"/>
      <c r="Z52" s="483"/>
      <c r="AA52" s="483"/>
      <c r="AB52" s="483"/>
      <c r="AC52" s="483"/>
      <c r="AD52" s="483"/>
      <c r="AE52" s="483"/>
      <c r="AF52" s="483"/>
      <c r="AG52" s="483"/>
      <c r="AH52" s="483"/>
      <c r="AI52" s="483"/>
      <c r="AJ52" s="483"/>
      <c r="AK52" s="483"/>
      <c r="AL52" s="483"/>
      <c r="AM52" s="483"/>
      <c r="AN52" s="483"/>
      <c r="AO52" s="483"/>
      <c r="AP52" s="483"/>
      <c r="AQ52" s="483"/>
      <c r="AR52" s="483"/>
      <c r="AS52" s="483"/>
      <c r="AT52" s="483"/>
      <c r="AU52" s="483"/>
      <c r="AV52" s="483"/>
      <c r="AW52" s="483"/>
      <c r="AX52" s="483"/>
      <c r="AY52" s="483"/>
      <c r="AZ52" s="483"/>
      <c r="BA52" s="483"/>
      <c r="BB52" s="483"/>
      <c r="BC52" s="483"/>
      <c r="BD52" s="483"/>
      <c r="BE52" s="483"/>
      <c r="BF52" s="483"/>
      <c r="BG52" s="483"/>
      <c r="BH52" s="483"/>
      <c r="BI52" s="483"/>
      <c r="BJ52" s="483"/>
      <c r="BK52" s="483"/>
      <c r="BL52" s="483"/>
      <c r="BM52" s="483"/>
      <c r="BN52" s="483"/>
      <c r="BO52" s="483"/>
      <c r="BP52" s="483"/>
    </row>
    <row r="53" ht="23.25" customHeight="1">
      <c r="D53" s="483"/>
      <c r="BO53" s="483"/>
      <c r="BP53" s="483"/>
    </row>
    <row r="54" ht="23.25" customHeight="1">
      <c r="BO54" s="483"/>
      <c r="BP54" s="483"/>
    </row>
  </sheetData>
  <mergeCells count="69">
    <mergeCell ref="T4:W4"/>
    <mergeCell ref="Y4:AB4"/>
    <mergeCell ref="AD4:AG4"/>
    <mergeCell ref="AI4:AL4"/>
    <mergeCell ref="AN4:AQ4"/>
    <mergeCell ref="AS4:AV4"/>
    <mergeCell ref="AX4:BA4"/>
    <mergeCell ref="BC4:BF4"/>
    <mergeCell ref="BC8:BF8"/>
    <mergeCell ref="BH8:BK8"/>
    <mergeCell ref="BM8:BP8"/>
    <mergeCell ref="BH4:BK4"/>
    <mergeCell ref="BM4:BP4"/>
    <mergeCell ref="A1:D1"/>
    <mergeCell ref="E1:M3"/>
    <mergeCell ref="N1:Z3"/>
    <mergeCell ref="AA1:BP3"/>
    <mergeCell ref="A2:D3"/>
    <mergeCell ref="A4:C4"/>
    <mergeCell ref="E4:H4"/>
    <mergeCell ref="J4:M4"/>
    <mergeCell ref="O4:R4"/>
    <mergeCell ref="A5:C5"/>
    <mergeCell ref="A6:C6"/>
    <mergeCell ref="A7:C7"/>
    <mergeCell ref="A8:C8"/>
    <mergeCell ref="E8:H8"/>
    <mergeCell ref="B14:C14"/>
    <mergeCell ref="B19:C19"/>
    <mergeCell ref="B26:C26"/>
    <mergeCell ref="B27:C27"/>
    <mergeCell ref="B28:C28"/>
    <mergeCell ref="B29:C29"/>
    <mergeCell ref="B30:C30"/>
    <mergeCell ref="B31:C31"/>
    <mergeCell ref="A19:A32"/>
    <mergeCell ref="A33:A36"/>
    <mergeCell ref="B33:C33"/>
    <mergeCell ref="B34:C34"/>
    <mergeCell ref="B35:C35"/>
    <mergeCell ref="B36:C36"/>
    <mergeCell ref="A38:C54"/>
    <mergeCell ref="A9:C9"/>
    <mergeCell ref="A10:A18"/>
    <mergeCell ref="B10:C10"/>
    <mergeCell ref="B11:C11"/>
    <mergeCell ref="B12:C12"/>
    <mergeCell ref="B13:C13"/>
    <mergeCell ref="B32:C32"/>
    <mergeCell ref="AS8:AV8"/>
    <mergeCell ref="AX8:BA8"/>
    <mergeCell ref="J8:M8"/>
    <mergeCell ref="O8:R8"/>
    <mergeCell ref="T8:W8"/>
    <mergeCell ref="Y8:AB8"/>
    <mergeCell ref="AD8:AG8"/>
    <mergeCell ref="AI8:AL8"/>
    <mergeCell ref="AN8:AQ8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D53:BN54"/>
  </mergeCells>
  <dataValidations>
    <dataValidation type="list" allowBlank="1" sqref="E15:H15 J15:M15 O15:R15 T15:W15 Y15:AB15 AD15:AG15 AI15:AL15 AN15:AQ15 AS15:AV15 AX15:BA15 BC15:BF15 BH15:BK15 BM15:BP15">
      <formula1>"SER,BS,TS,SS,CIR,CS,PC,PD,DS,RP,SN,FST-7"</formula1>
    </dataValidation>
    <dataValidation type="list" allowBlank="1" showInputMessage="1" prompt="Clique e digite um valor da lista de itens" sqref="E7:H7 J7:M7 O7:R7 T7:W7 Y7:AB7 AD7:AG7 AI7:AL7 AN7:AQ7 AS7:AV7 AX7:BA7 BC7:BF7 BH7:BK7 BM7:BP7">
      <formula1>"ADP,ORD,CHO,REG"</formula1>
    </dataValidation>
    <dataValidation type="list" allowBlank="1" sqref="E17:H17 J17:M17 O17:R17 T17:W17 Y17:AB17 AD17:AG17 AI17:AL17 AN17:AQ17 AS17:AV17 AX17:BA17 BC17:BF17 BH17:BK17 BM17:BP17">
      <formula1>"FB,AB,ABC,ABCD,ABCDE"</formula1>
    </dataValidation>
    <dataValidation type="list" allowBlank="1" sqref="E14:H14 J14:M14 O14:R14 T14:W14 Y14:AB14 AD14:AG14 AI14:AL14 AN14:AQ14 AS14:AV14 AX14:BA14 BC14:BF14 BH14:BK14 BM14:BP14">
      <formula1>"AS,A/AN,CA,CGM,MIS"</formula1>
    </dataValidation>
  </dataValidations>
  <hyperlinks>
    <hyperlink display="↩ Voltar para a aba" location="'Tela Inicial - Calendário'!A1" ref="A1"/>
    <hyperlink display="Calendário" location="'Tela Inicial - Calendário'!A1" ref="A2"/>
  </hyperlinks>
  <printOptions gridLines="1" horizontalCentered="1"/>
  <pageMargins bottom="1.0" footer="0.0" header="0.0" left="1.0" right="1.0" top="1.0"/>
  <pageSetup paperSize="9" cellComments="atEnd" orientation="landscape" pageOrder="overThenDown"/>
  <colBreaks count="1" manualBreakCount="1">
    <brk id="18" man="1"/>
  </col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73.57"/>
    <col customWidth="1" min="3" max="3" width="3.14"/>
    <col customWidth="1" min="4" max="5" width="2.71"/>
    <col customWidth="1" min="6" max="6" width="25.71"/>
    <col customWidth="1" min="7" max="7" width="20.71"/>
    <col customWidth="1" min="8" max="8" width="22.86"/>
    <col customWidth="1" min="9" max="9" width="21.71"/>
    <col hidden="1" min="10" max="11" width="14.43"/>
  </cols>
  <sheetData>
    <row r="1">
      <c r="B1" s="485" t="str">
        <f>'Dados de Base'!G2</f>
        <v>Claudinei Gasparoto</v>
      </c>
      <c r="F1" s="486" t="s">
        <v>174</v>
      </c>
      <c r="G1" s="486" t="s">
        <v>175</v>
      </c>
      <c r="H1" s="486" t="s">
        <v>174</v>
      </c>
      <c r="I1" s="486" t="s">
        <v>175</v>
      </c>
      <c r="J1" s="487" t="s">
        <v>174</v>
      </c>
      <c r="K1" s="487" t="s">
        <v>175</v>
      </c>
    </row>
    <row r="2">
      <c r="F2" s="488"/>
      <c r="G2" s="488"/>
      <c r="H2" s="201" t="str">
        <f t="array" ref="H2">IF(COUNTA($J$2:$J$176)=0,"",UNIQUE($J$2:$J$176))</f>
        <v/>
      </c>
      <c r="I2" s="489" t="str">
        <f t="array" ref="I2">IF(COUNTA($K$2:$K$176)=0,"",UNIQUE($K$2:$K$176))</f>
        <v/>
      </c>
      <c r="J2" s="201" t="str">
        <f>Montagem!K46</f>
        <v/>
      </c>
      <c r="K2" s="201" t="str">
        <f>'Semana 1'!$A$75</f>
        <v/>
      </c>
    </row>
    <row r="3">
      <c r="A3" s="251" t="s">
        <v>132</v>
      </c>
      <c r="B3" s="490"/>
      <c r="F3" s="488"/>
      <c r="G3" s="488"/>
      <c r="J3" s="201" t="str">
        <f>Montagem!K47</f>
        <v/>
      </c>
      <c r="K3" s="201" t="str">
        <f>'Semana 1'!$A$76</f>
        <v/>
      </c>
    </row>
    <row r="4">
      <c r="F4" s="488"/>
      <c r="G4" s="488"/>
      <c r="J4" s="201" t="str">
        <f>Montagem!K48</f>
        <v/>
      </c>
      <c r="K4" s="201" t="str">
        <f>'Semana 1'!$A$77</f>
        <v/>
      </c>
    </row>
    <row r="5">
      <c r="A5" s="251" t="s">
        <v>176</v>
      </c>
      <c r="B5" s="490"/>
      <c r="F5" s="488"/>
      <c r="G5" s="488"/>
      <c r="J5" s="201" t="str">
        <f>Montagem!K49</f>
        <v/>
      </c>
      <c r="K5" s="201" t="str">
        <f>'Semana 1'!$A$78</f>
        <v/>
      </c>
    </row>
    <row r="6">
      <c r="A6" s="251" t="s">
        <v>177</v>
      </c>
      <c r="B6" s="490"/>
      <c r="F6" s="488"/>
      <c r="G6" s="488"/>
      <c r="J6" s="201" t="str">
        <f>Montagem!K50</f>
        <v/>
      </c>
      <c r="K6" s="201" t="str">
        <f>'Semana 1'!$A$79</f>
        <v/>
      </c>
    </row>
    <row r="7">
      <c r="F7" s="488"/>
      <c r="G7" s="488"/>
      <c r="J7" s="201" t="str">
        <f>Montagem!Z46</f>
        <v/>
      </c>
      <c r="K7" s="201" t="str">
        <f>'Semana 1'!$R$75</f>
        <v/>
      </c>
    </row>
    <row r="8">
      <c r="A8" s="251" t="s">
        <v>178</v>
      </c>
      <c r="F8" s="488"/>
      <c r="G8" s="488"/>
      <c r="J8" s="201" t="str">
        <f>Montagem!Z47</f>
        <v/>
      </c>
      <c r="K8" s="201" t="str">
        <f>'Semana 1'!$R$76</f>
        <v/>
      </c>
    </row>
    <row r="9">
      <c r="A9" s="491"/>
      <c r="B9" s="488"/>
      <c r="F9" s="488"/>
      <c r="G9" s="488"/>
      <c r="J9" s="201" t="str">
        <f>Montagem!Z48</f>
        <v/>
      </c>
      <c r="K9" s="201" t="str">
        <f>'Semana 1'!$R$77</f>
        <v/>
      </c>
    </row>
    <row r="10">
      <c r="A10" s="491"/>
      <c r="B10" s="488"/>
      <c r="F10" s="488"/>
      <c r="G10" s="488"/>
      <c r="J10" s="201" t="str">
        <f>Montagem!Z49</f>
        <v/>
      </c>
      <c r="K10" s="201" t="str">
        <f>'Semana 1'!$R$78</f>
        <v/>
      </c>
    </row>
    <row r="11">
      <c r="A11" s="491"/>
      <c r="B11" s="488"/>
      <c r="F11" s="488"/>
      <c r="G11" s="488"/>
      <c r="J11" s="201" t="str">
        <f>Montagem!Z50</f>
        <v/>
      </c>
      <c r="K11" s="201" t="str">
        <f>'Semana 1'!$R$79</f>
        <v/>
      </c>
    </row>
    <row r="12">
      <c r="A12" s="491"/>
      <c r="B12" s="488"/>
      <c r="F12" s="488"/>
      <c r="G12" s="488"/>
      <c r="J12" s="201" t="str">
        <f>Montagem!AO46</f>
        <v/>
      </c>
      <c r="K12" s="201" t="str">
        <f>'Semana 1'!$AI$75</f>
        <v/>
      </c>
    </row>
    <row r="13">
      <c r="A13" s="491"/>
      <c r="B13" s="488"/>
      <c r="F13" s="488"/>
      <c r="G13" s="488"/>
      <c r="J13" s="201" t="str">
        <f>Montagem!AO47</f>
        <v/>
      </c>
      <c r="K13" s="201" t="str">
        <f>'Semana 1'!$AI$76</f>
        <v/>
      </c>
    </row>
    <row r="14">
      <c r="A14" s="491"/>
      <c r="B14" s="488"/>
      <c r="F14" s="488"/>
      <c r="G14" s="488"/>
      <c r="J14" s="201" t="str">
        <f>Montagem!AO48</f>
        <v/>
      </c>
      <c r="K14" s="201" t="str">
        <f>'Semana 1'!$AI$77</f>
        <v/>
      </c>
    </row>
    <row r="15">
      <c r="A15" s="488"/>
      <c r="B15" s="488"/>
      <c r="F15" s="488"/>
      <c r="G15" s="488"/>
      <c r="J15" s="201" t="str">
        <f>Montagem!AO49</f>
        <v/>
      </c>
      <c r="K15" s="201" t="str">
        <f>'Semana 1'!$AI$78</f>
        <v/>
      </c>
    </row>
    <row r="16">
      <c r="A16" s="488"/>
      <c r="B16" s="488"/>
      <c r="F16" s="488"/>
      <c r="G16" s="488"/>
      <c r="J16" s="201" t="str">
        <f>Montagem!AO50</f>
        <v/>
      </c>
      <c r="K16" s="201" t="str">
        <f>'Semana 1'!$AI$79</f>
        <v/>
      </c>
    </row>
    <row r="17">
      <c r="A17" s="488"/>
      <c r="B17" s="488"/>
      <c r="F17" s="488"/>
      <c r="G17" s="488"/>
      <c r="J17" s="201" t="str">
        <f>Montagem!BD46</f>
        <v/>
      </c>
      <c r="K17" s="201" t="str">
        <f>'Semana 1'!$AZ$75</f>
        <v/>
      </c>
    </row>
    <row r="18">
      <c r="A18" s="488"/>
      <c r="B18" s="488"/>
      <c r="F18" s="488"/>
      <c r="G18" s="488"/>
      <c r="J18" s="201" t="str">
        <f>Montagem!BD47</f>
        <v/>
      </c>
      <c r="K18" s="201" t="str">
        <f>'Semana 1'!$AZ$76</f>
        <v/>
      </c>
    </row>
    <row r="19">
      <c r="A19" s="488"/>
      <c r="B19" s="488"/>
      <c r="F19" s="488"/>
      <c r="G19" s="488"/>
      <c r="J19" s="201" t="str">
        <f>Montagem!BD48</f>
        <v/>
      </c>
      <c r="K19" s="201" t="str">
        <f>'Semana 1'!$AZ$77</f>
        <v/>
      </c>
    </row>
    <row r="20">
      <c r="A20" s="488"/>
      <c r="B20" s="488"/>
      <c r="F20" s="488"/>
      <c r="G20" s="488"/>
      <c r="J20" s="201" t="str">
        <f>Montagem!BD49</f>
        <v/>
      </c>
      <c r="K20" s="201" t="str">
        <f>'Semana 1'!$AZ$78</f>
        <v/>
      </c>
    </row>
    <row r="21">
      <c r="A21" s="488"/>
      <c r="B21" s="488"/>
      <c r="F21" s="488"/>
      <c r="G21" s="488"/>
      <c r="J21" s="201" t="str">
        <f>Montagem!BD50</f>
        <v/>
      </c>
      <c r="K21" s="201" t="str">
        <f>'Semana 1'!$AZ$79</f>
        <v/>
      </c>
    </row>
    <row r="22">
      <c r="A22" s="488"/>
      <c r="B22" s="488"/>
      <c r="F22" s="488"/>
      <c r="G22" s="488"/>
      <c r="J22" s="201" t="str">
        <f>Montagem!BS46</f>
        <v/>
      </c>
      <c r="K22" s="201" t="str">
        <f>'Semana 1'!$BQ$75</f>
        <v/>
      </c>
    </row>
    <row r="23">
      <c r="F23" s="488"/>
      <c r="G23" s="488"/>
      <c r="J23" s="201" t="str">
        <f>Montagem!BS47</f>
        <v/>
      </c>
      <c r="K23" s="201" t="str">
        <f>'Semana 1'!$BQ$76</f>
        <v/>
      </c>
    </row>
    <row r="24">
      <c r="F24" s="488"/>
      <c r="G24" s="488"/>
      <c r="J24" s="201" t="str">
        <f>Montagem!BS48</f>
        <v/>
      </c>
      <c r="K24" s="201" t="str">
        <f>'Semana 1'!$BQ$77</f>
        <v/>
      </c>
    </row>
    <row r="25">
      <c r="F25" s="488"/>
      <c r="G25" s="488"/>
      <c r="J25" s="201" t="str">
        <f>Montagem!BS49</f>
        <v/>
      </c>
      <c r="K25" s="201" t="str">
        <f>'Semana 1'!$BQ$78</f>
        <v/>
      </c>
    </row>
    <row r="26">
      <c r="F26" s="488"/>
      <c r="G26" s="488"/>
      <c r="J26" s="201" t="str">
        <f>Montagem!BS50</f>
        <v/>
      </c>
      <c r="K26" s="201" t="str">
        <f>'Semana 1'!$BQ$79</f>
        <v/>
      </c>
    </row>
    <row r="27">
      <c r="F27" s="488"/>
      <c r="G27" s="488"/>
      <c r="J27" s="201" t="str">
        <f>Montagem!CH46</f>
        <v/>
      </c>
      <c r="K27" s="201" t="str">
        <f>'Semana 1'!$CH$75</f>
        <v/>
      </c>
    </row>
    <row r="28">
      <c r="F28" s="488"/>
      <c r="G28" s="488"/>
      <c r="J28" s="201" t="str">
        <f>Montagem!CH47</f>
        <v/>
      </c>
      <c r="K28" s="201" t="str">
        <f>'Semana 1'!$CH$76</f>
        <v/>
      </c>
    </row>
    <row r="29">
      <c r="F29" s="488"/>
      <c r="G29" s="488"/>
      <c r="J29" s="201" t="str">
        <f>Montagem!CH48</f>
        <v/>
      </c>
      <c r="K29" s="201" t="str">
        <f>'Semana 1'!$CH$77</f>
        <v/>
      </c>
    </row>
    <row r="30">
      <c r="F30" s="488"/>
      <c r="G30" s="488"/>
      <c r="J30" s="201" t="str">
        <f>Montagem!CH49</f>
        <v/>
      </c>
      <c r="K30" s="201" t="str">
        <f>'Semana 1'!$CH$78</f>
        <v/>
      </c>
    </row>
    <row r="31">
      <c r="F31" s="488"/>
      <c r="G31" s="488"/>
      <c r="J31" s="201" t="str">
        <f>Montagem!CH50</f>
        <v/>
      </c>
      <c r="K31" s="201" t="str">
        <f>'Semana 1'!$CH$79</f>
        <v/>
      </c>
    </row>
    <row r="32">
      <c r="F32" s="488"/>
      <c r="G32" s="488"/>
      <c r="J32" s="201" t="str">
        <f>Montagem!CW46</f>
        <v/>
      </c>
      <c r="K32" s="201" t="str">
        <f>'Semana 1'!$CY$75</f>
        <v/>
      </c>
    </row>
    <row r="33">
      <c r="F33" s="488"/>
      <c r="G33" s="488"/>
      <c r="J33" s="201" t="str">
        <f>Montagem!CW47</f>
        <v/>
      </c>
      <c r="K33" s="201" t="str">
        <f>'Semana 1'!$CY$76</f>
        <v/>
      </c>
    </row>
    <row r="34">
      <c r="F34" s="488"/>
      <c r="G34" s="488"/>
      <c r="J34" s="201" t="str">
        <f>Montagem!CW48</f>
        <v/>
      </c>
      <c r="K34" s="201" t="str">
        <f>'Semana 1'!$CY$77</f>
        <v/>
      </c>
    </row>
    <row r="35">
      <c r="F35" s="488"/>
      <c r="G35" s="488"/>
      <c r="J35" s="201" t="str">
        <f>Montagem!CW49</f>
        <v/>
      </c>
      <c r="K35" s="201" t="str">
        <f>'Semana 1'!$CY$78</f>
        <v/>
      </c>
    </row>
    <row r="36">
      <c r="J36" s="201" t="str">
        <f>Montagem!CW50</f>
        <v/>
      </c>
      <c r="K36" s="201" t="str">
        <f>'Semana 1'!$CY$79</f>
        <v/>
      </c>
    </row>
    <row r="37">
      <c r="J37" s="201" t="str">
        <f>Montagem!K96</f>
        <v/>
      </c>
      <c r="K37" s="201" t="str">
        <f>'Semana 2'!$A$75</f>
        <v/>
      </c>
    </row>
    <row r="38">
      <c r="J38" s="201" t="str">
        <f>Montagem!K97</f>
        <v/>
      </c>
      <c r="K38" s="201" t="str">
        <f>'Semana 2'!$A$76</f>
        <v/>
      </c>
    </row>
    <row r="39">
      <c r="J39" s="201" t="str">
        <f>Montagem!K98</f>
        <v/>
      </c>
      <c r="K39" s="201" t="str">
        <f>'Semana 2'!$A$77</f>
        <v/>
      </c>
    </row>
    <row r="40">
      <c r="J40" s="201" t="str">
        <f>Montagem!K99</f>
        <v/>
      </c>
      <c r="K40" s="201" t="str">
        <f>'Semana 2'!$A$78</f>
        <v/>
      </c>
    </row>
    <row r="41">
      <c r="J41" s="201" t="str">
        <f>Montagem!K100</f>
        <v/>
      </c>
      <c r="K41" s="201" t="str">
        <f>'Semana 2'!$A$79</f>
        <v/>
      </c>
    </row>
    <row r="42">
      <c r="J42" s="201" t="str">
        <f>Montagem!Z96</f>
        <v/>
      </c>
      <c r="K42" s="201" t="str">
        <f>'Semana 2'!$R$75</f>
        <v/>
      </c>
    </row>
    <row r="43">
      <c r="J43" s="201" t="str">
        <f>Montagem!Z97</f>
        <v/>
      </c>
      <c r="K43" s="201" t="str">
        <f>'Semana 2'!$R$76</f>
        <v/>
      </c>
    </row>
    <row r="44">
      <c r="J44" s="201" t="str">
        <f>Montagem!Z98</f>
        <v/>
      </c>
      <c r="K44" s="201" t="str">
        <f>'Semana 2'!$R$77</f>
        <v/>
      </c>
    </row>
    <row r="45">
      <c r="J45" s="201" t="str">
        <f>Montagem!Z99</f>
        <v/>
      </c>
      <c r="K45" s="201" t="str">
        <f>'Semana 2'!$R$78</f>
        <v/>
      </c>
    </row>
    <row r="46">
      <c r="J46" s="201" t="str">
        <f>Montagem!Z100</f>
        <v/>
      </c>
      <c r="K46" s="201" t="str">
        <f>'Semana 2'!$R$79</f>
        <v/>
      </c>
    </row>
    <row r="47">
      <c r="J47" s="201" t="str">
        <f>Montagem!AO96</f>
        <v/>
      </c>
      <c r="K47" s="201" t="str">
        <f>'Semana 2'!$AI$75</f>
        <v/>
      </c>
    </row>
    <row r="48">
      <c r="J48" s="201" t="str">
        <f>Montagem!AO97</f>
        <v/>
      </c>
      <c r="K48" s="201" t="str">
        <f>'Semana 2'!$AI$76</f>
        <v/>
      </c>
    </row>
    <row r="49">
      <c r="J49" s="201" t="str">
        <f>Montagem!AO98</f>
        <v/>
      </c>
      <c r="K49" s="201" t="str">
        <f>'Semana 2'!$AI$77</f>
        <v/>
      </c>
    </row>
    <row r="50">
      <c r="J50" s="201" t="str">
        <f>Montagem!AO99</f>
        <v/>
      </c>
      <c r="K50" s="201" t="str">
        <f>'Semana 2'!$AI$78</f>
        <v/>
      </c>
    </row>
    <row r="51">
      <c r="J51" s="201" t="str">
        <f>Montagem!AO100</f>
        <v/>
      </c>
      <c r="K51" s="201" t="str">
        <f>'Semana 2'!$AI$79</f>
        <v/>
      </c>
    </row>
    <row r="52">
      <c r="J52" s="201" t="str">
        <f>Montagem!BD96</f>
        <v/>
      </c>
      <c r="K52" s="201" t="str">
        <f>'Semana 2'!$AZ$75</f>
        <v/>
      </c>
    </row>
    <row r="53">
      <c r="J53" s="201" t="str">
        <f>Montagem!BD97</f>
        <v/>
      </c>
      <c r="K53" s="201" t="str">
        <f>'Semana 2'!$AZ$76</f>
        <v/>
      </c>
    </row>
    <row r="54">
      <c r="J54" s="201" t="str">
        <f>Montagem!BD98</f>
        <v/>
      </c>
      <c r="K54" s="201" t="str">
        <f>'Semana 2'!$AZ$77</f>
        <v/>
      </c>
    </row>
    <row r="55">
      <c r="J55" s="201" t="str">
        <f>Montagem!BD99</f>
        <v/>
      </c>
      <c r="K55" s="201" t="str">
        <f>'Semana 2'!$AZ$78</f>
        <v/>
      </c>
    </row>
    <row r="56">
      <c r="J56" s="201" t="str">
        <f>Montagem!BD100</f>
        <v/>
      </c>
      <c r="K56" s="201" t="str">
        <f>'Semana 2'!$AZ$79</f>
        <v/>
      </c>
    </row>
    <row r="57">
      <c r="J57" s="201" t="str">
        <f>Montagem!BS96</f>
        <v/>
      </c>
      <c r="K57" s="201" t="str">
        <f>'Semana 2'!$BQ$75</f>
        <v/>
      </c>
    </row>
    <row r="58">
      <c r="J58" s="201" t="str">
        <f>Montagem!BS97</f>
        <v/>
      </c>
      <c r="K58" s="201" t="str">
        <f>'Semana 2'!$BQ$76</f>
        <v/>
      </c>
    </row>
    <row r="59">
      <c r="J59" s="201" t="str">
        <f>Montagem!BS98</f>
        <v/>
      </c>
      <c r="K59" s="201" t="str">
        <f>'Semana 2'!$BQ$77</f>
        <v/>
      </c>
    </row>
    <row r="60">
      <c r="J60" s="201" t="str">
        <f>Montagem!BS99</f>
        <v/>
      </c>
      <c r="K60" s="201" t="str">
        <f>'Semana 2'!$BQ$78</f>
        <v/>
      </c>
    </row>
    <row r="61">
      <c r="J61" s="201" t="str">
        <f>Montagem!BS100</f>
        <v/>
      </c>
      <c r="K61" s="201" t="str">
        <f>'Semana 2'!$BQ$79</f>
        <v/>
      </c>
    </row>
    <row r="62">
      <c r="J62" s="201" t="str">
        <f>Montagem!CH96</f>
        <v/>
      </c>
      <c r="K62" s="201" t="str">
        <f>'Semana 2'!$CH$75</f>
        <v/>
      </c>
    </row>
    <row r="63">
      <c r="J63" s="201" t="str">
        <f>Montagem!CH97</f>
        <v/>
      </c>
      <c r="K63" s="201" t="str">
        <f>'Semana 2'!$CH$76</f>
        <v/>
      </c>
    </row>
    <row r="64">
      <c r="J64" s="201" t="str">
        <f>Montagem!CH98</f>
        <v/>
      </c>
      <c r="K64" s="201" t="str">
        <f>'Semana 2'!$CH$77</f>
        <v/>
      </c>
    </row>
    <row r="65">
      <c r="J65" s="201" t="str">
        <f>Montagem!CH99</f>
        <v/>
      </c>
      <c r="K65" s="201" t="str">
        <f>'Semana 2'!$CH$78</f>
        <v/>
      </c>
    </row>
    <row r="66">
      <c r="J66" s="201" t="str">
        <f>Montagem!CH100</f>
        <v/>
      </c>
      <c r="K66" s="201" t="str">
        <f>'Semana 2'!$CH$79</f>
        <v/>
      </c>
    </row>
    <row r="67">
      <c r="J67" s="201" t="str">
        <f>Montagem!CW96</f>
        <v/>
      </c>
      <c r="K67" s="201" t="str">
        <f>'Semana 2'!$CY$75</f>
        <v/>
      </c>
    </row>
    <row r="68">
      <c r="J68" s="201" t="str">
        <f>Montagem!CW97</f>
        <v/>
      </c>
      <c r="K68" s="201" t="str">
        <f>'Semana 2'!$CY$76</f>
        <v/>
      </c>
    </row>
    <row r="69">
      <c r="J69" s="201" t="str">
        <f>Montagem!CW98</f>
        <v/>
      </c>
      <c r="K69" s="201" t="str">
        <f>'Semana 2'!$CY$77</f>
        <v/>
      </c>
    </row>
    <row r="70">
      <c r="J70" s="201" t="str">
        <f>Montagem!CW99</f>
        <v/>
      </c>
      <c r="K70" s="201" t="str">
        <f>'Semana 2'!$CY$78</f>
        <v/>
      </c>
    </row>
    <row r="71">
      <c r="J71" s="201" t="str">
        <f>Montagem!CW100</f>
        <v/>
      </c>
      <c r="K71" s="201" t="str">
        <f>'Semana 2'!$CY$79</f>
        <v/>
      </c>
    </row>
    <row r="72">
      <c r="J72" s="201" t="str">
        <f>Montagem!K146</f>
        <v/>
      </c>
      <c r="K72" s="201" t="str">
        <f>'Semana 3'!$A$75</f>
        <v/>
      </c>
    </row>
    <row r="73">
      <c r="J73" s="201" t="str">
        <f>Montagem!K147</f>
        <v/>
      </c>
      <c r="K73" s="201" t="str">
        <f>'Semana 3'!$A$76</f>
        <v/>
      </c>
    </row>
    <row r="74">
      <c r="J74" s="201" t="str">
        <f>Montagem!K148</f>
        <v/>
      </c>
      <c r="K74" s="201" t="str">
        <f>'Semana 3'!$A$77</f>
        <v/>
      </c>
    </row>
    <row r="75">
      <c r="J75" s="201" t="str">
        <f>Montagem!K149</f>
        <v/>
      </c>
      <c r="K75" s="201" t="str">
        <f>'Semana 3'!$A$78</f>
        <v/>
      </c>
    </row>
    <row r="76">
      <c r="J76" s="201" t="str">
        <f>Montagem!K150</f>
        <v/>
      </c>
      <c r="K76" s="201" t="str">
        <f>'Semana 3'!$A$79</f>
        <v/>
      </c>
    </row>
    <row r="77">
      <c r="J77" s="201" t="str">
        <f>Montagem!Z146</f>
        <v/>
      </c>
      <c r="K77" s="201" t="str">
        <f>'Semana 3'!$R$75</f>
        <v/>
      </c>
    </row>
    <row r="78">
      <c r="J78" s="201" t="str">
        <f>Montagem!Z147</f>
        <v/>
      </c>
      <c r="K78" s="201" t="str">
        <f>'Semana 3'!$R$76</f>
        <v/>
      </c>
    </row>
    <row r="79">
      <c r="J79" s="201" t="str">
        <f>Montagem!Z148</f>
        <v/>
      </c>
      <c r="K79" s="201" t="str">
        <f>'Semana 3'!$R$77</f>
        <v/>
      </c>
    </row>
    <row r="80">
      <c r="J80" s="201" t="str">
        <f>Montagem!Z149</f>
        <v/>
      </c>
      <c r="K80" s="201" t="str">
        <f>'Semana 3'!$R$78</f>
        <v/>
      </c>
    </row>
    <row r="81">
      <c r="J81" s="201" t="str">
        <f>Montagem!Z150</f>
        <v/>
      </c>
      <c r="K81" s="201" t="str">
        <f>'Semana 3'!$R$79</f>
        <v/>
      </c>
    </row>
    <row r="82">
      <c r="J82" s="201" t="str">
        <f>Montagem!AO146</f>
        <v/>
      </c>
      <c r="K82" s="201" t="str">
        <f>'Semana 3'!$AI$75</f>
        <v/>
      </c>
    </row>
    <row r="83">
      <c r="J83" s="201" t="str">
        <f>Montagem!AO147</f>
        <v/>
      </c>
      <c r="K83" s="201" t="str">
        <f>'Semana 3'!$AI$76</f>
        <v/>
      </c>
    </row>
    <row r="84">
      <c r="J84" s="201" t="str">
        <f>Montagem!AO148</f>
        <v/>
      </c>
      <c r="K84" s="201" t="str">
        <f>'Semana 3'!$AI$77</f>
        <v/>
      </c>
    </row>
    <row r="85">
      <c r="J85" s="201" t="str">
        <f>Montagem!AO149</f>
        <v/>
      </c>
      <c r="K85" s="201" t="str">
        <f>'Semana 3'!$AI$78</f>
        <v/>
      </c>
    </row>
    <row r="86">
      <c r="J86" s="201" t="str">
        <f>Montagem!AO150</f>
        <v/>
      </c>
      <c r="K86" s="201" t="str">
        <f>'Semana 3'!$AI$79</f>
        <v/>
      </c>
    </row>
    <row r="87">
      <c r="J87" s="201" t="str">
        <f>Montagem!BD146</f>
        <v/>
      </c>
      <c r="K87" s="201" t="str">
        <f>'Semana 3'!$AZ$75</f>
        <v/>
      </c>
    </row>
    <row r="88">
      <c r="J88" s="201" t="str">
        <f>Montagem!BD147</f>
        <v/>
      </c>
      <c r="K88" s="201" t="str">
        <f>'Semana 3'!$AZ$76</f>
        <v/>
      </c>
    </row>
    <row r="89">
      <c r="J89" s="201" t="str">
        <f>Montagem!BD148</f>
        <v/>
      </c>
      <c r="K89" s="201" t="str">
        <f>'Semana 3'!$AZ$77</f>
        <v/>
      </c>
    </row>
    <row r="90">
      <c r="J90" s="201" t="str">
        <f>Montagem!BD149</f>
        <v/>
      </c>
      <c r="K90" s="201" t="str">
        <f>'Semana 3'!$AZ$78</f>
        <v/>
      </c>
    </row>
    <row r="91">
      <c r="J91" s="201" t="str">
        <f>Montagem!BD150</f>
        <v/>
      </c>
      <c r="K91" s="201" t="str">
        <f>'Semana 3'!$AZ$79</f>
        <v/>
      </c>
    </row>
    <row r="92">
      <c r="J92" s="201" t="str">
        <f>Montagem!BS146</f>
        <v/>
      </c>
      <c r="K92" s="201" t="str">
        <f>'Semana 3'!$BQ$75</f>
        <v/>
      </c>
    </row>
    <row r="93">
      <c r="J93" s="201" t="str">
        <f>Montagem!BS147</f>
        <v/>
      </c>
      <c r="K93" s="201" t="str">
        <f>'Semana 3'!$BQ$76</f>
        <v/>
      </c>
    </row>
    <row r="94">
      <c r="J94" s="201" t="str">
        <f>Montagem!BS148</f>
        <v/>
      </c>
      <c r="K94" s="201" t="str">
        <f>'Semana 3'!$BQ$77</f>
        <v/>
      </c>
    </row>
    <row r="95">
      <c r="J95" s="201" t="str">
        <f>Montagem!BS149</f>
        <v/>
      </c>
      <c r="K95" s="201" t="str">
        <f>'Semana 3'!$BQ$78</f>
        <v/>
      </c>
    </row>
    <row r="96">
      <c r="J96" s="201" t="str">
        <f>Montagem!BS150</f>
        <v/>
      </c>
      <c r="K96" s="201" t="str">
        <f>'Semana 3'!$BQ$79</f>
        <v/>
      </c>
    </row>
    <row r="97">
      <c r="J97" s="201" t="str">
        <f>Montagem!CH146</f>
        <v/>
      </c>
      <c r="K97" s="201" t="str">
        <f>'Semana 3'!$CH$75</f>
        <v/>
      </c>
    </row>
    <row r="98">
      <c r="J98" s="201" t="str">
        <f>Montagem!CH147</f>
        <v/>
      </c>
      <c r="K98" s="201" t="str">
        <f>'Semana 3'!$CH$76</f>
        <v/>
      </c>
    </row>
    <row r="99">
      <c r="J99" s="201" t="str">
        <f>Montagem!CH148</f>
        <v/>
      </c>
      <c r="K99" s="201" t="str">
        <f>'Semana 3'!$CH$77</f>
        <v/>
      </c>
    </row>
    <row r="100">
      <c r="J100" s="201" t="str">
        <f>Montagem!CH149</f>
        <v/>
      </c>
      <c r="K100" s="201" t="str">
        <f>'Semana 3'!$CH$78</f>
        <v/>
      </c>
    </row>
    <row r="101">
      <c r="J101" s="201" t="str">
        <f>Montagem!CH150</f>
        <v/>
      </c>
      <c r="K101" s="201" t="str">
        <f>'Semana 3'!$CH$79</f>
        <v/>
      </c>
    </row>
    <row r="102">
      <c r="J102" s="201" t="str">
        <f>Montagem!CW146</f>
        <v/>
      </c>
      <c r="K102" s="201" t="str">
        <f>'Semana 3'!$CY$75</f>
        <v/>
      </c>
    </row>
    <row r="103">
      <c r="J103" s="201" t="str">
        <f>Montagem!CW147</f>
        <v/>
      </c>
      <c r="K103" s="201" t="str">
        <f>'Semana 3'!$CY$76</f>
        <v/>
      </c>
    </row>
    <row r="104">
      <c r="J104" s="201" t="str">
        <f>Montagem!CW148</f>
        <v/>
      </c>
      <c r="K104" s="201" t="str">
        <f>'Semana 3'!$CY$77</f>
        <v/>
      </c>
    </row>
    <row r="105">
      <c r="J105" s="201" t="str">
        <f>Montagem!CW149</f>
        <v/>
      </c>
      <c r="K105" s="201" t="str">
        <f>'Semana 3'!$CY$78</f>
        <v/>
      </c>
    </row>
    <row r="106">
      <c r="J106" s="201" t="str">
        <f>Montagem!CW150</f>
        <v/>
      </c>
      <c r="K106" s="201" t="str">
        <f>'Semana 3'!$CY$79</f>
        <v/>
      </c>
    </row>
    <row r="107">
      <c r="J107" s="201" t="str">
        <f>Montagem!K196</f>
        <v/>
      </c>
      <c r="K107" s="201" t="str">
        <f>'Semana 4'!$A$75</f>
        <v/>
      </c>
    </row>
    <row r="108">
      <c r="J108" s="201" t="str">
        <f>Montagem!K197</f>
        <v/>
      </c>
      <c r="K108" s="201" t="str">
        <f>'Semana 4'!$A$76</f>
        <v/>
      </c>
    </row>
    <row r="109">
      <c r="J109" s="201" t="str">
        <f>Montagem!K198</f>
        <v/>
      </c>
      <c r="K109" s="201" t="str">
        <f>'Semana 4'!$A$77</f>
        <v/>
      </c>
    </row>
    <row r="110">
      <c r="J110" s="201" t="str">
        <f>Montagem!K199</f>
        <v/>
      </c>
      <c r="K110" s="201" t="str">
        <f>'Semana 4'!$A$78</f>
        <v/>
      </c>
    </row>
    <row r="111">
      <c r="J111" s="201" t="str">
        <f>Montagem!K200</f>
        <v/>
      </c>
      <c r="K111" s="201" t="str">
        <f>'Semana 4'!$A$79</f>
        <v/>
      </c>
    </row>
    <row r="112">
      <c r="J112" s="201" t="str">
        <f>Montagem!Z196</f>
        <v/>
      </c>
      <c r="K112" s="201" t="str">
        <f>'Semana 4'!$R$75</f>
        <v/>
      </c>
    </row>
    <row r="113">
      <c r="J113" s="201" t="str">
        <f>Montagem!Z197</f>
        <v/>
      </c>
      <c r="K113" s="201" t="str">
        <f>'Semana 4'!$R$76</f>
        <v/>
      </c>
    </row>
    <row r="114">
      <c r="J114" s="201" t="str">
        <f>Montagem!Z198</f>
        <v/>
      </c>
      <c r="K114" s="201" t="str">
        <f>'Semana 4'!$R$77</f>
        <v/>
      </c>
    </row>
    <row r="115">
      <c r="J115" s="201" t="str">
        <f>Montagem!Z199</f>
        <v/>
      </c>
      <c r="K115" s="201" t="str">
        <f>'Semana 4'!$R$78</f>
        <v/>
      </c>
    </row>
    <row r="116">
      <c r="J116" s="201" t="str">
        <f>Montagem!Z200</f>
        <v/>
      </c>
      <c r="K116" s="201" t="str">
        <f>'Semana 4'!$R$79</f>
        <v/>
      </c>
    </row>
    <row r="117">
      <c r="J117" s="201" t="str">
        <f>Montagem!AO196</f>
        <v/>
      </c>
      <c r="K117" s="201" t="str">
        <f>'Semana 4'!$AI$75</f>
        <v/>
      </c>
    </row>
    <row r="118">
      <c r="J118" s="201" t="str">
        <f>Montagem!AO197</f>
        <v/>
      </c>
      <c r="K118" s="201" t="str">
        <f>'Semana 4'!$AI$76</f>
        <v/>
      </c>
    </row>
    <row r="119">
      <c r="J119" s="201" t="str">
        <f>Montagem!AO198</f>
        <v/>
      </c>
      <c r="K119" s="201" t="str">
        <f>'Semana 4'!$AI$77</f>
        <v/>
      </c>
    </row>
    <row r="120">
      <c r="J120" s="201" t="str">
        <f>Montagem!AO199</f>
        <v/>
      </c>
      <c r="K120" s="201" t="str">
        <f>'Semana 4'!$AI$78</f>
        <v/>
      </c>
    </row>
    <row r="121">
      <c r="J121" s="201" t="str">
        <f>Montagem!AO200</f>
        <v/>
      </c>
      <c r="K121" s="201" t="str">
        <f>'Semana 4'!$AI$79</f>
        <v/>
      </c>
    </row>
    <row r="122">
      <c r="J122" s="201" t="str">
        <f>Montagem!BD196</f>
        <v/>
      </c>
      <c r="K122" s="201" t="str">
        <f>'Semana 4'!$AZ$75</f>
        <v/>
      </c>
    </row>
    <row r="123">
      <c r="J123" s="201" t="str">
        <f>Montagem!BD197</f>
        <v/>
      </c>
      <c r="K123" s="201" t="str">
        <f>'Semana 4'!$AZ$76</f>
        <v/>
      </c>
    </row>
    <row r="124">
      <c r="J124" s="201" t="str">
        <f>Montagem!BD198</f>
        <v/>
      </c>
      <c r="K124" s="201" t="str">
        <f>'Semana 4'!$AZ$77</f>
        <v/>
      </c>
    </row>
    <row r="125">
      <c r="J125" s="201" t="str">
        <f>Montagem!BD199</f>
        <v/>
      </c>
      <c r="K125" s="201" t="str">
        <f>'Semana 4'!$AZ$78</f>
        <v/>
      </c>
    </row>
    <row r="126">
      <c r="J126" s="201" t="str">
        <f>Montagem!BD200</f>
        <v/>
      </c>
      <c r="K126" s="201" t="str">
        <f>'Semana 4'!$AZ$79</f>
        <v/>
      </c>
    </row>
    <row r="127">
      <c r="J127" s="201" t="str">
        <f>Montagem!BS196</f>
        <v/>
      </c>
      <c r="K127" s="201" t="str">
        <f>'Semana 4'!$BQ$75</f>
        <v/>
      </c>
    </row>
    <row r="128">
      <c r="J128" s="201" t="str">
        <f>Montagem!BS197</f>
        <v/>
      </c>
      <c r="K128" s="201" t="str">
        <f>'Semana 4'!$BQ$76</f>
        <v/>
      </c>
    </row>
    <row r="129">
      <c r="J129" s="201" t="str">
        <f>Montagem!BS198</f>
        <v/>
      </c>
      <c r="K129" s="201" t="str">
        <f>'Semana 4'!$BQ$77</f>
        <v/>
      </c>
    </row>
    <row r="130">
      <c r="J130" s="201" t="str">
        <f>Montagem!BS199</f>
        <v/>
      </c>
      <c r="K130" s="201" t="str">
        <f>'Semana 4'!$BQ$78</f>
        <v/>
      </c>
    </row>
    <row r="131">
      <c r="J131" s="201" t="str">
        <f>Montagem!BS200</f>
        <v/>
      </c>
      <c r="K131" s="201" t="str">
        <f>'Semana 4'!$BQ$79</f>
        <v/>
      </c>
    </row>
    <row r="132">
      <c r="J132" s="201" t="str">
        <f>Montagem!CH196</f>
        <v/>
      </c>
      <c r="K132" s="201" t="str">
        <f>'Semana 4'!$CH$75</f>
        <v/>
      </c>
    </row>
    <row r="133">
      <c r="J133" s="201" t="str">
        <f>Montagem!CH197</f>
        <v/>
      </c>
      <c r="K133" s="201" t="str">
        <f>'Semana 4'!$CH$76</f>
        <v/>
      </c>
    </row>
    <row r="134">
      <c r="J134" s="201" t="str">
        <f>Montagem!CH198</f>
        <v/>
      </c>
      <c r="K134" s="201" t="str">
        <f>'Semana 4'!$CH$77</f>
        <v/>
      </c>
    </row>
    <row r="135">
      <c r="J135" s="201" t="str">
        <f>Montagem!CH199</f>
        <v/>
      </c>
      <c r="K135" s="201" t="str">
        <f>'Semana 4'!$CH$78</f>
        <v/>
      </c>
    </row>
    <row r="136">
      <c r="J136" s="201" t="str">
        <f>Montagem!CH200</f>
        <v/>
      </c>
      <c r="K136" s="201" t="str">
        <f>'Semana 4'!$CH$79</f>
        <v/>
      </c>
    </row>
    <row r="137">
      <c r="J137" s="201" t="str">
        <f>Montagem!CW196</f>
        <v/>
      </c>
      <c r="K137" s="201" t="str">
        <f>'Semana 4'!$CY$75</f>
        <v/>
      </c>
    </row>
    <row r="138">
      <c r="J138" s="201" t="str">
        <f>Montagem!CW197</f>
        <v/>
      </c>
      <c r="K138" s="201" t="str">
        <f>'Semana 4'!$CY$76</f>
        <v/>
      </c>
    </row>
    <row r="139">
      <c r="J139" s="201" t="str">
        <f>Montagem!CW198</f>
        <v/>
      </c>
      <c r="K139" s="201" t="str">
        <f>'Semana 4'!$CY$77</f>
        <v/>
      </c>
    </row>
    <row r="140">
      <c r="J140" s="201" t="str">
        <f>Montagem!CW199</f>
        <v/>
      </c>
      <c r="K140" s="201" t="str">
        <f>'Semana 4'!$CY$78</f>
        <v/>
      </c>
    </row>
    <row r="141">
      <c r="J141" s="201" t="str">
        <f>Montagem!CW200</f>
        <v/>
      </c>
      <c r="K141" s="201" t="str">
        <f>'Semana 4'!$CY$79</f>
        <v/>
      </c>
    </row>
    <row r="142">
      <c r="J142" s="201" t="str">
        <f>Montagem!K246</f>
        <v/>
      </c>
      <c r="K142" s="201" t="str">
        <f>'Semana 5'!$A$75</f>
        <v/>
      </c>
    </row>
    <row r="143">
      <c r="J143" s="201" t="str">
        <f>Montagem!K247</f>
        <v/>
      </c>
      <c r="K143" s="201" t="str">
        <f>'Semana 5'!$A$76</f>
        <v/>
      </c>
    </row>
    <row r="144">
      <c r="J144" s="201" t="str">
        <f>Montagem!K248</f>
        <v/>
      </c>
      <c r="K144" s="201" t="str">
        <f>'Semana 5'!$A$77</f>
        <v/>
      </c>
    </row>
    <row r="145">
      <c r="J145" s="201" t="str">
        <f>Montagem!K249</f>
        <v/>
      </c>
      <c r="K145" s="201" t="str">
        <f>'Semana 5'!$A$78</f>
        <v/>
      </c>
    </row>
    <row r="146">
      <c r="J146" s="201" t="str">
        <f>Montagem!K250</f>
        <v/>
      </c>
      <c r="K146" s="201" t="str">
        <f>'Semana 5'!$A$79</f>
        <v/>
      </c>
    </row>
    <row r="147">
      <c r="J147" s="201" t="str">
        <f>Montagem!Z246</f>
        <v/>
      </c>
      <c r="K147" s="201" t="str">
        <f>'Semana 5'!$R$75</f>
        <v/>
      </c>
    </row>
    <row r="148">
      <c r="J148" s="201" t="str">
        <f>Montagem!Z247</f>
        <v/>
      </c>
      <c r="K148" s="201" t="str">
        <f>'Semana 5'!$R$76</f>
        <v/>
      </c>
    </row>
    <row r="149">
      <c r="J149" s="201" t="str">
        <f>Montagem!Z248</f>
        <v/>
      </c>
      <c r="K149" s="201" t="str">
        <f>'Semana 5'!$R$77</f>
        <v/>
      </c>
    </row>
    <row r="150">
      <c r="J150" s="201" t="str">
        <f>Montagem!Z249</f>
        <v/>
      </c>
      <c r="K150" s="201" t="str">
        <f>'Semana 5'!$R$78</f>
        <v/>
      </c>
    </row>
    <row r="151">
      <c r="J151" s="201" t="str">
        <f>Montagem!Z250</f>
        <v/>
      </c>
      <c r="K151" s="201" t="str">
        <f>'Semana 5'!$R$79</f>
        <v/>
      </c>
    </row>
    <row r="152">
      <c r="J152" s="201" t="str">
        <f>Montagem!AO246</f>
        <v/>
      </c>
      <c r="K152" s="201" t="str">
        <f>'Semana 5'!$AI$75</f>
        <v/>
      </c>
    </row>
    <row r="153">
      <c r="J153" s="201" t="str">
        <f>Montagem!AO247</f>
        <v/>
      </c>
      <c r="K153" s="201" t="str">
        <f>'Semana 5'!$AI$76</f>
        <v/>
      </c>
    </row>
    <row r="154">
      <c r="J154" s="201" t="str">
        <f>Montagem!AO248</f>
        <v/>
      </c>
      <c r="K154" s="201" t="str">
        <f>'Semana 5'!$AI$77</f>
        <v/>
      </c>
    </row>
    <row r="155">
      <c r="J155" s="201" t="str">
        <f>Montagem!AO249</f>
        <v/>
      </c>
      <c r="K155" s="201" t="str">
        <f>'Semana 5'!$AI$78</f>
        <v/>
      </c>
    </row>
    <row r="156">
      <c r="J156" s="201" t="str">
        <f>Montagem!AO250</f>
        <v/>
      </c>
      <c r="K156" s="201" t="str">
        <f>'Semana 5'!$AI$79</f>
        <v/>
      </c>
    </row>
    <row r="157">
      <c r="J157" s="201" t="str">
        <f>Montagem!BD246</f>
        <v/>
      </c>
      <c r="K157" s="201" t="str">
        <f>'Semana 5'!$AZ$75</f>
        <v/>
      </c>
    </row>
    <row r="158">
      <c r="J158" s="201" t="str">
        <f>Montagem!BD247</f>
        <v/>
      </c>
      <c r="K158" s="201" t="str">
        <f>'Semana 5'!$AZ$76</f>
        <v/>
      </c>
    </row>
    <row r="159">
      <c r="J159" s="201" t="str">
        <f>Montagem!BD248</f>
        <v/>
      </c>
      <c r="K159" s="201" t="str">
        <f>'Semana 5'!$AZ$77</f>
        <v/>
      </c>
    </row>
    <row r="160">
      <c r="J160" s="201" t="str">
        <f>Montagem!BD249</f>
        <v/>
      </c>
      <c r="K160" s="201" t="str">
        <f>'Semana 5'!$AZ$78</f>
        <v/>
      </c>
    </row>
    <row r="161">
      <c r="J161" s="201" t="str">
        <f>Montagem!BD250</f>
        <v/>
      </c>
      <c r="K161" s="201" t="str">
        <f>'Semana 5'!$AZ$79</f>
        <v/>
      </c>
    </row>
    <row r="162">
      <c r="J162" s="201" t="str">
        <f>Montagem!BS246</f>
        <v/>
      </c>
      <c r="K162" s="201" t="str">
        <f>'Semana 5'!$BQ$75</f>
        <v/>
      </c>
    </row>
    <row r="163">
      <c r="J163" s="201" t="str">
        <f>Montagem!BS247</f>
        <v/>
      </c>
      <c r="K163" s="201" t="str">
        <f>'Semana 5'!$BQ$76</f>
        <v/>
      </c>
    </row>
    <row r="164">
      <c r="J164" s="201" t="str">
        <f>Montagem!BS248</f>
        <v/>
      </c>
      <c r="K164" s="201" t="str">
        <f>'Semana 5'!$BQ$77</f>
        <v/>
      </c>
    </row>
    <row r="165">
      <c r="J165" s="201" t="str">
        <f>Montagem!BS249</f>
        <v/>
      </c>
      <c r="K165" s="201" t="str">
        <f>'Semana 5'!$BQ$78</f>
        <v/>
      </c>
    </row>
    <row r="166">
      <c r="J166" s="201" t="str">
        <f>Montagem!BS250</f>
        <v/>
      </c>
      <c r="K166" s="201" t="str">
        <f>'Semana 5'!$BQ$79</f>
        <v/>
      </c>
    </row>
    <row r="167">
      <c r="J167" s="201" t="str">
        <f>Montagem!CH246</f>
        <v/>
      </c>
      <c r="K167" s="201" t="str">
        <f>'Semana 5'!$CH$75</f>
        <v/>
      </c>
    </row>
    <row r="168">
      <c r="J168" s="201" t="str">
        <f>Montagem!CH247</f>
        <v/>
      </c>
      <c r="K168" s="201" t="str">
        <f>'Semana 5'!$CH$76</f>
        <v/>
      </c>
    </row>
    <row r="169">
      <c r="J169" s="201" t="str">
        <f>Montagem!CH248</f>
        <v/>
      </c>
      <c r="K169" s="201" t="str">
        <f>'Semana 5'!$CH$77</f>
        <v/>
      </c>
    </row>
    <row r="170">
      <c r="J170" s="201" t="str">
        <f>Montagem!CH249</f>
        <v/>
      </c>
      <c r="K170" s="201" t="str">
        <f>'Semana 5'!$CH$78</f>
        <v/>
      </c>
    </row>
    <row r="171">
      <c r="J171" s="201" t="str">
        <f>Montagem!CH250</f>
        <v/>
      </c>
      <c r="K171" s="201" t="str">
        <f>'Semana 5'!$CH$79</f>
        <v/>
      </c>
    </row>
    <row r="172">
      <c r="J172" s="201" t="str">
        <f>Montagem!CW246</f>
        <v/>
      </c>
      <c r="K172" s="201" t="str">
        <f>'Semana 5'!$CY$75</f>
        <v/>
      </c>
    </row>
    <row r="173">
      <c r="J173" s="201" t="str">
        <f>Montagem!CW247</f>
        <v/>
      </c>
      <c r="K173" s="201" t="str">
        <f>'Semana 5'!$CY$76</f>
        <v/>
      </c>
    </row>
    <row r="174">
      <c r="J174" s="201" t="str">
        <f>Montagem!CW248</f>
        <v/>
      </c>
      <c r="K174" s="201" t="str">
        <f>'Semana 5'!$CY$77</f>
        <v/>
      </c>
    </row>
    <row r="175">
      <c r="J175" s="201" t="str">
        <f>Montagem!CW249</f>
        <v/>
      </c>
      <c r="K175" s="201" t="str">
        <f>'Semana 5'!$CY$78</f>
        <v/>
      </c>
    </row>
    <row r="176">
      <c r="J176" s="201" t="str">
        <f>Montagem!CW250</f>
        <v/>
      </c>
      <c r="K176" s="201" t="str">
        <f>'Semana 5'!$CY$79</f>
        <v/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14"/>
    <col customWidth="1" min="3" max="9" width="12.57"/>
    <col customWidth="1" min="10" max="10" width="1.71"/>
    <col customWidth="1" min="11" max="11" width="4.0"/>
    <col customWidth="1" min="12" max="12" width="8.57"/>
    <col customWidth="1" min="13" max="13" width="3.86"/>
    <col customWidth="1" min="14" max="14" width="12.57"/>
    <col customWidth="1" min="15" max="15" width="4.0"/>
    <col customWidth="1" min="16" max="16" width="3.29"/>
    <col customWidth="1" min="17" max="17" width="10.29"/>
    <col customWidth="1" min="18" max="18" width="3.71"/>
    <col customWidth="1" min="19" max="19" width="4.0"/>
    <col customWidth="1" min="20" max="20" width="5.29"/>
    <col customWidth="1" min="21" max="21" width="2.29"/>
    <col customWidth="1" min="22" max="22" width="1.86"/>
    <col customWidth="1" min="23" max="23" width="4.43"/>
    <col customWidth="1" min="24" max="24" width="5.29"/>
    <col customWidth="1" min="25" max="25" width="1.71"/>
    <col customWidth="1" min="26" max="26" width="4.0"/>
    <col customWidth="1" min="27" max="27" width="8.57"/>
    <col customWidth="1" min="28" max="28" width="3.86"/>
    <col customWidth="1" min="29" max="29" width="12.57"/>
    <col customWidth="1" min="30" max="30" width="4.0"/>
    <col customWidth="1" min="31" max="31" width="3.29"/>
    <col customWidth="1" min="32" max="32" width="8.0"/>
    <col customWidth="1" min="33" max="33" width="3.71"/>
    <col customWidth="1" min="34" max="34" width="4.0"/>
    <col customWidth="1" min="35" max="35" width="5.29"/>
    <col customWidth="1" min="36" max="36" width="2.43"/>
    <col customWidth="1" min="37" max="37" width="1.86"/>
    <col customWidth="1" min="38" max="38" width="4.86"/>
    <col customWidth="1" min="39" max="39" width="5.29"/>
    <col customWidth="1" min="40" max="40" width="1.71"/>
    <col customWidth="1" min="41" max="41" width="4.0"/>
    <col customWidth="1" min="42" max="42" width="8.57"/>
    <col customWidth="1" min="43" max="43" width="3.86"/>
    <col customWidth="1" min="44" max="44" width="12.57"/>
    <col customWidth="1" min="45" max="45" width="4.0"/>
    <col customWidth="1" min="46" max="46" width="3.29"/>
    <col customWidth="1" min="47" max="47" width="8.0"/>
    <col customWidth="1" min="48" max="48" width="3.71"/>
    <col customWidth="1" min="49" max="49" width="4.0"/>
    <col customWidth="1" min="50" max="50" width="5.29"/>
    <col customWidth="1" min="51" max="52" width="1.86"/>
    <col customWidth="1" min="53" max="53" width="4.86"/>
    <col customWidth="1" min="54" max="54" width="5.29"/>
    <col customWidth="1" min="55" max="55" width="1.71"/>
    <col customWidth="1" min="56" max="56" width="4.0"/>
    <col customWidth="1" min="57" max="57" width="8.57"/>
    <col customWidth="1" min="58" max="58" width="3.86"/>
    <col customWidth="1" min="59" max="59" width="12.57"/>
    <col customWidth="1" min="60" max="60" width="4.0"/>
    <col customWidth="1" min="61" max="61" width="3.29"/>
    <col customWidth="1" min="62" max="62" width="8.0"/>
    <col customWidth="1" min="63" max="63" width="3.71"/>
    <col customWidth="1" min="64" max="64" width="4.0"/>
    <col customWidth="1" min="65" max="65" width="5.29"/>
    <col customWidth="1" min="66" max="66" width="2.29"/>
    <col customWidth="1" min="67" max="67" width="1.86"/>
    <col customWidth="1" min="68" max="68" width="6.14"/>
    <col customWidth="1" min="69" max="69" width="5.29"/>
    <col customWidth="1" min="70" max="70" width="1.71"/>
    <col customWidth="1" min="71" max="71" width="4.0"/>
    <col customWidth="1" min="72" max="72" width="8.57"/>
    <col customWidth="1" min="73" max="73" width="3.86"/>
    <col customWidth="1" min="74" max="74" width="12.57"/>
    <col customWidth="1" min="75" max="75" width="4.0"/>
    <col customWidth="1" min="76" max="76" width="3.29"/>
    <col customWidth="1" min="77" max="77" width="8.0"/>
    <col customWidth="1" min="78" max="78" width="3.71"/>
    <col customWidth="1" min="79" max="79" width="4.0"/>
    <col customWidth="1" min="80" max="80" width="5.29"/>
    <col customWidth="1" min="81" max="81" width="2.29"/>
    <col customWidth="1" min="82" max="82" width="1.86"/>
    <col customWidth="1" min="83" max="83" width="4.43"/>
    <col customWidth="1" min="84" max="84" width="5.29"/>
    <col customWidth="1" min="85" max="85" width="1.71"/>
    <col customWidth="1" min="86" max="86" width="4.0"/>
    <col customWidth="1" min="87" max="87" width="8.57"/>
    <col customWidth="1" min="88" max="88" width="3.86"/>
    <col customWidth="1" min="89" max="89" width="12.57"/>
    <col customWidth="1" min="90" max="90" width="4.0"/>
    <col customWidth="1" min="91" max="91" width="3.29"/>
    <col customWidth="1" min="92" max="92" width="8.0"/>
    <col customWidth="1" min="93" max="93" width="3.71"/>
    <col customWidth="1" min="94" max="94" width="4.0"/>
    <col customWidth="1" min="95" max="95" width="5.29"/>
    <col customWidth="1" min="96" max="96" width="2.29"/>
    <col customWidth="1" min="97" max="97" width="1.86"/>
    <col customWidth="1" min="98" max="99" width="5.29"/>
    <col customWidth="1" min="100" max="100" width="1.71"/>
    <col customWidth="1" min="101" max="101" width="4.0"/>
    <col customWidth="1" min="102" max="102" width="8.57"/>
    <col customWidth="1" min="103" max="103" width="3.86"/>
    <col customWidth="1" min="104" max="104" width="12.57"/>
    <col customWidth="1" min="105" max="105" width="4.0"/>
    <col customWidth="1" min="106" max="106" width="3.29"/>
    <col customWidth="1" min="107" max="107" width="8.0"/>
    <col customWidth="1" min="108" max="108" width="3.71"/>
    <col customWidth="1" min="109" max="109" width="4.0"/>
    <col customWidth="1" min="110" max="110" width="5.29"/>
    <col customWidth="1" min="111" max="111" width="2.29"/>
    <col customWidth="1" min="112" max="112" width="1.86"/>
    <col customWidth="1" min="113" max="113" width="4.43"/>
    <col customWidth="1" min="114" max="114" width="5.29"/>
    <col customWidth="1" min="115" max="115" width="1.71"/>
  </cols>
  <sheetData>
    <row r="1">
      <c r="A1" s="492"/>
      <c r="B1" s="493" t="str">
        <f>'Periodização Macrociclo'!$N$1</f>
        <v>Claudinei Gasparoto</v>
      </c>
      <c r="C1" s="168"/>
      <c r="D1" s="168"/>
      <c r="E1" s="168"/>
      <c r="F1" s="170"/>
      <c r="G1" s="493" t="s">
        <v>179</v>
      </c>
      <c r="H1" s="168"/>
      <c r="I1" s="494" t="str">
        <f>HLOOKUP(F2,'Periodização Macrociclo'!$E$5:$BN$8,4,FALSE)</f>
        <v>Força</v>
      </c>
      <c r="J1" s="495"/>
      <c r="K1" s="494" t="str">
        <f t="shared" ref="K1:K2" si="1">B1</f>
        <v>Claudinei Gasparoto</v>
      </c>
      <c r="L1" s="168"/>
      <c r="M1" s="168"/>
      <c r="N1" s="168"/>
      <c r="O1" s="168"/>
      <c r="P1" s="168"/>
      <c r="Q1" s="170"/>
      <c r="R1" s="496" t="s">
        <v>179</v>
      </c>
      <c r="S1" s="168"/>
      <c r="T1" s="168"/>
      <c r="U1" s="168"/>
      <c r="V1" s="168"/>
      <c r="W1" s="168"/>
      <c r="X1" s="497" t="str">
        <f>HLOOKUP(F2,'Periodização Macrociclo'!$E$5:$BN$8,4,FALSE)</f>
        <v>Força</v>
      </c>
      <c r="Y1" s="498"/>
      <c r="Z1" s="498"/>
      <c r="AA1" s="499"/>
      <c r="AB1" s="500"/>
      <c r="AC1" s="500"/>
      <c r="AD1" s="500"/>
      <c r="AE1" s="498"/>
      <c r="AF1" s="499"/>
      <c r="AG1" s="499"/>
      <c r="AH1" s="499"/>
      <c r="AI1" s="499"/>
      <c r="AJ1" s="499"/>
      <c r="AK1" s="499"/>
      <c r="AL1" s="498"/>
      <c r="AM1" s="501"/>
      <c r="AN1" s="498"/>
      <c r="AO1" s="498"/>
      <c r="AP1" s="499"/>
      <c r="AQ1" s="500"/>
      <c r="AR1" s="500"/>
      <c r="AS1" s="500"/>
      <c r="AT1" s="498"/>
      <c r="AU1" s="499"/>
      <c r="AV1" s="499"/>
      <c r="AW1" s="499"/>
      <c r="AX1" s="499"/>
      <c r="AY1" s="499"/>
      <c r="AZ1" s="499"/>
      <c r="BA1" s="498"/>
      <c r="BB1" s="501"/>
      <c r="BC1" s="498"/>
      <c r="BD1" s="498"/>
      <c r="BE1" s="499"/>
      <c r="BF1" s="500"/>
      <c r="BG1" s="500"/>
      <c r="BH1" s="500"/>
      <c r="BI1" s="498"/>
      <c r="BJ1" s="499"/>
      <c r="BK1" s="499"/>
      <c r="BL1" s="499"/>
      <c r="BM1" s="499"/>
      <c r="BN1" s="499"/>
      <c r="BO1" s="499"/>
      <c r="BP1" s="498"/>
      <c r="BQ1" s="501"/>
      <c r="BR1" s="498"/>
      <c r="BS1" s="498"/>
      <c r="BT1" s="499"/>
      <c r="BU1" s="500"/>
      <c r="BV1" s="500"/>
      <c r="BW1" s="500"/>
      <c r="BX1" s="498"/>
      <c r="BY1" s="499"/>
      <c r="BZ1" s="499"/>
      <c r="CA1" s="499"/>
      <c r="CB1" s="499"/>
      <c r="CC1" s="499"/>
      <c r="CD1" s="499"/>
      <c r="CE1" s="498"/>
      <c r="CF1" s="501"/>
      <c r="CG1" s="498"/>
      <c r="CH1" s="498"/>
      <c r="CI1" s="499"/>
      <c r="CT1" s="498"/>
      <c r="CU1" s="501"/>
      <c r="CV1" s="498"/>
      <c r="CW1" s="498"/>
      <c r="CX1" s="499"/>
      <c r="CY1" s="502"/>
      <c r="CZ1" s="502"/>
      <c r="DA1" s="502"/>
      <c r="DB1" s="502"/>
      <c r="DC1" s="502"/>
      <c r="DD1" s="502"/>
      <c r="DE1" s="502"/>
      <c r="DF1" s="502"/>
      <c r="DG1" s="502"/>
      <c r="DH1" s="502"/>
      <c r="DI1" s="498"/>
      <c r="DJ1" s="501"/>
      <c r="DK1" s="498"/>
    </row>
    <row r="2" ht="14.25" customHeight="1">
      <c r="A2" s="492" t="str">
        <f>"S "&amp;$AD2&amp;" - "&amp;TEXT(C12,"dd/mm")</f>
        <v>S 1 - 12/01</v>
      </c>
      <c r="B2" s="493" t="s">
        <v>5</v>
      </c>
      <c r="C2" s="503">
        <f>OFFSET('Periodização Macrociclo'!$D$37,0,MATCH(F2,'Periodização Macrociclo'!$E$5:$BN$5,0))</f>
        <v>8</v>
      </c>
      <c r="D2" s="493" t="s">
        <v>6</v>
      </c>
      <c r="E2" s="168"/>
      <c r="F2" s="504">
        <v>29.0</v>
      </c>
      <c r="G2" s="493" t="s">
        <v>180</v>
      </c>
      <c r="H2" s="168"/>
      <c r="I2" s="494">
        <f>COUNT(C15:I15)</f>
        <v>4</v>
      </c>
      <c r="J2" s="505"/>
      <c r="K2" s="494" t="str">
        <f t="shared" si="1"/>
        <v>Meso </v>
      </c>
      <c r="L2" s="168"/>
      <c r="M2" s="506">
        <f t="shared" ref="M2:N2" si="2">C2</f>
        <v>8</v>
      </c>
      <c r="N2" s="493" t="str">
        <f t="shared" si="2"/>
        <v>Micro</v>
      </c>
      <c r="O2" s="168"/>
      <c r="P2" s="168"/>
      <c r="Q2" s="507">
        <f>F2</f>
        <v>29</v>
      </c>
      <c r="R2" s="496" t="s">
        <v>181</v>
      </c>
      <c r="S2" s="168"/>
      <c r="T2" s="168"/>
      <c r="U2" s="168"/>
      <c r="V2" s="168"/>
      <c r="W2" s="168"/>
      <c r="X2" s="508">
        <f>SUM(IF(V10&gt;0,1,0),IF(AK10&gt;0,1,0),IF(AZ10&gt;0,1,0),IF(BO10&gt;0,1,0),IF(CD10&gt;0,1,0),IF(CS10&gt;0,1,0),IF(DH10&gt;0,1,0))</f>
        <v>6</v>
      </c>
      <c r="Y2" s="498"/>
      <c r="Z2" s="498"/>
      <c r="AA2" s="509"/>
      <c r="AB2" s="510" t="s">
        <v>0</v>
      </c>
      <c r="AC2" s="61"/>
      <c r="AD2" s="511">
        <v>1.0</v>
      </c>
      <c r="AE2" s="498"/>
      <c r="AF2" s="512" t="s">
        <v>182</v>
      </c>
      <c r="AG2" s="60"/>
      <c r="AH2" s="60"/>
      <c r="AI2" s="60"/>
      <c r="AJ2" s="60"/>
      <c r="AK2" s="61"/>
      <c r="AL2" s="498"/>
      <c r="AM2" s="501"/>
      <c r="AN2" s="498"/>
      <c r="AO2" s="498"/>
      <c r="AP2" s="509"/>
      <c r="AQ2" s="513" t="s">
        <v>0</v>
      </c>
      <c r="AR2" s="61"/>
      <c r="AS2" s="511">
        <f>$AD2</f>
        <v>1</v>
      </c>
      <c r="AT2" s="498"/>
      <c r="AU2" s="512" t="s">
        <v>182</v>
      </c>
      <c r="AV2" s="60"/>
      <c r="AW2" s="60"/>
      <c r="AX2" s="60"/>
      <c r="AY2" s="60"/>
      <c r="AZ2" s="61"/>
      <c r="BA2" s="498"/>
      <c r="BB2" s="501"/>
      <c r="BC2" s="498"/>
      <c r="BD2" s="498"/>
      <c r="BE2" s="509"/>
      <c r="BF2" s="513" t="s">
        <v>0</v>
      </c>
      <c r="BG2" s="61"/>
      <c r="BH2" s="511">
        <f>$AD2</f>
        <v>1</v>
      </c>
      <c r="BI2" s="498"/>
      <c r="BJ2" s="512" t="s">
        <v>182</v>
      </c>
      <c r="BK2" s="60"/>
      <c r="BL2" s="60"/>
      <c r="BM2" s="60"/>
      <c r="BN2" s="60"/>
      <c r="BO2" s="61"/>
      <c r="BP2" s="498"/>
      <c r="BQ2" s="501"/>
      <c r="BR2" s="498"/>
      <c r="BS2" s="498"/>
      <c r="BT2" s="509"/>
      <c r="BU2" s="513" t="s">
        <v>0</v>
      </c>
      <c r="BV2" s="61"/>
      <c r="BW2" s="511">
        <f>$AD2</f>
        <v>1</v>
      </c>
      <c r="BX2" s="498"/>
      <c r="BY2" s="512" t="s">
        <v>182</v>
      </c>
      <c r="BZ2" s="60"/>
      <c r="CA2" s="60"/>
      <c r="CB2" s="60"/>
      <c r="CC2" s="60"/>
      <c r="CD2" s="61"/>
      <c r="CE2" s="498"/>
      <c r="CF2" s="501"/>
      <c r="CG2" s="498"/>
      <c r="CH2" s="498"/>
      <c r="CI2" s="509"/>
      <c r="CJ2" s="513" t="s">
        <v>0</v>
      </c>
      <c r="CK2" s="61"/>
      <c r="CL2" s="511">
        <f>$AD2</f>
        <v>1</v>
      </c>
      <c r="CM2" s="498"/>
      <c r="CN2" s="512" t="s">
        <v>182</v>
      </c>
      <c r="CO2" s="60"/>
      <c r="CP2" s="60"/>
      <c r="CQ2" s="60"/>
      <c r="CR2" s="60"/>
      <c r="CS2" s="61"/>
      <c r="CT2" s="498"/>
      <c r="CU2" s="501"/>
      <c r="CV2" s="498"/>
      <c r="CW2" s="498"/>
      <c r="CX2" s="509"/>
      <c r="CY2" s="513" t="s">
        <v>0</v>
      </c>
      <c r="CZ2" s="61"/>
      <c r="DA2" s="511">
        <f>$AD2</f>
        <v>1</v>
      </c>
      <c r="DB2" s="498"/>
      <c r="DC2" s="512" t="s">
        <v>182</v>
      </c>
      <c r="DD2" s="60"/>
      <c r="DE2" s="60"/>
      <c r="DF2" s="60"/>
      <c r="DG2" s="60"/>
      <c r="DH2" s="61"/>
      <c r="DI2" s="498"/>
      <c r="DJ2" s="501"/>
      <c r="DK2" s="498"/>
    </row>
    <row r="3" ht="14.25" customHeight="1">
      <c r="A3" s="492" t="str">
        <f>"S "&amp;$AD2&amp;" - "&amp;TEXT(C12,"dd/mm")</f>
        <v>S 1 - 12/01</v>
      </c>
      <c r="B3" s="514" t="s">
        <v>183</v>
      </c>
      <c r="J3" s="505"/>
      <c r="K3" s="515" t="s">
        <v>184</v>
      </c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70"/>
      <c r="Y3" s="498"/>
      <c r="Z3" s="498"/>
      <c r="AA3" s="509"/>
      <c r="AB3" s="509"/>
      <c r="AC3" s="509"/>
      <c r="AD3" s="509"/>
      <c r="AE3" s="498"/>
      <c r="AF3" s="516" t="s">
        <v>185</v>
      </c>
      <c r="AG3" s="516">
        <f>$C14</f>
        <v>74</v>
      </c>
      <c r="AH3" s="517" t="s">
        <v>186</v>
      </c>
      <c r="AI3" s="61"/>
      <c r="AJ3" s="517">
        <f>$H14</f>
        <v>14</v>
      </c>
      <c r="AK3" s="61"/>
      <c r="AL3" s="498"/>
      <c r="AM3" s="501"/>
      <c r="AN3" s="498"/>
      <c r="AO3" s="498"/>
      <c r="AP3" s="509"/>
      <c r="AQ3" s="513" t="s">
        <v>187</v>
      </c>
      <c r="AR3" s="61"/>
      <c r="AS3" s="511" t="b">
        <v>1</v>
      </c>
      <c r="AT3" s="498"/>
      <c r="AU3" s="516" t="s">
        <v>185</v>
      </c>
      <c r="AV3" s="516">
        <f>$C14</f>
        <v>74</v>
      </c>
      <c r="AW3" s="517" t="s">
        <v>186</v>
      </c>
      <c r="AX3" s="61"/>
      <c r="AY3" s="517">
        <f>$H14</f>
        <v>14</v>
      </c>
      <c r="AZ3" s="61"/>
      <c r="BA3" s="498"/>
      <c r="BB3" s="501"/>
      <c r="BC3" s="498"/>
      <c r="BD3" s="498"/>
      <c r="BE3" s="509"/>
      <c r="BF3" s="509"/>
      <c r="BG3" s="509"/>
      <c r="BH3" s="509"/>
      <c r="BI3" s="498"/>
      <c r="BJ3" s="516" t="s">
        <v>185</v>
      </c>
      <c r="BK3" s="516">
        <f>$C14</f>
        <v>74</v>
      </c>
      <c r="BL3" s="517" t="s">
        <v>186</v>
      </c>
      <c r="BM3" s="61"/>
      <c r="BN3" s="517">
        <f>$H14</f>
        <v>14</v>
      </c>
      <c r="BO3" s="61"/>
      <c r="BP3" s="498"/>
      <c r="BQ3" s="501"/>
      <c r="BR3" s="498"/>
      <c r="BS3" s="498"/>
      <c r="BT3" s="509"/>
      <c r="BU3" s="509"/>
      <c r="BV3" s="509"/>
      <c r="BW3" s="509"/>
      <c r="BX3" s="498"/>
      <c r="BY3" s="516" t="s">
        <v>185</v>
      </c>
      <c r="BZ3" s="516">
        <f>$C14</f>
        <v>74</v>
      </c>
      <c r="CA3" s="517" t="s">
        <v>186</v>
      </c>
      <c r="CB3" s="61"/>
      <c r="CC3" s="517">
        <f>$H14</f>
        <v>14</v>
      </c>
      <c r="CD3" s="61"/>
      <c r="CE3" s="498"/>
      <c r="CF3" s="501"/>
      <c r="CG3" s="498"/>
      <c r="CH3" s="498"/>
      <c r="CI3" s="509"/>
      <c r="CJ3" s="509"/>
      <c r="CK3" s="509"/>
      <c r="CL3" s="509"/>
      <c r="CM3" s="498"/>
      <c r="CN3" s="516" t="s">
        <v>185</v>
      </c>
      <c r="CO3" s="516">
        <f>$C14</f>
        <v>74</v>
      </c>
      <c r="CP3" s="517" t="s">
        <v>186</v>
      </c>
      <c r="CQ3" s="61"/>
      <c r="CR3" s="517">
        <f>$H14</f>
        <v>14</v>
      </c>
      <c r="CS3" s="61"/>
      <c r="CT3" s="498"/>
      <c r="CU3" s="501"/>
      <c r="CV3" s="498"/>
      <c r="CW3" s="498"/>
      <c r="CX3" s="509"/>
      <c r="CY3" s="509"/>
      <c r="CZ3" s="509"/>
      <c r="DA3" s="509"/>
      <c r="DB3" s="498"/>
      <c r="DC3" s="516" t="s">
        <v>185</v>
      </c>
      <c r="DD3" s="516">
        <f>$C14</f>
        <v>74</v>
      </c>
      <c r="DE3" s="517" t="s">
        <v>186</v>
      </c>
      <c r="DF3" s="61"/>
      <c r="DG3" s="517">
        <f>$H14</f>
        <v>14</v>
      </c>
      <c r="DH3" s="61"/>
      <c r="DI3" s="498"/>
      <c r="DJ3" s="501"/>
      <c r="DK3" s="498"/>
    </row>
    <row r="4" ht="14.25" customHeight="1">
      <c r="A4" s="492" t="str">
        <f>"S "&amp;$AD2&amp;" - "&amp;TEXT(C12,"dd/mm")</f>
        <v>S 1 - 12/01</v>
      </c>
      <c r="B4" s="518" t="s">
        <v>188</v>
      </c>
      <c r="C4" s="519"/>
      <c r="D4" s="520">
        <f>HLOOKUP(F2,'Periodização Macrociclo'!$E$5:$BN$19,15,FALSE)</f>
        <v>0</v>
      </c>
      <c r="E4" s="521" t="s">
        <v>189</v>
      </c>
      <c r="F4" s="522"/>
      <c r="G4" s="519"/>
      <c r="H4" s="523">
        <f>HLOOKUP(F2,'Periodização Macrociclo'!$E$5:$BN$20,16,FALSE)</f>
        <v>0</v>
      </c>
      <c r="I4" s="524">
        <f>MATCH(F2,'Periodização Macrociclo'!$E$5:$BP$5,0)</f>
        <v>36</v>
      </c>
      <c r="J4" s="505"/>
      <c r="K4" s="525" t="s">
        <v>139</v>
      </c>
      <c r="L4" s="240"/>
      <c r="M4" s="526" t="str">
        <f>OFFSET('Periodização Macrociclo'!$D$10,0,$I4)</f>
        <v/>
      </c>
      <c r="N4" s="527" t="s">
        <v>190</v>
      </c>
      <c r="O4" s="528">
        <f>OFFSET('Periodização Macrociclo'!$D$12,0,$I4)</f>
        <v>30</v>
      </c>
      <c r="P4" s="529" t="s">
        <v>143</v>
      </c>
      <c r="Q4" s="530"/>
      <c r="R4" s="531" t="str">
        <f>OFFSET('Periodização Macrociclo'!$D$14,0,$I4)</f>
        <v/>
      </c>
      <c r="S4" s="532" t="s">
        <v>191</v>
      </c>
      <c r="T4" s="239"/>
      <c r="U4" s="239"/>
      <c r="V4" s="239"/>
      <c r="W4" s="240"/>
      <c r="X4" s="533" t="str">
        <f>OFFSET('Periodização Macrociclo'!$D$16,0,$I4)</f>
        <v/>
      </c>
      <c r="Y4" s="498"/>
      <c r="Z4" s="498"/>
      <c r="AA4" s="509"/>
      <c r="AB4" s="509"/>
      <c r="AC4" s="509"/>
      <c r="AD4" s="509"/>
      <c r="AE4" s="498"/>
      <c r="AF4" s="516" t="s">
        <v>192</v>
      </c>
      <c r="AG4" s="516">
        <f>$D14</f>
        <v>52</v>
      </c>
      <c r="AH4" s="517" t="s">
        <v>193</v>
      </c>
      <c r="AI4" s="61"/>
      <c r="AJ4" s="517">
        <f>$I14</f>
        <v>0</v>
      </c>
      <c r="AK4" s="61"/>
      <c r="AL4" s="498"/>
      <c r="AM4" s="501"/>
      <c r="AN4" s="498"/>
      <c r="AO4" s="498"/>
      <c r="AP4" s="509"/>
      <c r="AQ4" s="509"/>
      <c r="AR4" s="509"/>
      <c r="AS4" s="509"/>
      <c r="AT4" s="498"/>
      <c r="AU4" s="516" t="s">
        <v>192</v>
      </c>
      <c r="AV4" s="516">
        <f>$D14</f>
        <v>52</v>
      </c>
      <c r="AW4" s="517" t="s">
        <v>193</v>
      </c>
      <c r="AX4" s="61"/>
      <c r="AY4" s="517">
        <f>$I14</f>
        <v>0</v>
      </c>
      <c r="AZ4" s="61"/>
      <c r="BA4" s="498"/>
      <c r="BB4" s="501"/>
      <c r="BC4" s="498"/>
      <c r="BD4" s="498"/>
      <c r="BE4" s="509"/>
      <c r="BF4" s="509"/>
      <c r="BG4" s="509"/>
      <c r="BH4" s="509"/>
      <c r="BI4" s="498"/>
      <c r="BJ4" s="516" t="s">
        <v>192</v>
      </c>
      <c r="BK4" s="516">
        <f>$D14</f>
        <v>52</v>
      </c>
      <c r="BL4" s="517" t="s">
        <v>193</v>
      </c>
      <c r="BM4" s="61"/>
      <c r="BN4" s="517">
        <f>$I14</f>
        <v>0</v>
      </c>
      <c r="BO4" s="61"/>
      <c r="BP4" s="498"/>
      <c r="BQ4" s="501"/>
      <c r="BR4" s="498"/>
      <c r="BS4" s="498"/>
      <c r="BT4" s="509"/>
      <c r="BU4" s="509"/>
      <c r="BV4" s="509"/>
      <c r="BW4" s="509"/>
      <c r="BX4" s="498"/>
      <c r="BY4" s="516" t="s">
        <v>192</v>
      </c>
      <c r="BZ4" s="516">
        <f>$D14</f>
        <v>52</v>
      </c>
      <c r="CA4" s="517" t="s">
        <v>193</v>
      </c>
      <c r="CB4" s="61"/>
      <c r="CC4" s="517">
        <f>$I14</f>
        <v>0</v>
      </c>
      <c r="CD4" s="61"/>
      <c r="CE4" s="498"/>
      <c r="CF4" s="501"/>
      <c r="CG4" s="498"/>
      <c r="CH4" s="498"/>
      <c r="CI4" s="509"/>
      <c r="CJ4" s="509"/>
      <c r="CK4" s="509"/>
      <c r="CL4" s="509"/>
      <c r="CM4" s="498"/>
      <c r="CN4" s="516" t="s">
        <v>192</v>
      </c>
      <c r="CO4" s="516">
        <f>$D14</f>
        <v>52</v>
      </c>
      <c r="CP4" s="517" t="s">
        <v>193</v>
      </c>
      <c r="CQ4" s="61"/>
      <c r="CR4" s="517">
        <f>$I14</f>
        <v>0</v>
      </c>
      <c r="CS4" s="61"/>
      <c r="CT4" s="498"/>
      <c r="CU4" s="501"/>
      <c r="CV4" s="498"/>
      <c r="CW4" s="498"/>
      <c r="CX4" s="509"/>
      <c r="CY4" s="509"/>
      <c r="CZ4" s="509"/>
      <c r="DA4" s="509"/>
      <c r="DB4" s="498"/>
      <c r="DC4" s="516" t="s">
        <v>192</v>
      </c>
      <c r="DD4" s="516">
        <f>$D14</f>
        <v>52</v>
      </c>
      <c r="DE4" s="517" t="s">
        <v>193</v>
      </c>
      <c r="DF4" s="61"/>
      <c r="DG4" s="517">
        <f>$I14</f>
        <v>0</v>
      </c>
      <c r="DH4" s="61"/>
      <c r="DI4" s="498"/>
      <c r="DJ4" s="501"/>
      <c r="DK4" s="498"/>
    </row>
    <row r="5" ht="14.25" customHeight="1">
      <c r="A5" s="492" t="str">
        <f>"S "&amp;$AD2&amp;" - "&amp;TEXT(C12,"dd/mm")</f>
        <v>S 1 - 12/01</v>
      </c>
      <c r="B5" s="534" t="s">
        <v>194</v>
      </c>
      <c r="C5" s="535" t="s">
        <v>195</v>
      </c>
      <c r="D5" s="535" t="s">
        <v>196</v>
      </c>
      <c r="E5" s="535" t="s">
        <v>197</v>
      </c>
      <c r="F5" s="535" t="s">
        <v>198</v>
      </c>
      <c r="G5" s="535" t="s">
        <v>199</v>
      </c>
      <c r="H5" s="536" t="s">
        <v>200</v>
      </c>
      <c r="I5" s="537"/>
      <c r="J5" s="505"/>
      <c r="K5" s="538" t="s">
        <v>140</v>
      </c>
      <c r="L5" s="61"/>
      <c r="M5" s="539" t="str">
        <f>OFFSET('Periodização Macrociclo'!$D$11,0,$I4)</f>
        <v/>
      </c>
      <c r="N5" s="540" t="s">
        <v>142</v>
      </c>
      <c r="O5" s="541">
        <f>OFFSET('Periodização Macrociclo'!$D$13,0,$I4)</f>
        <v>2</v>
      </c>
      <c r="P5" s="542" t="s">
        <v>15</v>
      </c>
      <c r="Q5" s="543"/>
      <c r="R5" s="544" t="str">
        <f>OFFSET('Periodização Macrociclo'!$D$15,0,$I4)</f>
        <v/>
      </c>
      <c r="S5" s="545" t="s">
        <v>201</v>
      </c>
      <c r="T5" s="60"/>
      <c r="U5" s="60"/>
      <c r="V5" s="60"/>
      <c r="W5" s="61"/>
      <c r="X5" s="533">
        <f>SUM(IF(V10&gt;0,1,0),IF(AK10&gt;0,1,0),IF(AZ10&gt;0,1,0),IF(BO10&gt;0,1,0),IF(CD10&gt;0,1,0),IF(CS10&gt;0,1,0),IF(DH10&gt;0,1,0))</f>
        <v>6</v>
      </c>
      <c r="Y5" s="537"/>
      <c r="Z5" s="498"/>
      <c r="AA5" s="509"/>
      <c r="AB5" s="509"/>
      <c r="AC5" s="509"/>
      <c r="AD5" s="509"/>
      <c r="AE5" s="498"/>
      <c r="AF5" s="516" t="s">
        <v>202</v>
      </c>
      <c r="AG5" s="546">
        <f>$E14</f>
        <v>14</v>
      </c>
      <c r="AH5" s="517" t="s">
        <v>200</v>
      </c>
      <c r="AI5" s="61"/>
      <c r="AJ5" s="547">
        <f>SUM($AG2:$AG6,$AJ2:$AJ3)</f>
        <v>204</v>
      </c>
      <c r="AK5" s="61"/>
      <c r="AL5" s="537"/>
      <c r="AM5" s="548"/>
      <c r="AN5" s="537"/>
      <c r="AO5" s="498"/>
      <c r="AP5" s="509"/>
      <c r="AQ5" s="509"/>
      <c r="AR5" s="509"/>
      <c r="AS5" s="509"/>
      <c r="AT5" s="498"/>
      <c r="AU5" s="516" t="s">
        <v>202</v>
      </c>
      <c r="AV5" s="546">
        <f>$E14</f>
        <v>14</v>
      </c>
      <c r="AW5" s="517" t="s">
        <v>200</v>
      </c>
      <c r="AX5" s="61"/>
      <c r="AY5" s="547">
        <f>SUM($AG2:$AG6,$AJ2:$AJ3)</f>
        <v>204</v>
      </c>
      <c r="AZ5" s="61"/>
      <c r="BA5" s="537"/>
      <c r="BB5" s="548"/>
      <c r="BC5" s="537"/>
      <c r="BD5" s="498"/>
      <c r="BE5" s="509"/>
      <c r="BF5" s="509"/>
      <c r="BG5" s="509"/>
      <c r="BH5" s="509"/>
      <c r="BI5" s="498"/>
      <c r="BJ5" s="516" t="s">
        <v>202</v>
      </c>
      <c r="BK5" s="546">
        <f>$E14</f>
        <v>14</v>
      </c>
      <c r="BL5" s="517" t="s">
        <v>200</v>
      </c>
      <c r="BM5" s="61"/>
      <c r="BN5" s="547">
        <f>SUM($AG2:$AG6,$AJ2:$AJ3)</f>
        <v>204</v>
      </c>
      <c r="BO5" s="61"/>
      <c r="BP5" s="537"/>
      <c r="BQ5" s="548"/>
      <c r="BR5" s="537"/>
      <c r="BS5" s="498"/>
      <c r="BT5" s="509"/>
      <c r="BU5" s="509"/>
      <c r="BV5" s="509"/>
      <c r="BW5" s="509"/>
      <c r="BX5" s="498"/>
      <c r="BY5" s="516" t="s">
        <v>202</v>
      </c>
      <c r="BZ5" s="546">
        <f>$E14</f>
        <v>14</v>
      </c>
      <c r="CA5" s="517" t="s">
        <v>200</v>
      </c>
      <c r="CB5" s="61"/>
      <c r="CC5" s="547">
        <f>SUM($AG2:$AG6,$AJ2:$AJ3)</f>
        <v>204</v>
      </c>
      <c r="CD5" s="61"/>
      <c r="CE5" s="537"/>
      <c r="CF5" s="548"/>
      <c r="CG5" s="537"/>
      <c r="CH5" s="498"/>
      <c r="CI5" s="509"/>
      <c r="CJ5" s="509"/>
      <c r="CK5" s="509"/>
      <c r="CL5" s="509"/>
      <c r="CM5" s="498"/>
      <c r="CN5" s="516" t="s">
        <v>202</v>
      </c>
      <c r="CO5" s="546">
        <f>$E14</f>
        <v>14</v>
      </c>
      <c r="CP5" s="517" t="s">
        <v>200</v>
      </c>
      <c r="CQ5" s="61"/>
      <c r="CR5" s="547">
        <f>SUM($AG2:$AG6,$AJ2:$AJ3)</f>
        <v>204</v>
      </c>
      <c r="CS5" s="61"/>
      <c r="CT5" s="537"/>
      <c r="CU5" s="548"/>
      <c r="CV5" s="537"/>
      <c r="CW5" s="498"/>
      <c r="CX5" s="509"/>
      <c r="CY5" s="509"/>
      <c r="CZ5" s="509"/>
      <c r="DA5" s="509"/>
      <c r="DB5" s="498"/>
      <c r="DC5" s="516" t="s">
        <v>202</v>
      </c>
      <c r="DD5" s="546">
        <f>$E14</f>
        <v>14</v>
      </c>
      <c r="DE5" s="517" t="s">
        <v>200</v>
      </c>
      <c r="DF5" s="61"/>
      <c r="DG5" s="547">
        <f>SUM($AG2:$AG6,$AJ2:$AJ3)</f>
        <v>204</v>
      </c>
      <c r="DH5" s="61"/>
      <c r="DI5" s="537"/>
      <c r="DJ5" s="548"/>
      <c r="DK5" s="537"/>
    </row>
    <row r="6" ht="14.25" customHeight="1">
      <c r="A6" s="492" t="str">
        <f>"S "&amp;$AD2&amp;" - "&amp;TEXT(C12,"dd/mm")</f>
        <v>S 1 - 12/01</v>
      </c>
      <c r="B6" s="549" t="s">
        <v>203</v>
      </c>
      <c r="C6" s="550">
        <f>OFFSET('Periodização Macrociclo'!$D$21,0,$I4)</f>
        <v>25</v>
      </c>
      <c r="D6" s="550">
        <f>OFFSET('Periodização Macrociclo'!$D$22,0,$I4)</f>
        <v>40</v>
      </c>
      <c r="E6" s="550">
        <f>OFFSET('Periodização Macrociclo'!$D$23,0,$I4)</f>
        <v>20</v>
      </c>
      <c r="F6" s="550">
        <f>OFFSET('Periodização Macrociclo'!$D$24,0,$I4)</f>
        <v>10</v>
      </c>
      <c r="G6" s="550">
        <f>OFFSET('Periodização Macrociclo'!$D$25,0,$I4)</f>
        <v>5</v>
      </c>
      <c r="H6" s="551">
        <f>SUM(C6:G6)</f>
        <v>100</v>
      </c>
      <c r="I6" s="498"/>
      <c r="J6" s="505"/>
      <c r="K6" s="552" t="s">
        <v>151</v>
      </c>
      <c r="L6" s="553"/>
      <c r="M6" s="554" t="str">
        <f>OFFSET('Periodização Macrociclo'!$D$18,0,$I4)</f>
        <v/>
      </c>
      <c r="N6" s="472"/>
      <c r="O6" s="553"/>
      <c r="P6" s="555" t="s">
        <v>170</v>
      </c>
      <c r="Q6" s="556"/>
      <c r="R6" s="557" t="str">
        <f>OFFSET('Periodização Macrociclo'!$D$7,0,$I4)</f>
        <v>ORD</v>
      </c>
      <c r="S6" s="558" t="s">
        <v>150</v>
      </c>
      <c r="T6" s="472"/>
      <c r="U6" s="472"/>
      <c r="V6" s="472"/>
      <c r="W6" s="553"/>
      <c r="X6" s="559" t="str">
        <f>OFFSET('Periodização Macrociclo'!$D$17,0,$I4)</f>
        <v/>
      </c>
      <c r="Y6" s="498"/>
      <c r="Z6" s="498"/>
      <c r="AA6" s="509"/>
      <c r="AB6" s="509"/>
      <c r="AC6" s="509"/>
      <c r="AD6" s="509"/>
      <c r="AE6" s="537"/>
      <c r="AF6" s="560" t="s">
        <v>204</v>
      </c>
      <c r="AG6" s="560">
        <f>$F14</f>
        <v>50</v>
      </c>
      <c r="AH6" s="537"/>
      <c r="AL6" s="498"/>
      <c r="AM6" s="501"/>
      <c r="AN6" s="498"/>
      <c r="AO6" s="498"/>
      <c r="AP6" s="509"/>
      <c r="AQ6" s="509"/>
      <c r="AR6" s="509"/>
      <c r="AS6" s="509"/>
      <c r="AT6" s="537"/>
      <c r="AU6" s="560" t="s">
        <v>204</v>
      </c>
      <c r="AV6" s="560">
        <f>$F14</f>
        <v>50</v>
      </c>
      <c r="AW6" s="537"/>
      <c r="BA6" s="498"/>
      <c r="BB6" s="501"/>
      <c r="BC6" s="498"/>
      <c r="BD6" s="498"/>
      <c r="BE6" s="509"/>
      <c r="BF6" s="509"/>
      <c r="BG6" s="509"/>
      <c r="BH6" s="509"/>
      <c r="BI6" s="537"/>
      <c r="BJ6" s="560" t="s">
        <v>204</v>
      </c>
      <c r="BK6" s="560">
        <f>$F14</f>
        <v>50</v>
      </c>
      <c r="BL6" s="537"/>
      <c r="BP6" s="498"/>
      <c r="BQ6" s="501"/>
      <c r="BR6" s="498"/>
      <c r="BS6" s="498"/>
      <c r="BT6" s="509"/>
      <c r="BU6" s="509"/>
      <c r="BV6" s="509"/>
      <c r="BW6" s="509"/>
      <c r="BX6" s="537"/>
      <c r="BY6" s="560" t="s">
        <v>204</v>
      </c>
      <c r="BZ6" s="560">
        <f>$F14</f>
        <v>50</v>
      </c>
      <c r="CA6" s="537"/>
      <c r="CE6" s="498"/>
      <c r="CF6" s="501"/>
      <c r="CG6" s="498"/>
      <c r="CH6" s="498"/>
      <c r="CI6" s="509"/>
      <c r="CJ6" s="509"/>
      <c r="CK6" s="509"/>
      <c r="CL6" s="509"/>
      <c r="CM6" s="537"/>
      <c r="CN6" s="560" t="s">
        <v>204</v>
      </c>
      <c r="CO6" s="560">
        <f>$F14</f>
        <v>50</v>
      </c>
      <c r="CP6" s="537"/>
      <c r="CT6" s="498"/>
      <c r="CU6" s="501"/>
      <c r="CV6" s="498"/>
      <c r="CW6" s="498"/>
      <c r="CX6" s="509"/>
      <c r="CY6" s="509"/>
      <c r="CZ6" s="509"/>
      <c r="DA6" s="509"/>
      <c r="DB6" s="537"/>
      <c r="DC6" s="560" t="s">
        <v>204</v>
      </c>
      <c r="DD6" s="560">
        <f>$F14</f>
        <v>50</v>
      </c>
      <c r="DE6" s="537"/>
      <c r="DI6" s="498"/>
      <c r="DJ6" s="501"/>
      <c r="DK6" s="498"/>
    </row>
    <row r="7" ht="14.25" customHeight="1">
      <c r="A7" s="492" t="str">
        <f>"S "&amp;$AD2&amp;" - "&amp;TEXT(C12,"dd/mm")</f>
        <v>S 1 - 12/01</v>
      </c>
      <c r="B7" s="561" t="s">
        <v>205</v>
      </c>
      <c r="C7" s="562">
        <f>D4*(C6/100)</f>
        <v>0</v>
      </c>
      <c r="D7" s="562">
        <f>D4*(D6/100)</f>
        <v>0</v>
      </c>
      <c r="E7" s="562">
        <f>D4*(E6/100)</f>
        <v>0</v>
      </c>
      <c r="F7" s="562">
        <f>D4*(F6/200)</f>
        <v>0</v>
      </c>
      <c r="G7" s="562">
        <f>D4*(G6/200)</f>
        <v>0</v>
      </c>
      <c r="H7" s="563">
        <f t="shared" ref="H7:H9" si="3">SUM(C7:E7,F7*2,G7*2)</f>
        <v>0</v>
      </c>
      <c r="I7" s="498"/>
      <c r="J7" s="505"/>
      <c r="K7" s="498"/>
      <c r="L7" s="498"/>
      <c r="M7" s="498"/>
      <c r="N7" s="498"/>
      <c r="O7" s="499"/>
      <c r="P7" s="499"/>
      <c r="Q7" s="499"/>
      <c r="R7" s="498"/>
      <c r="S7" s="498"/>
      <c r="T7" s="499"/>
      <c r="U7" s="499"/>
      <c r="V7" s="499"/>
      <c r="W7" s="498"/>
      <c r="X7" s="501"/>
      <c r="Y7" s="498"/>
      <c r="Z7" s="498"/>
      <c r="AA7" s="509"/>
      <c r="AB7" s="509"/>
      <c r="AC7" s="509"/>
      <c r="AD7" s="509"/>
      <c r="AE7" s="498"/>
      <c r="AF7" s="516" t="s">
        <v>206</v>
      </c>
      <c r="AG7" s="546">
        <f>$G14</f>
        <v>84</v>
      </c>
      <c r="AL7" s="498"/>
      <c r="AM7" s="501"/>
      <c r="AN7" s="498"/>
      <c r="AO7" s="498"/>
      <c r="AP7" s="509"/>
      <c r="AQ7" s="509"/>
      <c r="AR7" s="509"/>
      <c r="AS7" s="509"/>
      <c r="AT7" s="498"/>
      <c r="AU7" s="516" t="s">
        <v>206</v>
      </c>
      <c r="AV7" s="546">
        <f>$G14</f>
        <v>84</v>
      </c>
      <c r="BA7" s="498"/>
      <c r="BB7" s="501"/>
      <c r="BC7" s="498"/>
      <c r="BD7" s="498"/>
      <c r="BE7" s="509"/>
      <c r="BF7" s="509"/>
      <c r="BG7" s="509"/>
      <c r="BH7" s="509"/>
      <c r="BI7" s="498"/>
      <c r="BJ7" s="516" t="s">
        <v>206</v>
      </c>
      <c r="BK7" s="546">
        <f>$G14</f>
        <v>84</v>
      </c>
      <c r="BP7" s="498"/>
      <c r="BQ7" s="501"/>
      <c r="BR7" s="498"/>
      <c r="BS7" s="498"/>
      <c r="BT7" s="509"/>
      <c r="BU7" s="509"/>
      <c r="BV7" s="509"/>
      <c r="BW7" s="509"/>
      <c r="BX7" s="498"/>
      <c r="BY7" s="516" t="s">
        <v>206</v>
      </c>
      <c r="BZ7" s="546">
        <f>$G14</f>
        <v>84</v>
      </c>
      <c r="CE7" s="498"/>
      <c r="CF7" s="501"/>
      <c r="CG7" s="498"/>
      <c r="CH7" s="498"/>
      <c r="CI7" s="509"/>
      <c r="CJ7" s="509"/>
      <c r="CK7" s="509"/>
      <c r="CL7" s="509"/>
      <c r="CM7" s="498"/>
      <c r="CN7" s="516" t="s">
        <v>206</v>
      </c>
      <c r="CO7" s="546">
        <f>$G14</f>
        <v>84</v>
      </c>
      <c r="CT7" s="498"/>
      <c r="CU7" s="501"/>
      <c r="CV7" s="498"/>
      <c r="CW7" s="498"/>
      <c r="CX7" s="509"/>
      <c r="CY7" s="509"/>
      <c r="CZ7" s="509"/>
      <c r="DA7" s="509"/>
      <c r="DB7" s="498"/>
      <c r="DC7" s="516" t="s">
        <v>206</v>
      </c>
      <c r="DD7" s="546">
        <f>$G14</f>
        <v>84</v>
      </c>
      <c r="DI7" s="498"/>
      <c r="DJ7" s="501"/>
      <c r="DK7" s="498"/>
    </row>
    <row r="8" ht="14.25" customHeight="1">
      <c r="A8" s="492" t="str">
        <f>"S "&amp;$AD2&amp;" - "&amp;TEXT(C12,"dd/mm")</f>
        <v>S 1 - 12/01</v>
      </c>
      <c r="B8" s="564" t="s">
        <v>207</v>
      </c>
      <c r="C8" s="565">
        <f>SUMIFS(C46:I46,C27:I27,"&lt;=0,6")+SUMIFS(C47:I47,C25:I25,"&lt;=0,6")+SUMIFS(C15:I15,C27:I27,"&lt;=0,6",C46:I46,0)</f>
        <v>60</v>
      </c>
      <c r="D8" s="565">
        <f>SUMIFS(C46:I46,C27:I27,"&gt;0,6",C27:I27,"&lt;=0,8")+SUMIFS(C47:I47,C25:I25,"&gt;0,6",C25:I25,"&lt;=0,8")+SUMIFS(C15:I15,C27:I27,"&gt;0,6",C27:I27,"&lt;=0,8",C46:I46,0)</f>
        <v>0</v>
      </c>
      <c r="E8" s="565">
        <f>SUMIFS(C46:I46,C27:I27,"&gt;0,8",C27:I27,"&lt;=0,9")+SUMIFS(C47:I47,C25:I25,"&gt;0,8",C25:I25,"&lt;=0,9")+SUMIFS(C15:I15,C27:I27,"&gt;0,8",C27:I27,"&lt;=0,9",C46:I46,0)</f>
        <v>0</v>
      </c>
      <c r="F8" s="565">
        <f>SUMIFS(C46:I46,C27:I27,"&gt;0,9",C27:I27,"&lt;=1")+SUMIFS(C47:I47,C25:I25,"&gt;0,9",C25:I25,"&lt;=1")+SUMIFS(C15:I15,C27:I27,"&gt;0,9",C27:I27,"&lt;=1",C46:I46,0)</f>
        <v>0</v>
      </c>
      <c r="G8" s="565">
        <f>SUMIFS(C46:I46,C27:I27,"&gt;1")+SUMIFS(C47:I47,C25:I25,"&gt;1")+SUMIFS(C15:I15,C27:I27,"&gt;1",C46:I46,0)</f>
        <v>0</v>
      </c>
      <c r="H8" s="563">
        <f t="shared" si="3"/>
        <v>60</v>
      </c>
      <c r="I8" s="498"/>
      <c r="J8" s="505"/>
      <c r="K8" s="566">
        <f>C12</f>
        <v>46034</v>
      </c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567"/>
      <c r="Z8" s="568">
        <f>D12</f>
        <v>46035</v>
      </c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  <c r="AL8" s="155"/>
      <c r="AM8" s="155"/>
      <c r="AN8" s="567"/>
      <c r="AO8" s="568">
        <f>E12</f>
        <v>46036</v>
      </c>
      <c r="AP8" s="155"/>
      <c r="AQ8" s="155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/>
      <c r="BC8" s="567"/>
      <c r="BD8" s="568">
        <f>F12</f>
        <v>46037</v>
      </c>
      <c r="BE8" s="155"/>
      <c r="BF8" s="155"/>
      <c r="BG8" s="155"/>
      <c r="BH8" s="155"/>
      <c r="BI8" s="155"/>
      <c r="BJ8" s="155"/>
      <c r="BK8" s="155"/>
      <c r="BL8" s="155"/>
      <c r="BM8" s="155"/>
      <c r="BN8" s="155"/>
      <c r="BO8" s="155"/>
      <c r="BP8" s="155"/>
      <c r="BQ8" s="155"/>
      <c r="BR8" s="567"/>
      <c r="BS8" s="568">
        <f>G12</f>
        <v>46038</v>
      </c>
      <c r="BT8" s="155"/>
      <c r="BU8" s="155"/>
      <c r="BV8" s="155"/>
      <c r="BW8" s="155"/>
      <c r="BX8" s="155"/>
      <c r="BY8" s="155"/>
      <c r="BZ8" s="155"/>
      <c r="CA8" s="155"/>
      <c r="CB8" s="155"/>
      <c r="CC8" s="155"/>
      <c r="CD8" s="155"/>
      <c r="CE8" s="155"/>
      <c r="CF8" s="155"/>
      <c r="CG8" s="567"/>
      <c r="CH8" s="568">
        <f>H12</f>
        <v>46039</v>
      </c>
      <c r="CI8" s="155"/>
      <c r="CJ8" s="155"/>
      <c r="CK8" s="155"/>
      <c r="CL8" s="155"/>
      <c r="CM8" s="155"/>
      <c r="CN8" s="155"/>
      <c r="CO8" s="155"/>
      <c r="CP8" s="155"/>
      <c r="CQ8" s="155"/>
      <c r="CR8" s="155"/>
      <c r="CS8" s="155"/>
      <c r="CT8" s="155"/>
      <c r="CU8" s="155"/>
      <c r="CV8" s="567"/>
      <c r="CW8" s="568">
        <f>I12</f>
        <v>46040</v>
      </c>
      <c r="CX8" s="155"/>
      <c r="CY8" s="155"/>
      <c r="CZ8" s="155"/>
      <c r="DA8" s="155"/>
      <c r="DB8" s="155"/>
      <c r="DC8" s="155"/>
      <c r="DD8" s="155"/>
      <c r="DE8" s="155"/>
      <c r="DF8" s="155"/>
      <c r="DG8" s="155"/>
      <c r="DH8" s="155"/>
      <c r="DI8" s="155"/>
      <c r="DJ8" s="155"/>
      <c r="DK8" s="567"/>
    </row>
    <row r="9" ht="14.25" customHeight="1">
      <c r="A9" s="492" t="str">
        <f>"S "&amp;$AD2&amp;" - "&amp;TEXT(C12,"dd/mm")</f>
        <v>S 1 - 12/01</v>
      </c>
      <c r="B9" s="534" t="s">
        <v>208</v>
      </c>
      <c r="C9" s="528">
        <f t="shared" ref="C9:G9" si="4">C7-C8</f>
        <v>-60</v>
      </c>
      <c r="D9" s="528">
        <f t="shared" si="4"/>
        <v>0</v>
      </c>
      <c r="E9" s="528">
        <f t="shared" si="4"/>
        <v>0</v>
      </c>
      <c r="F9" s="528">
        <f t="shared" si="4"/>
        <v>0</v>
      </c>
      <c r="G9" s="528">
        <f t="shared" si="4"/>
        <v>0</v>
      </c>
      <c r="H9" s="563">
        <f t="shared" si="3"/>
        <v>-60</v>
      </c>
      <c r="I9" s="498"/>
      <c r="J9" s="505"/>
      <c r="K9" s="569" t="s">
        <v>209</v>
      </c>
      <c r="Y9" s="570"/>
      <c r="Z9" s="571" t="s">
        <v>210</v>
      </c>
      <c r="AN9" s="570"/>
      <c r="AO9" s="571" t="s">
        <v>211</v>
      </c>
      <c r="BC9" s="570"/>
      <c r="BD9" s="571" t="s">
        <v>212</v>
      </c>
      <c r="BR9" s="570"/>
      <c r="BS9" s="571" t="s">
        <v>213</v>
      </c>
      <c r="CG9" s="570"/>
      <c r="CH9" s="571" t="s">
        <v>214</v>
      </c>
      <c r="CV9" s="570"/>
      <c r="CW9" s="571" t="s">
        <v>215</v>
      </c>
      <c r="DK9" s="570"/>
    </row>
    <row r="10" ht="14.25" customHeight="1">
      <c r="A10" s="492" t="str">
        <f>"S "&amp;$AD2&amp;" - "&amp;TEXT(C12,"dd/mm")</f>
        <v>S 1 - 12/01</v>
      </c>
      <c r="B10" s="572" t="s">
        <v>216</v>
      </c>
      <c r="C10" s="573"/>
      <c r="D10" s="472"/>
      <c r="E10" s="553"/>
      <c r="F10" s="554"/>
      <c r="G10" s="472"/>
      <c r="H10" s="574"/>
      <c r="I10" s="498"/>
      <c r="J10" s="505"/>
      <c r="K10" s="575" t="s">
        <v>217</v>
      </c>
      <c r="N10" s="576">
        <f>C14</f>
        <v>74</v>
      </c>
      <c r="O10" s="577" t="s">
        <v>218</v>
      </c>
      <c r="Q10" s="575">
        <f>C15</f>
        <v>25</v>
      </c>
      <c r="S10" s="577" t="s">
        <v>219</v>
      </c>
      <c r="V10" s="578">
        <f>ROUNDUP((SUMPRODUCT(S16:S19,(U16:U19+V16:V19),R16:R19)+SUMPRODUCT(T16:T19,R16:R19)+SUMPRODUCT(S21:S40,(U21:U40+V21:V40),R21:R40)+SUMPRODUCT(T21:T40,R21:R40)+SUMPRODUCT(S42:S44,(U42:U44+V42:V44),R42:R44)+SUMPRODUCT(T42:T44,R42:R44))/60,0)</f>
        <v>39</v>
      </c>
      <c r="Y10" s="579"/>
      <c r="Z10" s="580" t="s">
        <v>217</v>
      </c>
      <c r="AC10" s="576">
        <f>D14</f>
        <v>52</v>
      </c>
      <c r="AD10" s="577" t="s">
        <v>218</v>
      </c>
      <c r="AF10" s="575">
        <f>D15</f>
        <v>5</v>
      </c>
      <c r="AH10" s="577" t="s">
        <v>219</v>
      </c>
      <c r="AK10" s="578">
        <f>ROUNDUP((SUMPRODUCT(AH16:AH19,(AJ16:AJ19+AK16:AK19),AG16:AG19)+SUMPRODUCT(AI16:AI19,AG16:AG19)+SUMPRODUCT(AH21:AH40,(AJ21:AJ40+AK21:AK40),AG21:AG40)+SUMPRODUCT(AI21:AI40,AG21:AG40)+SUMPRODUCT(AH42:AH44,(AJ42:AJ44+AK42:AK44),AG42:AG44)+SUMPRODUCT(AI42:AI44,AG42:AG44))/60,0)</f>
        <v>37</v>
      </c>
      <c r="AN10" s="579"/>
      <c r="AO10" s="580" t="s">
        <v>217</v>
      </c>
      <c r="AR10" s="576">
        <f>E14</f>
        <v>14</v>
      </c>
      <c r="AS10" s="577" t="s">
        <v>218</v>
      </c>
      <c r="AU10" s="575" t="str">
        <f>E15</f>
        <v/>
      </c>
      <c r="AW10" s="577" t="s">
        <v>219</v>
      </c>
      <c r="AZ10" s="578">
        <f>ROUNDUP((SUMPRODUCT(AW16:AW19,(AY16:AY19+AZ16:AZ19),AV16:AV19)+SUMPRODUCT(AX16:AX19,AV16:AV19)+SUMPRODUCT(AW21:AW40,(AY21:AY40+AZ21:AZ40),AV21:AV40)+SUMPRODUCT(AX21:AX40,AV21:AV40)+SUMPRODUCT(AW42:AW44,(AY42:AY44+AZ42:AZ44),AV42:AV44)+SUMPRODUCT(AX42:AX44,AV42:AV44))/60,0)</f>
        <v>4</v>
      </c>
      <c r="BC10" s="579"/>
      <c r="BD10" s="580" t="s">
        <v>217</v>
      </c>
      <c r="BG10" s="576">
        <f>F14</f>
        <v>50</v>
      </c>
      <c r="BH10" s="577" t="s">
        <v>218</v>
      </c>
      <c r="BJ10" s="575">
        <f>F15</f>
        <v>6</v>
      </c>
      <c r="BL10" s="577" t="s">
        <v>219</v>
      </c>
      <c r="BO10" s="578">
        <f>ROUNDUP((SUMPRODUCT(BL16:BL19,(BN16:BN19+BO16:BO19),BK16:BK19)+SUMPRODUCT(BM16:BM19,BK16:BK19)+SUMPRODUCT(BL21:BL40,(BN21:BN40+BO21:BO40),BK21:BK40)+SUMPRODUCT(BM21:BM40,BK21:BK40)+SUMPRODUCT(BL42:BL44,(BN42:BN44+BO42:BO44),BK42:BK44)+SUMPRODUCT(BM42:BM44,BK42:BK44))/60,0)</f>
        <v>34</v>
      </c>
      <c r="BR10" s="579"/>
      <c r="BS10" s="580" t="s">
        <v>217</v>
      </c>
      <c r="BV10" s="576">
        <f>G14</f>
        <v>84</v>
      </c>
      <c r="BW10" s="577" t="s">
        <v>218</v>
      </c>
      <c r="BY10" s="575">
        <f>G15</f>
        <v>35</v>
      </c>
      <c r="CA10" s="577" t="s">
        <v>219</v>
      </c>
      <c r="CD10" s="578">
        <f>ROUNDUP((SUMPRODUCT(CA16:CA19,(CC16:CC19+CD16:CD19),BZ16:BZ19)+SUMPRODUCT(CB16:CB19,BZ16:BZ19)+SUMPRODUCT(CA21:CA40,(CC21:CC40+CD21:CD40),BZ21:BZ40)+SUMPRODUCT(CB21:CB40,BZ21:BZ40)+SUMPRODUCT(CA42:CA44,(CC42:CC44+CD42:CD44),BZ42:BZ44)+SUMPRODUCT(CB42:CB44,BZ42:BZ44))/60,0)</f>
        <v>39</v>
      </c>
      <c r="CG10" s="579"/>
      <c r="CH10" s="580" t="s">
        <v>217</v>
      </c>
      <c r="CK10" s="576">
        <f>H14</f>
        <v>14</v>
      </c>
      <c r="CL10" s="577" t="s">
        <v>218</v>
      </c>
      <c r="CN10" s="575" t="str">
        <f>H15</f>
        <v/>
      </c>
      <c r="CP10" s="577" t="s">
        <v>219</v>
      </c>
      <c r="CS10" s="578">
        <f>ROUNDUP((SUMPRODUCT(CP16:CP19,(CR16:CR19+CS16:CS19),CO16:CO19)+SUMPRODUCT(CQ16:CQ19,CO16:CO19)+SUMPRODUCT(CP21:CP40,(CR21:CR40+CS21:CS40),CO21:CO40)+SUMPRODUCT(CQ21:CQ40,CO21:CO40)+SUMPRODUCT(CP42:CP44,(CR42:CR44+CS42:CS44),CO42:CO44)+SUMPRODUCT(CQ42:CQ44,CO42:CO44))/60,0)</f>
        <v>4</v>
      </c>
      <c r="CV10" s="579"/>
      <c r="CW10" s="580" t="s">
        <v>217</v>
      </c>
      <c r="CZ10" s="576">
        <f>I14</f>
        <v>0</v>
      </c>
      <c r="DA10" s="577" t="s">
        <v>218</v>
      </c>
      <c r="DC10" s="575" t="str">
        <f>I15</f>
        <v/>
      </c>
      <c r="DE10" s="577" t="s">
        <v>219</v>
      </c>
      <c r="DH10" s="578">
        <f>ROUNDUP((SUMPRODUCT(DE16:DE19,(DG16:DG19+DH16:DH19),DD16:DD19)+SUMPRODUCT(DF16:DF19,DD16:DD19)+SUMPRODUCT(DE21:DE40,(DG21:DG40+DH21:DH40),DD21:DD40)+SUMPRODUCT(DF21:DF40,DD21:DD40)+SUMPRODUCT(DE42:DE44,(DG42:DG44+DH42:DH44),DD42:DD44)+SUMPRODUCT(DF42:DF44,DD42:DD44))/60,0)</f>
        <v>0</v>
      </c>
      <c r="DK10" s="579"/>
    </row>
    <row r="11" ht="14.25" customHeight="1">
      <c r="A11" s="492" t="str">
        <f>"S "&amp;$AD2&amp;" - "&amp;TEXT(C12,"dd/mm")</f>
        <v>S 1 - 12/01</v>
      </c>
      <c r="B11" s="498"/>
      <c r="C11" s="498"/>
      <c r="D11" s="498"/>
      <c r="E11" s="498"/>
      <c r="F11" s="498"/>
      <c r="G11" s="498"/>
      <c r="H11" s="498"/>
      <c r="I11" s="498"/>
      <c r="J11" s="505"/>
      <c r="K11" s="581"/>
      <c r="L11" s="582"/>
      <c r="M11" s="582"/>
      <c r="N11" s="582"/>
      <c r="O11" s="582"/>
      <c r="P11" s="582" t="str">
        <f>IF($R$156="","Atualizar Macrociclo","Orientações Gerais")</f>
        <v>Orientações Gerais</v>
      </c>
      <c r="Q11" s="581"/>
      <c r="R11" s="582"/>
      <c r="S11" s="582"/>
      <c r="T11" s="582"/>
      <c r="U11" s="582"/>
      <c r="V11" s="582"/>
      <c r="W11" s="582"/>
      <c r="X11" s="582"/>
      <c r="Y11" s="579"/>
      <c r="Z11" s="581"/>
      <c r="AA11" s="582"/>
      <c r="AB11" s="582"/>
      <c r="AC11" s="582"/>
      <c r="AD11" s="582"/>
      <c r="AE11" s="582" t="str">
        <f>IF($R$156="","Atualizar Macrociclo","Orientações Gerais")</f>
        <v>Orientações Gerais</v>
      </c>
      <c r="AF11" s="581"/>
      <c r="AG11" s="582"/>
      <c r="AH11" s="582"/>
      <c r="AI11" s="582"/>
      <c r="AJ11" s="582"/>
      <c r="AK11" s="582"/>
      <c r="AL11" s="582"/>
      <c r="AM11" s="582"/>
      <c r="AN11" s="579"/>
      <c r="AO11" s="581"/>
      <c r="AP11" s="582"/>
      <c r="AQ11" s="582"/>
      <c r="AR11" s="582"/>
      <c r="AS11" s="582"/>
      <c r="AT11" s="582" t="str">
        <f>IF($R$156="","Atualizar Macrociclo","Orientações Gerais")</f>
        <v>Orientações Gerais</v>
      </c>
      <c r="AU11" s="581"/>
      <c r="AV11" s="582"/>
      <c r="AW11" s="582"/>
      <c r="AX11" s="582"/>
      <c r="AY11" s="582"/>
      <c r="AZ11" s="582"/>
      <c r="BA11" s="582"/>
      <c r="BB11" s="582"/>
      <c r="BC11" s="583"/>
      <c r="BD11" s="581"/>
      <c r="BE11" s="582"/>
      <c r="BF11" s="582"/>
      <c r="BG11" s="582"/>
      <c r="BH11" s="582"/>
      <c r="BI11" s="582" t="str">
        <f>IF($R$156="","Atualizar Macrociclo","Orientações Gerais")</f>
        <v>Orientações Gerais</v>
      </c>
      <c r="BJ11" s="581"/>
      <c r="BK11" s="582"/>
      <c r="BL11" s="582"/>
      <c r="BM11" s="582"/>
      <c r="BN11" s="582"/>
      <c r="BO11" s="582"/>
      <c r="BP11" s="582"/>
      <c r="BQ11" s="582"/>
      <c r="BR11" s="583"/>
      <c r="BS11" s="581"/>
      <c r="BT11" s="582"/>
      <c r="BU11" s="582"/>
      <c r="BV11" s="582"/>
      <c r="BW11" s="582"/>
      <c r="BX11" s="582" t="str">
        <f>IF($R$156="","Atualizar Macrociclo","Orientações Gerais")</f>
        <v>Orientações Gerais</v>
      </c>
      <c r="BY11" s="581"/>
      <c r="BZ11" s="582"/>
      <c r="CA11" s="582"/>
      <c r="CB11" s="582"/>
      <c r="CC11" s="582"/>
      <c r="CD11" s="582"/>
      <c r="CE11" s="582"/>
      <c r="CF11" s="582"/>
      <c r="CG11" s="583"/>
      <c r="CH11" s="581"/>
      <c r="CI11" s="582"/>
      <c r="CJ11" s="582"/>
      <c r="CK11" s="582"/>
      <c r="CL11" s="582"/>
      <c r="CM11" s="582" t="str">
        <f>IF($R$156="","Atualizar Macrociclo","Orientações Gerais")</f>
        <v>Orientações Gerais</v>
      </c>
      <c r="CN11" s="581"/>
      <c r="CO11" s="582"/>
      <c r="CP11" s="582"/>
      <c r="CQ11" s="582"/>
      <c r="CR11" s="582"/>
      <c r="CS11" s="582"/>
      <c r="CT11" s="582"/>
      <c r="CU11" s="582"/>
      <c r="CV11" s="583"/>
      <c r="CW11" s="581"/>
      <c r="CX11" s="582"/>
      <c r="CY11" s="582"/>
      <c r="CZ11" s="582"/>
      <c r="DA11" s="582"/>
      <c r="DB11" s="582" t="str">
        <f>IF($R$156="","Atualizar Macrociclo","Orientações Gerais")</f>
        <v>Orientações Gerais</v>
      </c>
      <c r="DC11" s="581"/>
      <c r="DD11" s="582"/>
      <c r="DE11" s="582"/>
      <c r="DF11" s="582"/>
      <c r="DG11" s="582"/>
      <c r="DH11" s="582"/>
      <c r="DI11" s="582"/>
      <c r="DJ11" s="582"/>
      <c r="DK11" s="579"/>
    </row>
    <row r="12" ht="14.25" customHeight="1">
      <c r="A12" s="492" t="str">
        <f>"S "&amp;$AD2&amp;" - "&amp;TEXT(C12,"dd/mm")</f>
        <v>S 1 - 12/01</v>
      </c>
      <c r="B12" s="537"/>
      <c r="C12" s="584">
        <f>HLOOKUP(F2,'Periodização Macrociclo'!$E$5:$BN$6,2,FALSE)</f>
        <v>46034</v>
      </c>
      <c r="D12" s="584">
        <f t="shared" ref="D12:I12" si="5">C12+1</f>
        <v>46035</v>
      </c>
      <c r="E12" s="584">
        <f t="shared" si="5"/>
        <v>46036</v>
      </c>
      <c r="F12" s="584">
        <f t="shared" si="5"/>
        <v>46037</v>
      </c>
      <c r="G12" s="584">
        <f t="shared" si="5"/>
        <v>46038</v>
      </c>
      <c r="H12" s="584">
        <f t="shared" si="5"/>
        <v>46039</v>
      </c>
      <c r="I12" s="585">
        <f t="shared" si="5"/>
        <v>46040</v>
      </c>
      <c r="J12" s="505"/>
      <c r="K12" s="586"/>
      <c r="Y12" s="587"/>
      <c r="Z12" s="586"/>
      <c r="AN12" s="587"/>
      <c r="AO12" s="586"/>
      <c r="BC12" s="587"/>
      <c r="BD12" s="586"/>
      <c r="BR12" s="587"/>
      <c r="BS12" s="586"/>
      <c r="CG12" s="587"/>
      <c r="CH12" s="586"/>
      <c r="CV12" s="587"/>
      <c r="CW12" s="586"/>
      <c r="DK12" s="588"/>
    </row>
    <row r="13" ht="14.25" customHeight="1">
      <c r="A13" s="492" t="str">
        <f>"S "&amp;$AD2&amp;" - "&amp;TEXT(C12,"dd/mm")</f>
        <v>S 1 - 12/01</v>
      </c>
      <c r="B13" s="537"/>
      <c r="C13" s="589" t="s">
        <v>220</v>
      </c>
      <c r="D13" s="589" t="s">
        <v>221</v>
      </c>
      <c r="E13" s="589" t="s">
        <v>222</v>
      </c>
      <c r="F13" s="589" t="s">
        <v>223</v>
      </c>
      <c r="G13" s="589" t="s">
        <v>224</v>
      </c>
      <c r="H13" s="589" t="s">
        <v>214</v>
      </c>
      <c r="I13" s="590" t="s">
        <v>215</v>
      </c>
      <c r="J13" s="505"/>
      <c r="K13" s="591"/>
      <c r="Y13" s="587"/>
      <c r="Z13" s="591"/>
      <c r="AN13" s="587"/>
      <c r="AO13" s="591"/>
      <c r="BC13" s="587"/>
      <c r="BD13" s="591"/>
      <c r="BR13" s="587"/>
      <c r="BS13" s="591"/>
      <c r="CG13" s="587"/>
      <c r="CH13" s="591"/>
      <c r="CV13" s="587"/>
      <c r="CW13" s="591"/>
      <c r="DK13" s="588"/>
    </row>
    <row r="14" ht="14.25" customHeight="1">
      <c r="A14" s="492" t="str">
        <f>"S "&amp;$AD2&amp;" - "&amp;TEXT(C12,"dd/mm")</f>
        <v>S 1 - 12/01</v>
      </c>
      <c r="B14" s="592" t="s">
        <v>217</v>
      </c>
      <c r="C14" s="541">
        <f>V10+C15+IF(V10+C15&gt;0,+10,0)</f>
        <v>74</v>
      </c>
      <c r="D14" s="541">
        <f>AK10+D15+IF(AK10+D15&gt;0,+10,0)</f>
        <v>52</v>
      </c>
      <c r="E14" s="541">
        <f>AZ10+E15+IF(AZ10+E15&gt;0,+10,0)</f>
        <v>14</v>
      </c>
      <c r="F14" s="541">
        <f>BO10+F15+IF(BO10+F15&gt;0,+10,0)</f>
        <v>50</v>
      </c>
      <c r="G14" s="541">
        <f>CD10+G15+IF(CD10+G15&gt;0,+10,0)</f>
        <v>84</v>
      </c>
      <c r="H14" s="541">
        <f>CS10+H15+IF(CS10+H15&gt;0,+10,0)</f>
        <v>14</v>
      </c>
      <c r="I14" s="593">
        <f>DH10+I15+IF(DH10+I15&gt;0,+10,0)</f>
        <v>0</v>
      </c>
      <c r="J14" s="505"/>
      <c r="K14" s="594" t="s">
        <v>225</v>
      </c>
      <c r="L14" s="595" t="s">
        <v>31</v>
      </c>
      <c r="Q14" s="596" t="s">
        <v>32</v>
      </c>
      <c r="R14" s="597" t="s">
        <v>226</v>
      </c>
      <c r="S14" s="597" t="s">
        <v>227</v>
      </c>
      <c r="T14" s="597" t="s">
        <v>35</v>
      </c>
      <c r="U14" s="597" t="s">
        <v>36</v>
      </c>
      <c r="V14" s="598" t="s">
        <v>37</v>
      </c>
      <c r="W14" s="598" t="s">
        <v>228</v>
      </c>
      <c r="X14" s="598" t="s">
        <v>229</v>
      </c>
      <c r="Y14" s="588"/>
      <c r="Z14" s="594" t="s">
        <v>225</v>
      </c>
      <c r="AA14" s="595" t="s">
        <v>31</v>
      </c>
      <c r="AF14" s="596" t="s">
        <v>32</v>
      </c>
      <c r="AG14" s="597" t="s">
        <v>226</v>
      </c>
      <c r="AH14" s="597" t="s">
        <v>227</v>
      </c>
      <c r="AI14" s="597" t="s">
        <v>35</v>
      </c>
      <c r="AJ14" s="597" t="s">
        <v>36</v>
      </c>
      <c r="AK14" s="598" t="s">
        <v>37</v>
      </c>
      <c r="AL14" s="598" t="s">
        <v>228</v>
      </c>
      <c r="AM14" s="598" t="s">
        <v>229</v>
      </c>
      <c r="AN14" s="588"/>
      <c r="AO14" s="594" t="s">
        <v>225</v>
      </c>
      <c r="AP14" s="595" t="s">
        <v>31</v>
      </c>
      <c r="AU14" s="596" t="s">
        <v>32</v>
      </c>
      <c r="AV14" s="597" t="s">
        <v>226</v>
      </c>
      <c r="AW14" s="597" t="s">
        <v>227</v>
      </c>
      <c r="AX14" s="597" t="s">
        <v>35</v>
      </c>
      <c r="AY14" s="597" t="s">
        <v>36</v>
      </c>
      <c r="AZ14" s="598" t="s">
        <v>37</v>
      </c>
      <c r="BA14" s="598" t="s">
        <v>228</v>
      </c>
      <c r="BB14" s="598" t="s">
        <v>229</v>
      </c>
      <c r="BC14" s="588"/>
      <c r="BD14" s="594" t="s">
        <v>225</v>
      </c>
      <c r="BE14" s="595" t="s">
        <v>31</v>
      </c>
      <c r="BJ14" s="596" t="s">
        <v>32</v>
      </c>
      <c r="BK14" s="597" t="s">
        <v>226</v>
      </c>
      <c r="BL14" s="597" t="s">
        <v>227</v>
      </c>
      <c r="BM14" s="597" t="s">
        <v>35</v>
      </c>
      <c r="BN14" s="597" t="s">
        <v>36</v>
      </c>
      <c r="BO14" s="598" t="s">
        <v>37</v>
      </c>
      <c r="BP14" s="598" t="s">
        <v>228</v>
      </c>
      <c r="BQ14" s="598" t="s">
        <v>229</v>
      </c>
      <c r="BR14" s="588"/>
      <c r="BS14" s="594" t="s">
        <v>225</v>
      </c>
      <c r="BT14" s="595" t="s">
        <v>31</v>
      </c>
      <c r="BY14" s="596" t="s">
        <v>32</v>
      </c>
      <c r="BZ14" s="597" t="s">
        <v>226</v>
      </c>
      <c r="CA14" s="597" t="s">
        <v>227</v>
      </c>
      <c r="CB14" s="597" t="s">
        <v>35</v>
      </c>
      <c r="CC14" s="597" t="s">
        <v>36</v>
      </c>
      <c r="CD14" s="598" t="s">
        <v>37</v>
      </c>
      <c r="CE14" s="598" t="s">
        <v>228</v>
      </c>
      <c r="CF14" s="598" t="s">
        <v>229</v>
      </c>
      <c r="CG14" s="588"/>
      <c r="CH14" s="594" t="s">
        <v>225</v>
      </c>
      <c r="CI14" s="595" t="s">
        <v>31</v>
      </c>
      <c r="CN14" s="596" t="s">
        <v>32</v>
      </c>
      <c r="CO14" s="597" t="s">
        <v>226</v>
      </c>
      <c r="CP14" s="597" t="s">
        <v>227</v>
      </c>
      <c r="CQ14" s="597" t="s">
        <v>35</v>
      </c>
      <c r="CR14" s="597" t="s">
        <v>36</v>
      </c>
      <c r="CS14" s="598" t="s">
        <v>37</v>
      </c>
      <c r="CT14" s="598" t="s">
        <v>228</v>
      </c>
      <c r="CU14" s="598" t="s">
        <v>229</v>
      </c>
      <c r="CV14" s="588"/>
      <c r="CW14" s="594" t="s">
        <v>225</v>
      </c>
      <c r="CX14" s="595" t="s">
        <v>31</v>
      </c>
      <c r="DC14" s="596" t="s">
        <v>32</v>
      </c>
      <c r="DD14" s="597" t="s">
        <v>226</v>
      </c>
      <c r="DE14" s="597" t="s">
        <v>227</v>
      </c>
      <c r="DF14" s="597" t="s">
        <v>35</v>
      </c>
      <c r="DG14" s="597" t="s">
        <v>36</v>
      </c>
      <c r="DH14" s="598" t="s">
        <v>37</v>
      </c>
      <c r="DI14" s="598" t="s">
        <v>228</v>
      </c>
      <c r="DJ14" s="598" t="s">
        <v>229</v>
      </c>
      <c r="DK14" s="588"/>
    </row>
    <row r="15" ht="14.25" customHeight="1">
      <c r="A15" s="492" t="str">
        <f>"S "&amp;$AD2&amp;" - "&amp;TEXT(C12,"dd/mm")</f>
        <v>S 1 - 12/01</v>
      </c>
      <c r="B15" s="592" t="s">
        <v>230</v>
      </c>
      <c r="C15" s="599">
        <v>25.0</v>
      </c>
      <c r="D15" s="600">
        <v>5.0</v>
      </c>
      <c r="E15" s="600"/>
      <c r="F15" s="600">
        <v>6.0</v>
      </c>
      <c r="G15" s="599">
        <v>35.0</v>
      </c>
      <c r="H15" s="601"/>
      <c r="I15" s="602"/>
      <c r="J15" s="505"/>
      <c r="K15" s="581"/>
      <c r="L15" s="603"/>
      <c r="M15" s="603"/>
      <c r="N15" s="603"/>
      <c r="O15" s="603"/>
      <c r="P15" s="603" t="s">
        <v>29</v>
      </c>
      <c r="Q15" s="581"/>
      <c r="R15" s="603"/>
      <c r="S15" s="603"/>
      <c r="T15" s="603"/>
      <c r="U15" s="603"/>
      <c r="V15" s="603"/>
      <c r="W15" s="603"/>
      <c r="X15" s="603"/>
      <c r="Y15" s="604"/>
      <c r="Z15" s="581"/>
      <c r="AA15" s="603"/>
      <c r="AB15" s="603"/>
      <c r="AC15" s="603"/>
      <c r="AD15" s="603"/>
      <c r="AE15" s="603" t="s">
        <v>29</v>
      </c>
      <c r="AF15" s="581"/>
      <c r="AG15" s="603"/>
      <c r="AH15" s="603"/>
      <c r="AI15" s="603"/>
      <c r="AJ15" s="603"/>
      <c r="AK15" s="603"/>
      <c r="AL15" s="603"/>
      <c r="AM15" s="603"/>
      <c r="AN15" s="604"/>
      <c r="AO15" s="581"/>
      <c r="AP15" s="603"/>
      <c r="AQ15" s="603"/>
      <c r="AR15" s="603"/>
      <c r="AS15" s="603"/>
      <c r="AT15" s="603" t="s">
        <v>29</v>
      </c>
      <c r="AU15" s="581"/>
      <c r="AV15" s="603"/>
      <c r="AW15" s="603"/>
      <c r="AX15" s="603"/>
      <c r="AY15" s="603"/>
      <c r="AZ15" s="603"/>
      <c r="BA15" s="603"/>
      <c r="BB15" s="603"/>
      <c r="BC15" s="605"/>
      <c r="BD15" s="581"/>
      <c r="BE15" s="603"/>
      <c r="BF15" s="603"/>
      <c r="BG15" s="603"/>
      <c r="BH15" s="603"/>
      <c r="BI15" s="603" t="s">
        <v>29</v>
      </c>
      <c r="BJ15" s="581"/>
      <c r="BK15" s="603"/>
      <c r="BL15" s="603"/>
      <c r="BM15" s="603"/>
      <c r="BN15" s="603"/>
      <c r="BO15" s="603"/>
      <c r="BP15" s="603"/>
      <c r="BQ15" s="603"/>
      <c r="BR15" s="605"/>
      <c r="BS15" s="581"/>
      <c r="BT15" s="603"/>
      <c r="BU15" s="603"/>
      <c r="BV15" s="603"/>
      <c r="BW15" s="603"/>
      <c r="BX15" s="603" t="s">
        <v>29</v>
      </c>
      <c r="BY15" s="581"/>
      <c r="BZ15" s="603"/>
      <c r="CA15" s="603"/>
      <c r="CB15" s="603"/>
      <c r="CC15" s="603"/>
      <c r="CD15" s="603"/>
      <c r="CE15" s="603"/>
      <c r="CF15" s="603"/>
      <c r="CG15" s="605"/>
      <c r="CH15" s="581"/>
      <c r="CI15" s="603"/>
      <c r="CJ15" s="603"/>
      <c r="CK15" s="603"/>
      <c r="CL15" s="603"/>
      <c r="CM15" s="603" t="s">
        <v>29</v>
      </c>
      <c r="CN15" s="581"/>
      <c r="CO15" s="603"/>
      <c r="CP15" s="603"/>
      <c r="CQ15" s="603"/>
      <c r="CR15" s="603"/>
      <c r="CS15" s="603"/>
      <c r="CT15" s="603"/>
      <c r="CU15" s="603"/>
      <c r="CV15" s="605"/>
      <c r="CW15" s="581"/>
      <c r="CX15" s="603"/>
      <c r="CY15" s="603"/>
      <c r="CZ15" s="603"/>
      <c r="DA15" s="603"/>
      <c r="DB15" s="603" t="s">
        <v>29</v>
      </c>
      <c r="DC15" s="581"/>
      <c r="DD15" s="603"/>
      <c r="DE15" s="603"/>
      <c r="DF15" s="603"/>
      <c r="DG15" s="603"/>
      <c r="DH15" s="603"/>
      <c r="DI15" s="603"/>
      <c r="DJ15" s="603"/>
      <c r="DK15" s="604"/>
    </row>
    <row r="16" ht="14.25" customHeight="1">
      <c r="A16" s="492" t="str">
        <f>"S "&amp;$AD2&amp;" - "&amp;TEXT(C12,"dd/mm")</f>
        <v>S 1 - 12/01</v>
      </c>
      <c r="B16" s="592" t="s">
        <v>231</v>
      </c>
      <c r="C16" s="599" t="s">
        <v>232</v>
      </c>
      <c r="D16" s="600" t="s">
        <v>233</v>
      </c>
      <c r="E16" s="600"/>
      <c r="F16" s="600" t="s">
        <v>234</v>
      </c>
      <c r="G16" s="599" t="s">
        <v>232</v>
      </c>
      <c r="H16" s="606" t="s">
        <v>235</v>
      </c>
      <c r="I16" s="607"/>
      <c r="J16" s="505"/>
      <c r="K16" s="608">
        <v>1.0</v>
      </c>
      <c r="L16" s="609" t="s">
        <v>236</v>
      </c>
      <c r="Q16" s="610" t="s">
        <v>237</v>
      </c>
      <c r="R16" s="611">
        <v>2.0</v>
      </c>
      <c r="S16" s="611">
        <v>10.0</v>
      </c>
      <c r="T16" s="611">
        <v>10.0</v>
      </c>
      <c r="U16" s="612">
        <v>1.0</v>
      </c>
      <c r="V16" s="612">
        <v>1.0</v>
      </c>
      <c r="W16" s="613">
        <f>IF(L16="","",OFFSET(Biblioteca!$G$2,MATCH(L16,Biblioteca!$A$3:$A$200,0),)*(1.05^(10-S16)))</f>
        <v>0</v>
      </c>
      <c r="X16" s="614"/>
      <c r="Y16" s="615"/>
      <c r="Z16" s="612">
        <v>1.0</v>
      </c>
      <c r="AA16" s="609" t="s">
        <v>238</v>
      </c>
      <c r="AF16" s="610" t="s">
        <v>237</v>
      </c>
      <c r="AG16" s="611">
        <v>2.0</v>
      </c>
      <c r="AH16" s="611">
        <v>10.0</v>
      </c>
      <c r="AI16" s="611">
        <v>10.0</v>
      </c>
      <c r="AJ16" s="612">
        <v>1.0</v>
      </c>
      <c r="AK16" s="612">
        <v>1.0</v>
      </c>
      <c r="AL16" s="613">
        <f>IF(AA16="","",OFFSET(Biblioteca!$G$2,MATCH(AA16,Biblioteca!$A$3:$A$200,0),)*(1.05^(10-AH16)))</f>
        <v>0</v>
      </c>
      <c r="AM16" s="614"/>
      <c r="AN16" s="615"/>
      <c r="AO16" s="612">
        <v>1.0</v>
      </c>
      <c r="AP16" s="609" t="s">
        <v>239</v>
      </c>
      <c r="AU16" s="610" t="s">
        <v>237</v>
      </c>
      <c r="AV16" s="611">
        <v>2.0</v>
      </c>
      <c r="AW16" s="611">
        <v>10.0</v>
      </c>
      <c r="AX16" s="611">
        <v>10.0</v>
      </c>
      <c r="AY16" s="611">
        <v>1.0</v>
      </c>
      <c r="AZ16" s="611">
        <v>1.0</v>
      </c>
      <c r="BA16" s="613">
        <f>IF(AP16="","",OFFSET(Biblioteca!$G$2,MATCH(AP16,Biblioteca!$A$3:$A$200,0),)*(1.05^(10-AW16)))</f>
        <v>0</v>
      </c>
      <c r="BB16" s="614"/>
      <c r="BC16" s="615"/>
      <c r="BD16" s="612">
        <v>1.0</v>
      </c>
      <c r="BE16" s="609" t="s">
        <v>240</v>
      </c>
      <c r="BJ16" s="610" t="s">
        <v>237</v>
      </c>
      <c r="BK16" s="611">
        <v>2.0</v>
      </c>
      <c r="BL16" s="611">
        <v>10.0</v>
      </c>
      <c r="BM16" s="611">
        <v>10.0</v>
      </c>
      <c r="BN16" s="616">
        <v>1.0</v>
      </c>
      <c r="BO16" s="616">
        <v>1.0</v>
      </c>
      <c r="BP16" s="613">
        <f>IF(BE16="","",OFFSET(Biblioteca!$G$2,MATCH(BE16,Biblioteca!$A$3:$A$200,0),)*(1.05^(10-BL16)))</f>
        <v>0</v>
      </c>
      <c r="BQ16" s="614"/>
      <c r="BR16" s="615"/>
      <c r="BS16" s="612">
        <v>1.0</v>
      </c>
      <c r="BT16" s="609" t="s">
        <v>241</v>
      </c>
      <c r="BY16" s="610" t="s">
        <v>237</v>
      </c>
      <c r="BZ16" s="611">
        <v>2.0</v>
      </c>
      <c r="CA16" s="611">
        <v>10.0</v>
      </c>
      <c r="CB16" s="611">
        <v>10.0</v>
      </c>
      <c r="CC16" s="612">
        <v>1.0</v>
      </c>
      <c r="CD16" s="612">
        <v>1.0</v>
      </c>
      <c r="CE16" s="617">
        <f>IF(BT16="","",OFFSET(Biblioteca!$G$2,MATCH(BT16,Biblioteca!$A$3:$A$200,0),)*(1.05^(10-CA16)))</f>
        <v>0</v>
      </c>
      <c r="CF16" s="618"/>
      <c r="CG16" s="579"/>
      <c r="CH16" s="608">
        <v>1.0</v>
      </c>
      <c r="CI16" s="609" t="s">
        <v>242</v>
      </c>
      <c r="CN16" s="610" t="s">
        <v>237</v>
      </c>
      <c r="CO16" s="611">
        <v>2.0</v>
      </c>
      <c r="CP16" s="611">
        <v>10.0</v>
      </c>
      <c r="CQ16" s="611">
        <v>10.0</v>
      </c>
      <c r="CR16" s="611">
        <v>0.0</v>
      </c>
      <c r="CS16" s="611">
        <v>1.0</v>
      </c>
      <c r="CT16" s="617">
        <f>IF(CI16="","",OFFSET(Biblioteca!$G$2,MATCH(CI16,Biblioteca!$A$3:$A$200,0),)*(1.05^(10-CP16)))</f>
        <v>0</v>
      </c>
      <c r="CU16" s="618"/>
      <c r="CV16" s="579"/>
      <c r="CW16" s="608">
        <v>1.0</v>
      </c>
      <c r="CX16" s="619"/>
      <c r="DC16" s="620"/>
      <c r="DD16" s="618"/>
      <c r="DE16" s="618"/>
      <c r="DF16" s="618"/>
      <c r="DG16" s="618"/>
      <c r="DH16" s="618"/>
      <c r="DI16" s="617" t="str">
        <f>IF(CX16="","",OFFSET(Biblioteca!$G$2,MATCH(CX16,Biblioteca!$A$3:$A$200,0),)*(1.05^(10-DE16)))</f>
        <v/>
      </c>
      <c r="DJ16" s="618"/>
      <c r="DK16" s="579"/>
    </row>
    <row r="17" ht="14.25" customHeight="1">
      <c r="A17" s="492" t="str">
        <f>"S "&amp;$AD2&amp;" - "&amp;TEXT(C12,"dd/mm")</f>
        <v>S 1 - 12/01</v>
      </c>
      <c r="B17" s="592" t="s">
        <v>15</v>
      </c>
      <c r="C17" s="599" t="s">
        <v>243</v>
      </c>
      <c r="D17" s="600" t="s">
        <v>244</v>
      </c>
      <c r="E17" s="600"/>
      <c r="F17" s="600" t="s">
        <v>244</v>
      </c>
      <c r="G17" s="599" t="s">
        <v>243</v>
      </c>
      <c r="H17" s="601"/>
      <c r="I17" s="600"/>
      <c r="J17" s="505"/>
      <c r="K17" s="608">
        <f t="shared" ref="K17:K19" si="6">IF(T16="",K16,K16+1)</f>
        <v>2</v>
      </c>
      <c r="L17" s="609" t="s">
        <v>241</v>
      </c>
      <c r="Q17" s="610" t="s">
        <v>237</v>
      </c>
      <c r="R17" s="611">
        <v>2.0</v>
      </c>
      <c r="S17" s="611">
        <v>10.0</v>
      </c>
      <c r="T17" s="611">
        <v>10.0</v>
      </c>
      <c r="U17" s="612">
        <v>1.0</v>
      </c>
      <c r="V17" s="612">
        <v>1.0</v>
      </c>
      <c r="W17" s="613">
        <f>IF(L17="","",OFFSET(Biblioteca!$G$2,MATCH(L17,Biblioteca!$A$3:$A$200,0),)*(1.05^(10-S17)))</f>
        <v>0</v>
      </c>
      <c r="X17" s="614"/>
      <c r="Y17" s="615"/>
      <c r="Z17" s="612">
        <f t="shared" ref="Z17:Z19" si="7">IF(AI16="",Z16,Z16+1)</f>
        <v>2</v>
      </c>
      <c r="AA17" s="609" t="s">
        <v>245</v>
      </c>
      <c r="AF17" s="610" t="s">
        <v>237</v>
      </c>
      <c r="AG17" s="611">
        <v>2.0</v>
      </c>
      <c r="AH17" s="611">
        <v>10.0</v>
      </c>
      <c r="AI17" s="611">
        <v>10.0</v>
      </c>
      <c r="AJ17" s="612">
        <v>1.0</v>
      </c>
      <c r="AK17" s="612">
        <v>1.0</v>
      </c>
      <c r="AL17" s="613">
        <f>IF(AA17="","",OFFSET(Biblioteca!$G$2,MATCH(AA17,Biblioteca!$A$3:$A$200,0),)*(1.05^(10-AH17)))</f>
        <v>0</v>
      </c>
      <c r="AM17" s="614"/>
      <c r="AN17" s="615"/>
      <c r="AO17" s="612">
        <f t="shared" ref="AO17:AO19" si="8">IF(AX16="",AO16,AO16+1)</f>
        <v>2</v>
      </c>
      <c r="AP17" s="609" t="s">
        <v>242</v>
      </c>
      <c r="AU17" s="610" t="s">
        <v>237</v>
      </c>
      <c r="AV17" s="611">
        <v>2.0</v>
      </c>
      <c r="AW17" s="611">
        <v>10.0</v>
      </c>
      <c r="AX17" s="611">
        <v>10.0</v>
      </c>
      <c r="AY17" s="611">
        <v>1.0</v>
      </c>
      <c r="AZ17" s="611">
        <v>1.0</v>
      </c>
      <c r="BA17" s="613">
        <f>IF(AP17="","",OFFSET(Biblioteca!$G$2,MATCH(AP17,Biblioteca!$A$3:$A$200,0),)*(1.05^(10-AW17)))</f>
        <v>0</v>
      </c>
      <c r="BB17" s="614"/>
      <c r="BC17" s="615"/>
      <c r="BD17" s="612">
        <f t="shared" ref="BD17:BD19" si="9">IF(BM16="",BD16,BD16+1)</f>
        <v>2</v>
      </c>
      <c r="BE17" s="609" t="s">
        <v>246</v>
      </c>
      <c r="BJ17" s="610" t="s">
        <v>237</v>
      </c>
      <c r="BK17" s="611">
        <v>2.0</v>
      </c>
      <c r="BL17" s="611">
        <v>10.0</v>
      </c>
      <c r="BM17" s="611">
        <v>10.0</v>
      </c>
      <c r="BN17" s="616">
        <v>1.0</v>
      </c>
      <c r="BO17" s="616">
        <v>1.0</v>
      </c>
      <c r="BP17" s="613">
        <f>IF(BE17="","",OFFSET(Biblioteca!$G$2,MATCH(BE17,Biblioteca!$A$3:$A$200,0),)*(1.05^(10-BL17)))</f>
        <v>0</v>
      </c>
      <c r="BQ17" s="614"/>
      <c r="BR17" s="615"/>
      <c r="BS17" s="612">
        <f t="shared" ref="BS17:BS19" si="10">IF(CB16="",BS16,BS16+1)</f>
        <v>2</v>
      </c>
      <c r="BT17" s="609" t="s">
        <v>247</v>
      </c>
      <c r="BY17" s="610" t="s">
        <v>237</v>
      </c>
      <c r="BZ17" s="611">
        <v>2.0</v>
      </c>
      <c r="CA17" s="611">
        <v>10.0</v>
      </c>
      <c r="CB17" s="611">
        <v>10.0</v>
      </c>
      <c r="CC17" s="612">
        <v>1.0</v>
      </c>
      <c r="CD17" s="612">
        <v>1.0</v>
      </c>
      <c r="CE17" s="617">
        <f>IF(BT17="","",OFFSET(Biblioteca!$G$2,MATCH(BT17,Biblioteca!$A$3:$A$200,0),)*(1.05^(10-CA17)))</f>
        <v>0</v>
      </c>
      <c r="CF17" s="618"/>
      <c r="CG17" s="579"/>
      <c r="CH17" s="608">
        <f t="shared" ref="CH17:CH19" si="11">IF(CQ16="",CH16,CH16+1)</f>
        <v>2</v>
      </c>
      <c r="CI17" s="609" t="s">
        <v>236</v>
      </c>
      <c r="CN17" s="610" t="s">
        <v>237</v>
      </c>
      <c r="CO17" s="611">
        <v>2.0</v>
      </c>
      <c r="CP17" s="611">
        <v>10.0</v>
      </c>
      <c r="CQ17" s="611">
        <v>10.0</v>
      </c>
      <c r="CR17" s="611">
        <v>0.0</v>
      </c>
      <c r="CS17" s="611">
        <v>1.0</v>
      </c>
      <c r="CT17" s="617">
        <f>IF(CI17="","",OFFSET(Biblioteca!$G$2,MATCH(CI17,Biblioteca!$A$3:$A$200,0),)*(1.05^(10-CP17)))</f>
        <v>0</v>
      </c>
      <c r="CU17" s="618"/>
      <c r="CV17" s="579"/>
      <c r="CW17" s="608">
        <f t="shared" ref="CW17:CW19" si="12">IF(DF16="",CW16,CW16+1)</f>
        <v>1</v>
      </c>
      <c r="CX17" s="619"/>
      <c r="DC17" s="620"/>
      <c r="DD17" s="618"/>
      <c r="DE17" s="618"/>
      <c r="DF17" s="618"/>
      <c r="DG17" s="618"/>
      <c r="DH17" s="618"/>
      <c r="DI17" s="617" t="str">
        <f>IF(CX17="","",OFFSET(Biblioteca!$G$2,MATCH(CX17,Biblioteca!$A$3:$A$200,0),)*(1.05^(10-DE17)))</f>
        <v/>
      </c>
      <c r="DJ17" s="618"/>
      <c r="DK17" s="579"/>
    </row>
    <row r="18" ht="14.25" customHeight="1">
      <c r="A18" s="492" t="str">
        <f>"S "&amp;$AD2&amp;" - "&amp;TEXT(C12,"dd/mm")</f>
        <v>S 1 - 12/01</v>
      </c>
      <c r="B18" s="592" t="s">
        <v>248</v>
      </c>
      <c r="C18" s="621">
        <v>0.5</v>
      </c>
      <c r="D18" s="622"/>
      <c r="E18" s="622"/>
      <c r="F18" s="622"/>
      <c r="G18" s="621">
        <v>0.5</v>
      </c>
      <c r="H18" s="623"/>
      <c r="I18" s="624"/>
      <c r="J18" s="505"/>
      <c r="K18" s="608">
        <f t="shared" si="6"/>
        <v>3</v>
      </c>
      <c r="L18" s="609" t="s">
        <v>247</v>
      </c>
      <c r="Q18" s="610" t="s">
        <v>237</v>
      </c>
      <c r="R18" s="611">
        <v>2.0</v>
      </c>
      <c r="S18" s="611">
        <v>10.0</v>
      </c>
      <c r="T18" s="611">
        <v>10.0</v>
      </c>
      <c r="U18" s="612">
        <v>1.0</v>
      </c>
      <c r="V18" s="612">
        <v>1.0</v>
      </c>
      <c r="W18" s="613">
        <f>IF(L18="","",OFFSET(Biblioteca!$G$2,MATCH(L18,Biblioteca!$A$3:$A$200,0),)*(1.05^(10-S18)))</f>
        <v>0</v>
      </c>
      <c r="X18" s="614"/>
      <c r="Y18" s="615"/>
      <c r="Z18" s="612">
        <f t="shared" si="7"/>
        <v>3</v>
      </c>
      <c r="AA18" s="609" t="s">
        <v>249</v>
      </c>
      <c r="AF18" s="610" t="s">
        <v>237</v>
      </c>
      <c r="AG18" s="611">
        <v>2.0</v>
      </c>
      <c r="AH18" s="611">
        <v>10.0</v>
      </c>
      <c r="AI18" s="611">
        <v>10.0</v>
      </c>
      <c r="AJ18" s="612">
        <v>1.0</v>
      </c>
      <c r="AK18" s="612">
        <v>1.0</v>
      </c>
      <c r="AL18" s="613">
        <f>IF(AA18="","",OFFSET(Biblioteca!$G$2,MATCH(AA18,Biblioteca!$A$3:$A$200,0),)*(1.05^(10-AH18)))</f>
        <v>0</v>
      </c>
      <c r="AM18" s="614"/>
      <c r="AN18" s="615"/>
      <c r="AO18" s="612">
        <f t="shared" si="8"/>
        <v>3</v>
      </c>
      <c r="AP18" s="609" t="s">
        <v>250</v>
      </c>
      <c r="AU18" s="610" t="s">
        <v>237</v>
      </c>
      <c r="AV18" s="611">
        <v>1.0</v>
      </c>
      <c r="AW18" s="611">
        <v>50.0</v>
      </c>
      <c r="AX18" s="625">
        <v>60.0</v>
      </c>
      <c r="AY18" s="611">
        <v>0.0</v>
      </c>
      <c r="AZ18" s="611">
        <v>1.0</v>
      </c>
      <c r="BA18" s="613">
        <f>IF(AP18="","",OFFSET(Biblioteca!$G$2,MATCH(AP18,Biblioteca!$A$3:$A$200,0),)*(1.05^(10-AW18)))</f>
        <v>0</v>
      </c>
      <c r="BB18" s="614"/>
      <c r="BC18" s="615"/>
      <c r="BD18" s="612">
        <f t="shared" si="9"/>
        <v>3</v>
      </c>
      <c r="BE18" s="609" t="s">
        <v>251</v>
      </c>
      <c r="BJ18" s="610" t="s">
        <v>237</v>
      </c>
      <c r="BK18" s="611">
        <v>2.0</v>
      </c>
      <c r="BL18" s="611">
        <v>10.0</v>
      </c>
      <c r="BM18" s="611">
        <v>10.0</v>
      </c>
      <c r="BN18" s="616">
        <v>1.0</v>
      </c>
      <c r="BO18" s="616">
        <v>1.0</v>
      </c>
      <c r="BP18" s="613">
        <f>IF(BE18="","",OFFSET(Biblioteca!$G$2,MATCH(BE18,Biblioteca!$A$3:$A$200,0),)*(1.05^(10-BL18)))</f>
        <v>0</v>
      </c>
      <c r="BQ18" s="614"/>
      <c r="BR18" s="615"/>
      <c r="BS18" s="612">
        <f t="shared" si="10"/>
        <v>3</v>
      </c>
      <c r="BT18" s="609" t="s">
        <v>252</v>
      </c>
      <c r="BY18" s="610" t="s">
        <v>237</v>
      </c>
      <c r="BZ18" s="611">
        <v>2.0</v>
      </c>
      <c r="CA18" s="611">
        <v>10.0</v>
      </c>
      <c r="CB18" s="611">
        <v>10.0</v>
      </c>
      <c r="CC18" s="612">
        <v>1.0</v>
      </c>
      <c r="CD18" s="612">
        <v>1.0</v>
      </c>
      <c r="CE18" s="617">
        <f>IF(BT18="","",OFFSET(Biblioteca!$G$2,MATCH(BT18,Biblioteca!$A$3:$A$200,0),)*(1.05^(10-CA18)))</f>
        <v>0</v>
      </c>
      <c r="CF18" s="618"/>
      <c r="CG18" s="588"/>
      <c r="CH18" s="608">
        <f t="shared" si="11"/>
        <v>3</v>
      </c>
      <c r="CI18" s="609" t="s">
        <v>253</v>
      </c>
      <c r="CN18" s="610" t="s">
        <v>237</v>
      </c>
      <c r="CO18" s="611">
        <v>1.0</v>
      </c>
      <c r="CP18" s="611">
        <v>30.0</v>
      </c>
      <c r="CQ18" s="611">
        <v>30.0</v>
      </c>
      <c r="CR18" s="611">
        <v>0.0</v>
      </c>
      <c r="CS18" s="611">
        <v>1.0</v>
      </c>
      <c r="CT18" s="617">
        <f>IF(CI18="","",OFFSET(Biblioteca!$G$2,MATCH(CI18,Biblioteca!$A$3:$A$200,0),)*(1.05^(10-CP18)))</f>
        <v>0</v>
      </c>
      <c r="CU18" s="618"/>
      <c r="CV18" s="588"/>
      <c r="CW18" s="608">
        <f t="shared" si="12"/>
        <v>1</v>
      </c>
      <c r="CX18" s="619"/>
      <c r="DC18" s="620"/>
      <c r="DD18" s="618"/>
      <c r="DE18" s="618"/>
      <c r="DF18" s="618"/>
      <c r="DG18" s="618"/>
      <c r="DH18" s="618"/>
      <c r="DI18" s="617" t="str">
        <f>IF(CX18="","",OFFSET(Biblioteca!$G$2,MATCH(CX18,Biblioteca!$A$3:$A$200,0),)*(1.05^(10-DE18)))</f>
        <v/>
      </c>
      <c r="DJ18" s="618"/>
      <c r="DK18" s="588"/>
    </row>
    <row r="19" ht="14.25" customHeight="1">
      <c r="A19" s="492" t="str">
        <f>"S "&amp;$AD2&amp;" - "&amp;TEXT(C12,"dd/mm")</f>
        <v>S 1 - 12/01</v>
      </c>
      <c r="B19" s="592" t="s">
        <v>254</v>
      </c>
      <c r="C19" s="621">
        <v>0.6</v>
      </c>
      <c r="D19" s="622">
        <v>1.2</v>
      </c>
      <c r="E19" s="622"/>
      <c r="F19" s="622">
        <v>1.2</v>
      </c>
      <c r="G19" s="621">
        <v>0.6</v>
      </c>
      <c r="H19" s="623"/>
      <c r="I19" s="624"/>
      <c r="J19" s="505"/>
      <c r="K19" s="608">
        <f t="shared" si="6"/>
        <v>4</v>
      </c>
      <c r="L19" s="609" t="s">
        <v>252</v>
      </c>
      <c r="Q19" s="610" t="s">
        <v>237</v>
      </c>
      <c r="R19" s="611">
        <v>2.0</v>
      </c>
      <c r="S19" s="611">
        <v>10.0</v>
      </c>
      <c r="T19" s="611">
        <v>10.0</v>
      </c>
      <c r="U19" s="612">
        <v>1.0</v>
      </c>
      <c r="V19" s="612">
        <v>1.0</v>
      </c>
      <c r="W19" s="613">
        <f>IF(L19="","",OFFSET(Biblioteca!$G$2,MATCH(L19,Biblioteca!$A$3:$A$200,0),)*(1.05^(10-S19)))</f>
        <v>0</v>
      </c>
      <c r="X19" s="614"/>
      <c r="Y19" s="615"/>
      <c r="Z19" s="612">
        <f t="shared" si="7"/>
        <v>4</v>
      </c>
      <c r="AA19" s="609"/>
      <c r="AF19" s="609"/>
      <c r="AG19" s="614"/>
      <c r="AH19" s="614"/>
      <c r="AI19" s="614"/>
      <c r="AJ19" s="614"/>
      <c r="AK19" s="614"/>
      <c r="AL19" s="626" t="str">
        <f>IF(AA19="","",OFFSET(Biblioteca!$G$2,MATCH(AA19,Biblioteca!$A$3:$A$200,0),)*(1.05^(10-AH19)))</f>
        <v/>
      </c>
      <c r="AM19" s="614"/>
      <c r="AN19" s="615"/>
      <c r="AO19" s="612">
        <f t="shared" si="8"/>
        <v>4</v>
      </c>
      <c r="AP19" s="609"/>
      <c r="AU19" s="609"/>
      <c r="AV19" s="614"/>
      <c r="AW19" s="614"/>
      <c r="AX19" s="614"/>
      <c r="AY19" s="614"/>
      <c r="AZ19" s="614"/>
      <c r="BA19" s="626" t="str">
        <f>IF(AP19="","",OFFSET(Biblioteca!$G$2,MATCH(AP19,Biblioteca!$A$3:$A$200,0),)*(1.05^(10-AW19)))</f>
        <v/>
      </c>
      <c r="BB19" s="614"/>
      <c r="BC19" s="615"/>
      <c r="BD19" s="612">
        <f t="shared" si="9"/>
        <v>4</v>
      </c>
      <c r="BE19" s="609"/>
      <c r="BJ19" s="609"/>
      <c r="BK19" s="614"/>
      <c r="BL19" s="614"/>
      <c r="BM19" s="614"/>
      <c r="BN19" s="614"/>
      <c r="BO19" s="614"/>
      <c r="BP19" s="626" t="str">
        <f>IF(BE19="","",OFFSET(Biblioteca!$G$2,MATCH(BE19,Biblioteca!$A$3:$A$200,0),)*(1.05^(10-BL19)))</f>
        <v/>
      </c>
      <c r="BQ19" s="614"/>
      <c r="BR19" s="615"/>
      <c r="BS19" s="612">
        <f t="shared" si="10"/>
        <v>4</v>
      </c>
      <c r="BT19" s="609" t="s">
        <v>246</v>
      </c>
      <c r="BY19" s="610" t="s">
        <v>237</v>
      </c>
      <c r="BZ19" s="611">
        <v>2.0</v>
      </c>
      <c r="CA19" s="611">
        <v>10.0</v>
      </c>
      <c r="CB19" s="611">
        <v>10.0</v>
      </c>
      <c r="CC19" s="612">
        <v>1.0</v>
      </c>
      <c r="CD19" s="612">
        <v>1.0</v>
      </c>
      <c r="CE19" s="617">
        <f>IF(BT19="","",OFFSET(Biblioteca!$G$2,MATCH(BT19,Biblioteca!$A$3:$A$200,0),)*(1.05^(10-CA19)))</f>
        <v>0</v>
      </c>
      <c r="CF19" s="618"/>
      <c r="CG19" s="588"/>
      <c r="CH19" s="608">
        <f t="shared" si="11"/>
        <v>4</v>
      </c>
      <c r="CI19" s="609" t="s">
        <v>255</v>
      </c>
      <c r="CN19" s="610" t="s">
        <v>237</v>
      </c>
      <c r="CO19" s="611">
        <v>1.0</v>
      </c>
      <c r="CP19" s="611">
        <v>30.0</v>
      </c>
      <c r="CQ19" s="611">
        <v>30.0</v>
      </c>
      <c r="CR19" s="611">
        <v>0.0</v>
      </c>
      <c r="CS19" s="611">
        <v>1.0</v>
      </c>
      <c r="CT19" s="617">
        <f>IF(CI19="","",OFFSET(Biblioteca!$G$2,MATCH(CI19,Biblioteca!$A$3:$A$200,0),)*(1.05^(10-CP19)))</f>
        <v>0</v>
      </c>
      <c r="CU19" s="618"/>
      <c r="CV19" s="588"/>
      <c r="CW19" s="608">
        <f t="shared" si="12"/>
        <v>1</v>
      </c>
      <c r="CX19" s="619"/>
      <c r="DC19" s="620"/>
      <c r="DD19" s="618"/>
      <c r="DE19" s="618"/>
      <c r="DF19" s="618"/>
      <c r="DG19" s="618"/>
      <c r="DH19" s="618"/>
      <c r="DI19" s="617" t="str">
        <f>IF(CX19="","",OFFSET(Biblioteca!$G$2,MATCH(CX19,Biblioteca!$A$3:$A$200,0),)*(1.05^(10-DE19)))</f>
        <v/>
      </c>
      <c r="DJ19" s="618"/>
      <c r="DK19" s="588"/>
    </row>
    <row r="20" ht="14.25" customHeight="1">
      <c r="A20" s="492" t="str">
        <f>"S "&amp;$AD2&amp;" - "&amp;TEXT(C12,"dd/mm")</f>
        <v>S 1 - 12/01</v>
      </c>
      <c r="B20" s="592" t="s">
        <v>256</v>
      </c>
      <c r="C20" s="601"/>
      <c r="D20" s="600"/>
      <c r="E20" s="600"/>
      <c r="F20" s="600"/>
      <c r="G20" s="601"/>
      <c r="H20" s="601"/>
      <c r="I20" s="607"/>
      <c r="J20" s="505"/>
      <c r="K20" s="627"/>
      <c r="L20" s="9"/>
      <c r="M20" s="628" t="s">
        <v>257</v>
      </c>
      <c r="N20" s="9"/>
      <c r="O20" s="629"/>
      <c r="P20" s="630"/>
      <c r="Q20" s="630"/>
      <c r="R20" s="630"/>
      <c r="S20" s="631" t="str">
        <f>OFFSET($B16,0,WEEKDAY(K8,2))&amp;" "&amp;OFFSET($B21,0,WEEKDAY(K8,2))&amp;"x"&amp;OFFSET($B20,0,WEEKDAY(K8,2))</f>
        <v>Esteira 1x</v>
      </c>
      <c r="T20" s="630"/>
      <c r="U20" s="630"/>
      <c r="V20" s="630"/>
      <c r="W20" s="630"/>
      <c r="X20" s="630"/>
      <c r="Y20" s="632"/>
      <c r="Z20" s="9"/>
      <c r="AA20" s="9"/>
      <c r="AB20" s="628" t="s">
        <v>257</v>
      </c>
      <c r="AC20" s="9"/>
      <c r="AD20" s="629"/>
      <c r="AE20" s="630"/>
      <c r="AF20" s="630"/>
      <c r="AG20" s="630"/>
      <c r="AH20" s="631" t="str">
        <f>OFFSET($B16,0,WEEKDAY(Z8,2))&amp;" "&amp;OFFSET($B21,0,WEEKDAY(Z8,2))&amp;"x"&amp;OFFSET($B20,0,WEEKDAY(Z8,2))</f>
        <v>Bicicleta 1x</v>
      </c>
      <c r="AI20" s="630"/>
      <c r="AJ20" s="630"/>
      <c r="AK20" s="630"/>
      <c r="AL20" s="630"/>
      <c r="AM20" s="630"/>
      <c r="AN20" s="632"/>
      <c r="AO20" s="9"/>
      <c r="AP20" s="627"/>
      <c r="AQ20" s="633" t="s">
        <v>257</v>
      </c>
      <c r="AR20" s="627"/>
      <c r="AS20" s="634"/>
      <c r="AT20" s="635"/>
      <c r="AU20" s="635"/>
      <c r="AV20" s="635"/>
      <c r="AW20" s="635" t="str">
        <f>OFFSET($B16,0,WEEKDAY(AO8,2))&amp;" "&amp;OFFSET($B21,0,WEEKDAY(AO8,2))&amp;"x"&amp;OFFSET($B20,0,WEEKDAY(AO8,2))</f>
        <v> x</v>
      </c>
      <c r="AX20" s="635"/>
      <c r="AY20" s="635"/>
      <c r="AZ20" s="635"/>
      <c r="BA20" s="630"/>
      <c r="BB20" s="630"/>
      <c r="BC20" s="632"/>
      <c r="BD20" s="9"/>
      <c r="BE20" s="9"/>
      <c r="BF20" s="628" t="s">
        <v>257</v>
      </c>
      <c r="BG20" s="9"/>
      <c r="BH20" s="629"/>
      <c r="BI20" s="630"/>
      <c r="BJ20" s="630"/>
      <c r="BK20" s="630"/>
      <c r="BL20" s="631" t="str">
        <f>OFFSET($B16,0,WEEKDAY(BD8,2))&amp;" "&amp;OFFSET($B21,0,WEEKDAY(BD8,2))&amp;"x"&amp;OFFSET($B20,0,WEEKDAY(BD8,2))</f>
        <v>Corda 2x</v>
      </c>
      <c r="BM20" s="630"/>
      <c r="BN20" s="630"/>
      <c r="BO20" s="630"/>
      <c r="BP20" s="630"/>
      <c r="BQ20" s="630"/>
      <c r="BR20" s="632"/>
      <c r="BS20" s="9"/>
      <c r="BT20" s="9"/>
      <c r="BU20" s="628" t="s">
        <v>257</v>
      </c>
      <c r="BV20" s="9"/>
      <c r="BW20" s="629"/>
      <c r="BX20" s="630"/>
      <c r="BY20" s="630"/>
      <c r="BZ20" s="630"/>
      <c r="CA20" s="631" t="str">
        <f>OFFSET($B16,0,WEEKDAY(BS8,2))&amp;" "&amp;OFFSET($B21,0,WEEKDAY(BS8,2))&amp;"x"&amp;OFFSET($B20,0,WEEKDAY(BS8,2))</f>
        <v>Esteira 1x</v>
      </c>
      <c r="CB20" s="630"/>
      <c r="CC20" s="630"/>
      <c r="CD20" s="630"/>
      <c r="CE20" s="635"/>
      <c r="CF20" s="635"/>
      <c r="CG20" s="604"/>
      <c r="CH20" s="627"/>
      <c r="CI20" s="627"/>
      <c r="CJ20" s="633" t="s">
        <v>257</v>
      </c>
      <c r="CK20" s="627"/>
      <c r="CL20" s="634"/>
      <c r="CM20" s="635"/>
      <c r="CN20" s="635"/>
      <c r="CO20" s="635"/>
      <c r="CP20" s="635" t="str">
        <f>OFFSET($B16,0,WEEKDAY(CH8,2))&amp;" "&amp;OFFSET($B21,0,WEEKDAY(CH8,2))&amp;"x"&amp;OFFSET($B20,0,WEEKDAY(CH8,2))</f>
        <v>Pista x</v>
      </c>
      <c r="CQ20" s="635"/>
      <c r="CR20" s="635"/>
      <c r="CS20" s="635"/>
      <c r="CT20" s="635"/>
      <c r="CU20" s="635"/>
      <c r="CV20" s="604"/>
      <c r="CW20" s="627"/>
      <c r="CX20" s="627"/>
      <c r="CY20" s="633" t="s">
        <v>257</v>
      </c>
      <c r="CZ20" s="627"/>
      <c r="DA20" s="634"/>
      <c r="DB20" s="635"/>
      <c r="DC20" s="635"/>
      <c r="DD20" s="635"/>
      <c r="DE20" s="635" t="str">
        <f>OFFSET($B16,0,WEEKDAY(CW8,2))&amp;" "&amp;OFFSET($B21,0,WEEKDAY(CW8,2))&amp;"x"&amp;OFFSET($B20,0,WEEKDAY(CW8,2))</f>
        <v> x</v>
      </c>
      <c r="DF20" s="635"/>
      <c r="DG20" s="635"/>
      <c r="DH20" s="635"/>
      <c r="DI20" s="635"/>
      <c r="DJ20" s="635"/>
      <c r="DK20" s="604"/>
    </row>
    <row r="21" ht="14.25" customHeight="1">
      <c r="A21" s="492" t="str">
        <f>"S "&amp;$AD2&amp;" - "&amp;TEXT(C12,"dd/mm")</f>
        <v>S 1 - 12/01</v>
      </c>
      <c r="B21" s="592" t="s">
        <v>258</v>
      </c>
      <c r="C21" s="636">
        <v>1.0</v>
      </c>
      <c r="D21" s="637">
        <v>1.0</v>
      </c>
      <c r="E21" s="637"/>
      <c r="F21" s="637">
        <v>2.0</v>
      </c>
      <c r="G21" s="636">
        <v>1.0</v>
      </c>
      <c r="H21" s="638"/>
      <c r="I21" s="637"/>
      <c r="J21" s="505"/>
      <c r="K21" s="608">
        <v>1.0</v>
      </c>
      <c r="L21" s="609" t="s">
        <v>259</v>
      </c>
      <c r="Q21" s="610" t="s">
        <v>260</v>
      </c>
      <c r="R21" s="611">
        <v>3.0</v>
      </c>
      <c r="S21" s="625">
        <v>10.0</v>
      </c>
      <c r="T21" s="614"/>
      <c r="U21" s="611">
        <v>1.0</v>
      </c>
      <c r="V21" s="611">
        <v>2.0</v>
      </c>
      <c r="W21" s="639">
        <f>IF(L21="","",OFFSET(Biblioteca!$G$2,MATCH(L21,Biblioteca!$A$3:$A$200,0),)*(1.05^(10-S21)))</f>
        <v>90</v>
      </c>
      <c r="X21" s="640"/>
      <c r="Y21" s="632"/>
      <c r="Z21" s="641">
        <v>1.0</v>
      </c>
      <c r="AA21" s="609" t="s">
        <v>261</v>
      </c>
      <c r="AF21" s="610" t="s">
        <v>260</v>
      </c>
      <c r="AG21" s="611">
        <v>3.0</v>
      </c>
      <c r="AH21" s="625">
        <v>10.0</v>
      </c>
      <c r="AI21" s="614"/>
      <c r="AJ21" s="611">
        <v>1.0</v>
      </c>
      <c r="AK21" s="611">
        <v>2.0</v>
      </c>
      <c r="AL21" s="639">
        <f>IF(AA21="","",OFFSET(Biblioteca!$G$2,MATCH(AA21,Biblioteca!$A$3:$A$200,0),)*(1.05^(10-AH21)))</f>
        <v>100</v>
      </c>
      <c r="AM21" s="640"/>
      <c r="AN21" s="632"/>
      <c r="AO21" s="641">
        <v>1.0</v>
      </c>
      <c r="AP21" s="642" t="s">
        <v>235</v>
      </c>
      <c r="AU21" s="610"/>
      <c r="AV21" s="625"/>
      <c r="AW21" s="625"/>
      <c r="AX21" s="625"/>
      <c r="AY21" s="611"/>
      <c r="AZ21" s="611"/>
      <c r="BA21" s="639">
        <f>IF(AP21="","",OFFSET(Biblioteca!$G$2,MATCH(AP21,Biblioteca!$A$3:$A$200,0),)*(1.05^(10-AW21)))</f>
        <v>0</v>
      </c>
      <c r="BB21" s="640"/>
      <c r="BC21" s="632"/>
      <c r="BD21" s="641">
        <v>1.0</v>
      </c>
      <c r="BE21" s="642" t="s">
        <v>234</v>
      </c>
      <c r="BJ21" s="610"/>
      <c r="BK21" s="611"/>
      <c r="BL21" s="611"/>
      <c r="BM21" s="616">
        <v>60.0</v>
      </c>
      <c r="BN21" s="611"/>
      <c r="BO21" s="611"/>
      <c r="BP21" s="639">
        <f>IF(BE21="","",OFFSET(Biblioteca!$G$2,MATCH(BE21,Biblioteca!$A$3:$A$200,0),)*(1.05^(10-BL21)))</f>
        <v>0</v>
      </c>
      <c r="BQ21" s="640"/>
      <c r="BR21" s="632"/>
      <c r="BS21" s="641">
        <v>1.0</v>
      </c>
      <c r="BT21" s="609" t="s">
        <v>262</v>
      </c>
      <c r="BY21" s="610" t="s">
        <v>260</v>
      </c>
      <c r="BZ21" s="611">
        <v>3.0</v>
      </c>
      <c r="CA21" s="625">
        <v>10.0</v>
      </c>
      <c r="CB21" s="614"/>
      <c r="CC21" s="611">
        <v>1.0</v>
      </c>
      <c r="CD21" s="611">
        <v>2.0</v>
      </c>
      <c r="CE21" s="617">
        <f>IF(BT21="","",OFFSET(Biblioteca!$G$2,MATCH(BT21,Biblioteca!$A$3:$A$200,0),)*(1.05^(10-CA21)))</f>
        <v>38</v>
      </c>
      <c r="CF21" s="618"/>
      <c r="CG21" s="579"/>
      <c r="CH21" s="608">
        <v>1.0</v>
      </c>
      <c r="CI21" s="642" t="s">
        <v>235</v>
      </c>
      <c r="CN21" s="610"/>
      <c r="CO21" s="625"/>
      <c r="CP21" s="625"/>
      <c r="CQ21" s="625"/>
      <c r="CR21" s="611"/>
      <c r="CS21" s="611"/>
      <c r="CT21" s="617">
        <f>IF(CI21="","",OFFSET(Biblioteca!$G$2,MATCH(CI21,Biblioteca!$A$3:$A$200,0),)*(1.05^(10-CP21)))</f>
        <v>0</v>
      </c>
      <c r="CU21" s="618"/>
      <c r="CV21" s="579"/>
      <c r="CW21" s="608">
        <v>1.0</v>
      </c>
      <c r="CX21" s="609"/>
      <c r="DC21" s="610"/>
      <c r="DD21" s="625"/>
      <c r="DE21" s="625"/>
      <c r="DF21" s="625"/>
      <c r="DG21" s="611"/>
      <c r="DH21" s="611"/>
      <c r="DI21" s="617" t="str">
        <f>IF(CX21="","",OFFSET(Biblioteca!$G$2,MATCH(CX21,Biblioteca!$A$3:$A$200,0),)*(1.05^(10-DE21)))</f>
        <v/>
      </c>
      <c r="DJ21" s="618"/>
      <c r="DK21" s="579"/>
    </row>
    <row r="22" ht="14.25" customHeight="1">
      <c r="A22" s="492" t="str">
        <f>"S "&amp;$AD2&amp;" - "&amp;TEXT(C12,"dd/mm")</f>
        <v>S 1 - 12/01</v>
      </c>
      <c r="B22" s="592" t="s">
        <v>263</v>
      </c>
      <c r="C22" s="606"/>
      <c r="D22" s="600">
        <v>5.0</v>
      </c>
      <c r="E22" s="600"/>
      <c r="F22" s="600">
        <v>1.0</v>
      </c>
      <c r="G22" s="606"/>
      <c r="H22" s="601"/>
      <c r="I22" s="600"/>
      <c r="J22" s="505"/>
      <c r="K22" s="608">
        <f t="shared" ref="K22:K40" si="13">IF(T21="",K21,K21+1)</f>
        <v>1</v>
      </c>
      <c r="L22" s="643" t="s">
        <v>264</v>
      </c>
      <c r="Q22" s="610" t="s">
        <v>260</v>
      </c>
      <c r="R22" s="644">
        <v>3.0</v>
      </c>
      <c r="S22" s="644">
        <v>10.0</v>
      </c>
      <c r="T22" s="644">
        <v>45.0</v>
      </c>
      <c r="U22" s="644">
        <v>1.0</v>
      </c>
      <c r="V22" s="644">
        <v>2.0</v>
      </c>
      <c r="W22" s="639">
        <f>IF(L22="","",OFFSET(Biblioteca!$G$2,MATCH(L22,Biblioteca!$A$3:$A$200,0),)*(1.05^(10-S22)))</f>
        <v>0</v>
      </c>
      <c r="X22" s="640"/>
      <c r="Y22" s="632"/>
      <c r="Z22" s="641">
        <f t="shared" ref="Z22:Z40" si="14">IF(AI21="",Z21,Z21+1)</f>
        <v>1</v>
      </c>
      <c r="AA22" s="645" t="s">
        <v>250</v>
      </c>
      <c r="AF22" s="610" t="s">
        <v>260</v>
      </c>
      <c r="AG22" s="644">
        <v>3.0</v>
      </c>
      <c r="AH22" s="644">
        <v>45.0</v>
      </c>
      <c r="AI22" s="644">
        <v>45.0</v>
      </c>
      <c r="AJ22" s="644">
        <v>0.0</v>
      </c>
      <c r="AK22" s="644">
        <v>1.0</v>
      </c>
      <c r="AL22" s="639">
        <f>IF(AA22="","",OFFSET(Biblioteca!$G$2,MATCH(AA22,Biblioteca!$A$3:$A$200,0),)*(1.05^(10-AH22)))</f>
        <v>0</v>
      </c>
      <c r="AM22" s="640"/>
      <c r="AN22" s="632"/>
      <c r="AO22" s="641">
        <f t="shared" ref="AO22:AO40" si="15">IF(AX21="",AO21,AO21+1)</f>
        <v>1</v>
      </c>
      <c r="AP22" s="619"/>
      <c r="AU22" s="620"/>
      <c r="AV22" s="618"/>
      <c r="AW22" s="618"/>
      <c r="AX22" s="618"/>
      <c r="AY22" s="618"/>
      <c r="AZ22" s="618"/>
      <c r="BA22" s="639" t="str">
        <f>IF(AP22="","",OFFSET(Biblioteca!$G$2,MATCH(AP22,Biblioteca!$A$3:$A$200,0),)*(1.05^(10-AW22)))</f>
        <v/>
      </c>
      <c r="BB22" s="640"/>
      <c r="BC22" s="632"/>
      <c r="BD22" s="641">
        <f t="shared" ref="BD22:BD40" si="16">IF(BM21="",BD21,BD21+1)</f>
        <v>2</v>
      </c>
      <c r="BE22" s="609" t="s">
        <v>265</v>
      </c>
      <c r="BJ22" s="610" t="s">
        <v>260</v>
      </c>
      <c r="BK22" s="611">
        <v>3.0</v>
      </c>
      <c r="BL22" s="625">
        <v>10.0</v>
      </c>
      <c r="BM22" s="614"/>
      <c r="BN22" s="611">
        <v>1.0</v>
      </c>
      <c r="BO22" s="611">
        <v>2.0</v>
      </c>
      <c r="BP22" s="639">
        <f>IF(BE22="","",OFFSET(Biblioteca!$G$2,MATCH(BE22,Biblioteca!$A$3:$A$200,0),)*(1.05^(10-BL22)))</f>
        <v>78</v>
      </c>
      <c r="BQ22" s="640"/>
      <c r="BR22" s="632"/>
      <c r="BS22" s="641">
        <f t="shared" ref="BS22:BS40" si="17">IF(CB21="",BS21,BS21+1)</f>
        <v>1</v>
      </c>
      <c r="BT22" s="645" t="s">
        <v>266</v>
      </c>
      <c r="BY22" s="610" t="s">
        <v>260</v>
      </c>
      <c r="BZ22" s="644">
        <v>3.0</v>
      </c>
      <c r="CA22" s="646">
        <v>10.0</v>
      </c>
      <c r="CB22" s="644">
        <v>45.0</v>
      </c>
      <c r="CC22" s="644">
        <v>1.0</v>
      </c>
      <c r="CD22" s="644">
        <v>2.0</v>
      </c>
      <c r="CE22" s="617">
        <f>IF(BT22="","",OFFSET(Biblioteca!$G$2,MATCH(BT22,Biblioteca!$A$3:$A$200,0),)*(1.05^(10-CA22)))</f>
        <v>110.25</v>
      </c>
      <c r="CF22" s="618"/>
      <c r="CG22" s="579"/>
      <c r="CH22" s="608">
        <f t="shared" ref="CH22:CH40" si="18">IF(CQ21="",CH21,CH21+1)</f>
        <v>1</v>
      </c>
      <c r="CI22" s="619"/>
      <c r="CN22" s="620"/>
      <c r="CO22" s="618"/>
      <c r="CP22" s="618"/>
      <c r="CQ22" s="618"/>
      <c r="CR22" s="618"/>
      <c r="CS22" s="618"/>
      <c r="CT22" s="617" t="str">
        <f>IF(CI22="","",OFFSET(Biblioteca!$G$2,MATCH(CI22,Biblioteca!$A$3:$A$200,0),)*(1.05^(10-CP22)))</f>
        <v/>
      </c>
      <c r="CU22" s="618"/>
      <c r="CV22" s="579"/>
      <c r="CW22" s="608">
        <f t="shared" ref="CW22:CW40" si="19">IF(DF21="",CW21,CW21+1)</f>
        <v>1</v>
      </c>
      <c r="CX22" s="619"/>
      <c r="DC22" s="620"/>
      <c r="DD22" s="618"/>
      <c r="DE22" s="618"/>
      <c r="DF22" s="618"/>
      <c r="DG22" s="618"/>
      <c r="DH22" s="618"/>
      <c r="DI22" s="617" t="str">
        <f>IF(CX22="","",OFFSET(Biblioteca!$G$2,MATCH(CX22,Biblioteca!$A$3:$A$200,0),)*(1.05^(10-DE22)))</f>
        <v/>
      </c>
      <c r="DJ22" s="618"/>
      <c r="DK22" s="579"/>
    </row>
    <row r="23" ht="14.25" customHeight="1">
      <c r="A23" s="492" t="str">
        <f>"S "&amp;$AD2&amp;" - "&amp;TEXT(C12,"dd/mm")</f>
        <v>S 1 - 12/01</v>
      </c>
      <c r="B23" s="592" t="s">
        <v>267</v>
      </c>
      <c r="C23" s="599"/>
      <c r="D23" s="600">
        <v>45.0</v>
      </c>
      <c r="E23" s="600"/>
      <c r="F23" s="600">
        <v>180.0</v>
      </c>
      <c r="G23" s="599"/>
      <c r="H23" s="601"/>
      <c r="I23" s="600"/>
      <c r="J23" s="505"/>
      <c r="K23" s="608">
        <f t="shared" si="13"/>
        <v>2</v>
      </c>
      <c r="L23" s="609" t="s">
        <v>268</v>
      </c>
      <c r="Q23" s="610" t="s">
        <v>260</v>
      </c>
      <c r="R23" s="611">
        <v>4.0</v>
      </c>
      <c r="S23" s="625">
        <v>10.0</v>
      </c>
      <c r="T23" s="614"/>
      <c r="U23" s="611">
        <v>1.0</v>
      </c>
      <c r="V23" s="611">
        <v>2.0</v>
      </c>
      <c r="W23" s="639">
        <f>IF(L23="","",OFFSET(Biblioteca!$G$2,MATCH(L23,Biblioteca!$A$3:$A$200,0),)*(1.05^(10-S23)))</f>
        <v>170</v>
      </c>
      <c r="X23" s="640"/>
      <c r="Y23" s="632"/>
      <c r="Z23" s="641">
        <f t="shared" si="14"/>
        <v>2</v>
      </c>
      <c r="AA23" s="645" t="s">
        <v>269</v>
      </c>
      <c r="AF23" s="610" t="s">
        <v>260</v>
      </c>
      <c r="AG23" s="611">
        <v>3.0</v>
      </c>
      <c r="AH23" s="625">
        <v>10.0</v>
      </c>
      <c r="AI23" s="614"/>
      <c r="AJ23" s="611">
        <v>1.0</v>
      </c>
      <c r="AK23" s="611">
        <v>2.0</v>
      </c>
      <c r="AL23" s="639">
        <f>IF(AA23="","",OFFSET(Biblioteca!$G$2,MATCH(AA23,Biblioteca!$A$3:$A$200,0),)*(1.05^(10-AH23)))</f>
        <v>5</v>
      </c>
      <c r="AM23" s="640"/>
      <c r="AN23" s="632"/>
      <c r="AO23" s="641">
        <f t="shared" si="15"/>
        <v>1</v>
      </c>
      <c r="AP23" s="619"/>
      <c r="AU23" s="620"/>
      <c r="AV23" s="618"/>
      <c r="AW23" s="618"/>
      <c r="AX23" s="618"/>
      <c r="AY23" s="618"/>
      <c r="AZ23" s="618"/>
      <c r="BA23" s="639" t="str">
        <f>IF(AP23="","",OFFSET(Biblioteca!$G$2,MATCH(AP23,Biblioteca!$A$3:$A$200,0),)*(1.05^(10-AW23)))</f>
        <v/>
      </c>
      <c r="BB23" s="640"/>
      <c r="BC23" s="632"/>
      <c r="BD23" s="641">
        <f t="shared" si="16"/>
        <v>2</v>
      </c>
      <c r="BE23" s="645" t="s">
        <v>270</v>
      </c>
      <c r="BJ23" s="610" t="s">
        <v>260</v>
      </c>
      <c r="BK23" s="644">
        <v>3.0</v>
      </c>
      <c r="BL23" s="644">
        <v>8.0</v>
      </c>
      <c r="BM23" s="644">
        <v>60.0</v>
      </c>
      <c r="BN23" s="644">
        <v>1.0</v>
      </c>
      <c r="BO23" s="644">
        <v>2.0</v>
      </c>
      <c r="BP23" s="639">
        <f>IF(BE23="","",OFFSET(Biblioteca!$G$2,MATCH(BE23,Biblioteca!$A$3:$A$200,0),)*(1.05^(10-BL23)))</f>
        <v>0</v>
      </c>
      <c r="BQ23" s="640"/>
      <c r="BR23" s="632"/>
      <c r="BS23" s="641">
        <f t="shared" si="17"/>
        <v>2</v>
      </c>
      <c r="BT23" s="609" t="s">
        <v>271</v>
      </c>
      <c r="BY23" s="610" t="s">
        <v>260</v>
      </c>
      <c r="BZ23" s="611">
        <v>4.0</v>
      </c>
      <c r="CA23" s="625">
        <v>10.0</v>
      </c>
      <c r="CB23" s="614"/>
      <c r="CC23" s="611">
        <v>1.0</v>
      </c>
      <c r="CD23" s="611">
        <v>2.0</v>
      </c>
      <c r="CE23" s="617">
        <f>IF(BT23="","",OFFSET(Biblioteca!$G$2,MATCH(BT23,Biblioteca!$A$3:$A$200,0),)*(1.05^(10-CA23)))</f>
        <v>15.435</v>
      </c>
      <c r="CF23" s="618"/>
      <c r="CG23" s="579"/>
      <c r="CH23" s="608">
        <f t="shared" si="18"/>
        <v>1</v>
      </c>
      <c r="CI23" s="619"/>
      <c r="CN23" s="620"/>
      <c r="CO23" s="618"/>
      <c r="CP23" s="618"/>
      <c r="CQ23" s="618"/>
      <c r="CR23" s="618"/>
      <c r="CS23" s="618"/>
      <c r="CT23" s="617" t="str">
        <f>IF(CI23="","",OFFSET(Biblioteca!$G$2,MATCH(CI23,Biblioteca!$A$3:$A$200,0),)*(1.05^(10-CP23)))</f>
        <v/>
      </c>
      <c r="CU23" s="618"/>
      <c r="CV23" s="579"/>
      <c r="CW23" s="608">
        <f t="shared" si="19"/>
        <v>1</v>
      </c>
      <c r="CX23" s="619"/>
      <c r="DC23" s="620"/>
      <c r="DD23" s="618"/>
      <c r="DE23" s="618"/>
      <c r="DF23" s="618"/>
      <c r="DG23" s="618"/>
      <c r="DH23" s="618"/>
      <c r="DI23" s="617" t="str">
        <f>IF(CX23="","",OFFSET(Biblioteca!$G$2,MATCH(CX23,Biblioteca!$A$3:$A$200,0),)*(1.05^(10-DE23)))</f>
        <v/>
      </c>
      <c r="DJ23" s="618"/>
      <c r="DK23" s="579"/>
    </row>
    <row r="24" ht="14.25" customHeight="1">
      <c r="A24" s="492" t="str">
        <f>"S "&amp;$AD2&amp;" - "&amp;TEXT(C12,"dd/mm")</f>
        <v>S 1 - 12/01</v>
      </c>
      <c r="B24" s="647" t="s">
        <v>272</v>
      </c>
      <c r="C24" s="606"/>
      <c r="D24" s="600">
        <v>15.0</v>
      </c>
      <c r="E24" s="600"/>
      <c r="F24" s="600"/>
      <c r="G24" s="606"/>
      <c r="H24" s="601"/>
      <c r="I24" s="600"/>
      <c r="J24" s="505"/>
      <c r="K24" s="608">
        <f t="shared" si="13"/>
        <v>2</v>
      </c>
      <c r="L24" s="609" t="s">
        <v>273</v>
      </c>
      <c r="Q24" s="610" t="s">
        <v>260</v>
      </c>
      <c r="R24" s="644">
        <v>4.0</v>
      </c>
      <c r="S24" s="646">
        <v>10.0</v>
      </c>
      <c r="T24" s="644">
        <v>45.0</v>
      </c>
      <c r="U24" s="644">
        <v>1.0</v>
      </c>
      <c r="V24" s="644">
        <v>2.0</v>
      </c>
      <c r="W24" s="639">
        <f>IF(L24="","",OFFSET(Biblioteca!$G$2,MATCH(L24,Biblioteca!$A$3:$A$200,0),)*(1.05^(10-S24)))</f>
        <v>220.5</v>
      </c>
      <c r="X24" s="640"/>
      <c r="Y24" s="632"/>
      <c r="Z24" s="641">
        <f t="shared" si="14"/>
        <v>2</v>
      </c>
      <c r="AA24" s="645" t="s">
        <v>274</v>
      </c>
      <c r="AF24" s="610" t="s">
        <v>260</v>
      </c>
      <c r="AG24" s="644">
        <v>3.0</v>
      </c>
      <c r="AH24" s="644">
        <v>10.0</v>
      </c>
      <c r="AI24" s="644">
        <v>45.0</v>
      </c>
      <c r="AJ24" s="644">
        <v>1.0</v>
      </c>
      <c r="AK24" s="644">
        <v>2.0</v>
      </c>
      <c r="AL24" s="639">
        <f>IF(AA24="","",OFFSET(Biblioteca!$G$2,MATCH(AA24,Biblioteca!$A$3:$A$200,0),)*(1.05^(10-AH24)))</f>
        <v>0</v>
      </c>
      <c r="AM24" s="640"/>
      <c r="AN24" s="632"/>
      <c r="AO24" s="641">
        <f t="shared" si="15"/>
        <v>1</v>
      </c>
      <c r="AP24" s="609"/>
      <c r="AU24" s="610"/>
      <c r="AV24" s="644"/>
      <c r="AW24" s="644"/>
      <c r="AX24" s="644"/>
      <c r="AY24" s="644"/>
      <c r="AZ24" s="644"/>
      <c r="BA24" s="639" t="str">
        <f>IF(AP24="","",OFFSET(Biblioteca!$G$2,MATCH(AP24,Biblioteca!$A$3:$A$200,0),)*(1.05^(10-AW24)))</f>
        <v/>
      </c>
      <c r="BB24" s="640"/>
      <c r="BC24" s="632"/>
      <c r="BD24" s="641">
        <f t="shared" si="16"/>
        <v>3</v>
      </c>
      <c r="BE24" s="642" t="s">
        <v>275</v>
      </c>
      <c r="BJ24" s="610" t="s">
        <v>260</v>
      </c>
      <c r="BK24" s="611">
        <v>2.0</v>
      </c>
      <c r="BL24" s="611">
        <v>10.0</v>
      </c>
      <c r="BM24" s="614"/>
      <c r="BN24" s="611">
        <v>1.0</v>
      </c>
      <c r="BO24" s="611">
        <v>2.0</v>
      </c>
      <c r="BP24" s="639">
        <f>IF(BE24="","",OFFSET(Biblioteca!$G$2,MATCH(BE24,Biblioteca!$A$3:$A$200,0),)*(1.05^(10-BL24)))</f>
        <v>15.435</v>
      </c>
      <c r="BQ24" s="640"/>
      <c r="BR24" s="632"/>
      <c r="BS24" s="641">
        <f t="shared" si="17"/>
        <v>2</v>
      </c>
      <c r="BT24" s="609" t="s">
        <v>273</v>
      </c>
      <c r="BY24" s="610" t="s">
        <v>260</v>
      </c>
      <c r="BZ24" s="644">
        <v>4.0</v>
      </c>
      <c r="CA24" s="646">
        <v>10.0</v>
      </c>
      <c r="CB24" s="644">
        <v>45.0</v>
      </c>
      <c r="CC24" s="644">
        <v>1.0</v>
      </c>
      <c r="CD24" s="644">
        <v>2.0</v>
      </c>
      <c r="CE24" s="617">
        <f>IF(BT24="","",OFFSET(Biblioteca!$G$2,MATCH(BT24,Biblioteca!$A$3:$A$200,0),)*(1.05^(10-CA24)))</f>
        <v>220.5</v>
      </c>
      <c r="CF24" s="618"/>
      <c r="CG24" s="588"/>
      <c r="CH24" s="608">
        <f t="shared" si="18"/>
        <v>1</v>
      </c>
      <c r="CI24" s="619"/>
      <c r="CN24" s="620"/>
      <c r="CO24" s="618"/>
      <c r="CP24" s="618"/>
      <c r="CQ24" s="618"/>
      <c r="CR24" s="618"/>
      <c r="CS24" s="618"/>
      <c r="CT24" s="617" t="str">
        <f>IF(CI24="","",OFFSET(Biblioteca!$G$2,MATCH(CI24,Biblioteca!$A$3:$A$200,0),)*(1.05^(10-CP24)))</f>
        <v/>
      </c>
      <c r="CU24" s="618"/>
      <c r="CV24" s="588"/>
      <c r="CW24" s="608">
        <f t="shared" si="19"/>
        <v>1</v>
      </c>
      <c r="CX24" s="619"/>
      <c r="DC24" s="620"/>
      <c r="DD24" s="618"/>
      <c r="DE24" s="618"/>
      <c r="DF24" s="618"/>
      <c r="DG24" s="618"/>
      <c r="DH24" s="618"/>
      <c r="DI24" s="617" t="str">
        <f>IF(CX24="","",OFFSET(Biblioteca!$G$2,MATCH(CX24,Biblioteca!$A$3:$A$200,0),)*(1.05^(10-DE24)))</f>
        <v/>
      </c>
      <c r="DJ24" s="618"/>
      <c r="DK24" s="588"/>
    </row>
    <row r="25" ht="14.25" customHeight="1">
      <c r="A25" s="492" t="str">
        <f>"S "&amp;$AD2&amp;" - "&amp;TEXT(C12,"dd/mm")</f>
        <v>S 1 - 12/01</v>
      </c>
      <c r="B25" s="592" t="s">
        <v>276</v>
      </c>
      <c r="C25" s="622"/>
      <c r="D25" s="624"/>
      <c r="E25" s="622"/>
      <c r="F25" s="624"/>
      <c r="G25" s="648"/>
      <c r="H25" s="623"/>
      <c r="I25" s="624"/>
      <c r="J25" s="505"/>
      <c r="K25" s="608">
        <f t="shared" si="13"/>
        <v>3</v>
      </c>
      <c r="L25" s="609" t="s">
        <v>277</v>
      </c>
      <c r="Q25" s="610" t="s">
        <v>260</v>
      </c>
      <c r="R25" s="611">
        <v>4.0</v>
      </c>
      <c r="S25" s="625">
        <v>10.0</v>
      </c>
      <c r="T25" s="614"/>
      <c r="U25" s="611">
        <v>1.0</v>
      </c>
      <c r="V25" s="611">
        <v>2.0</v>
      </c>
      <c r="W25" s="639">
        <f>IF(L25="","",OFFSET(Biblioteca!$G$2,MATCH(L25,Biblioteca!$A$3:$A$200,0),)*(1.05^(10-S25)))</f>
        <v>68</v>
      </c>
      <c r="X25" s="640"/>
      <c r="Y25" s="632"/>
      <c r="Z25" s="641">
        <f t="shared" si="14"/>
        <v>3</v>
      </c>
      <c r="AA25" s="645" t="s">
        <v>278</v>
      </c>
      <c r="AF25" s="610" t="s">
        <v>260</v>
      </c>
      <c r="AG25" s="611">
        <v>4.0</v>
      </c>
      <c r="AH25" s="625">
        <v>10.0</v>
      </c>
      <c r="AI25" s="614"/>
      <c r="AJ25" s="611">
        <v>1.0</v>
      </c>
      <c r="AK25" s="611">
        <v>2.0</v>
      </c>
      <c r="AL25" s="639">
        <f>IF(AA25="","",OFFSET(Biblioteca!$G$2,MATCH(AA25,Biblioteca!$A$3:$A$200,0),)*(1.05^(10-AH25)))</f>
        <v>60</v>
      </c>
      <c r="AM25" s="640"/>
      <c r="AN25" s="632"/>
      <c r="AO25" s="641">
        <f t="shared" si="15"/>
        <v>1</v>
      </c>
      <c r="AP25" s="609"/>
      <c r="AU25" s="610"/>
      <c r="AV25" s="611"/>
      <c r="AW25" s="611"/>
      <c r="AX25" s="614"/>
      <c r="AY25" s="611"/>
      <c r="AZ25" s="644"/>
      <c r="BA25" s="639" t="str">
        <f>IF(AP25="","",OFFSET(Biblioteca!$G$2,MATCH(AP25,Biblioteca!$A$3:$A$200,0),)*(1.05^(10-AW25)))</f>
        <v/>
      </c>
      <c r="BB25" s="640"/>
      <c r="BC25" s="632"/>
      <c r="BD25" s="641">
        <f t="shared" si="16"/>
        <v>3</v>
      </c>
      <c r="BE25" s="642" t="s">
        <v>271</v>
      </c>
      <c r="BJ25" s="610" t="s">
        <v>260</v>
      </c>
      <c r="BK25" s="644">
        <v>2.0</v>
      </c>
      <c r="BL25" s="644">
        <v>10.0</v>
      </c>
      <c r="BM25" s="644">
        <v>45.0</v>
      </c>
      <c r="BN25" s="644">
        <v>1.0</v>
      </c>
      <c r="BO25" s="644">
        <v>2.0</v>
      </c>
      <c r="BP25" s="639">
        <f>IF(BE25="","",OFFSET(Biblioteca!$G$2,MATCH(BE25,Biblioteca!$A$3:$A$200,0),)*(1.05^(10-BL25)))</f>
        <v>15.435</v>
      </c>
      <c r="BQ25" s="640"/>
      <c r="BR25" s="632"/>
      <c r="BS25" s="641">
        <f t="shared" si="17"/>
        <v>3</v>
      </c>
      <c r="BT25" s="609" t="s">
        <v>279</v>
      </c>
      <c r="BY25" s="610" t="s">
        <v>260</v>
      </c>
      <c r="BZ25" s="611">
        <v>4.0</v>
      </c>
      <c r="CA25" s="625">
        <v>10.0</v>
      </c>
      <c r="CB25" s="614"/>
      <c r="CC25" s="611">
        <v>1.0</v>
      </c>
      <c r="CD25" s="611">
        <v>2.0</v>
      </c>
      <c r="CE25" s="617">
        <f>IF(BT25="","",OFFSET(Biblioteca!$G$2,MATCH(BT25,Biblioteca!$A$3:$A$200,0),)*(1.05^(10-CA25)))</f>
        <v>0</v>
      </c>
      <c r="CF25" s="618"/>
      <c r="CG25" s="579"/>
      <c r="CH25" s="608">
        <f t="shared" si="18"/>
        <v>1</v>
      </c>
      <c r="CI25" s="619"/>
      <c r="CN25" s="620"/>
      <c r="CO25" s="618"/>
      <c r="CP25" s="618"/>
      <c r="CQ25" s="618"/>
      <c r="CR25" s="618"/>
      <c r="CS25" s="618"/>
      <c r="CT25" s="617" t="str">
        <f>IF(CI25="","",OFFSET(Biblioteca!$G$2,MATCH(CI25,Biblioteca!$A$3:$A$200,0),)*(1.05^(10-CP25)))</f>
        <v/>
      </c>
      <c r="CU25" s="618"/>
      <c r="CV25" s="579"/>
      <c r="CW25" s="608">
        <f t="shared" si="19"/>
        <v>1</v>
      </c>
      <c r="CX25" s="619"/>
      <c r="DC25" s="620"/>
      <c r="DD25" s="618"/>
      <c r="DE25" s="618"/>
      <c r="DF25" s="618"/>
      <c r="DG25" s="618"/>
      <c r="DH25" s="618"/>
      <c r="DI25" s="617" t="str">
        <f>IF(CX25="","",OFFSET(Biblioteca!$G$2,MATCH(CX25,Biblioteca!$A$3:$A$200,0),)*(1.05^(10-DE25)))</f>
        <v/>
      </c>
      <c r="DJ25" s="618"/>
      <c r="DK25" s="579"/>
    </row>
    <row r="26" ht="14.25" customHeight="1">
      <c r="A26" s="492" t="str">
        <f>"S "&amp;$AD2&amp;" - "&amp;TEXT(C12,"dd/mm")</f>
        <v>S 1 - 12/01</v>
      </c>
      <c r="B26" s="647" t="s">
        <v>280</v>
      </c>
      <c r="C26" s="649" t="str">
        <f t="shared" ref="C26:I26" si="20">IF(OR(C17="IEXT",C17="IINT"),C46+C47,"")</f>
        <v/>
      </c>
      <c r="D26" s="649">
        <f t="shared" si="20"/>
        <v>5</v>
      </c>
      <c r="E26" s="649" t="str">
        <f t="shared" si="20"/>
        <v/>
      </c>
      <c r="F26" s="649">
        <f t="shared" si="20"/>
        <v>6</v>
      </c>
      <c r="G26" s="650" t="str">
        <f t="shared" si="20"/>
        <v/>
      </c>
      <c r="H26" s="651" t="str">
        <f t="shared" si="20"/>
        <v/>
      </c>
      <c r="I26" s="649" t="str">
        <f t="shared" si="20"/>
        <v/>
      </c>
      <c r="J26" s="505"/>
      <c r="K26" s="608">
        <f t="shared" si="13"/>
        <v>3</v>
      </c>
      <c r="L26" s="609" t="s">
        <v>281</v>
      </c>
      <c r="Q26" s="610" t="s">
        <v>260</v>
      </c>
      <c r="R26" s="644">
        <v>4.0</v>
      </c>
      <c r="S26" s="644">
        <v>10.0</v>
      </c>
      <c r="T26" s="644">
        <v>45.0</v>
      </c>
      <c r="U26" s="644">
        <v>1.0</v>
      </c>
      <c r="V26" s="644">
        <v>2.0</v>
      </c>
      <c r="W26" s="639">
        <f>IF(L26="","",OFFSET(Biblioteca!$G$2,MATCH(L26,Biblioteca!$A$3:$A$200,0),)*(1.05^(10-S26)))</f>
        <v>4</v>
      </c>
      <c r="X26" s="640"/>
      <c r="Y26" s="632"/>
      <c r="Z26" s="641">
        <f t="shared" si="14"/>
        <v>3</v>
      </c>
      <c r="AA26" s="645" t="s">
        <v>282</v>
      </c>
      <c r="AF26" s="610" t="s">
        <v>260</v>
      </c>
      <c r="AG26" s="644">
        <v>4.0</v>
      </c>
      <c r="AH26" s="646">
        <v>10.0</v>
      </c>
      <c r="AI26" s="644">
        <v>45.0</v>
      </c>
      <c r="AJ26" s="644">
        <v>1.0</v>
      </c>
      <c r="AK26" s="644">
        <v>2.0</v>
      </c>
      <c r="AL26" s="639">
        <f>IF(AA26="","",OFFSET(Biblioteca!$G$2,MATCH(AA26,Biblioteca!$A$3:$A$200,0),)*(1.05^(10-AH26)))</f>
        <v>78</v>
      </c>
      <c r="AM26" s="640"/>
      <c r="AN26" s="632"/>
      <c r="AO26" s="641">
        <f t="shared" si="15"/>
        <v>1</v>
      </c>
      <c r="AP26" s="609"/>
      <c r="AU26" s="610"/>
      <c r="AV26" s="644"/>
      <c r="AW26" s="644"/>
      <c r="AX26" s="644"/>
      <c r="AY26" s="644"/>
      <c r="AZ26" s="644"/>
      <c r="BA26" s="639" t="str">
        <f>IF(AP26="","",OFFSET(Biblioteca!$G$2,MATCH(AP26,Biblioteca!$A$3:$A$200,0),)*(1.05^(10-AW26)))</f>
        <v/>
      </c>
      <c r="BB26" s="640"/>
      <c r="BC26" s="632"/>
      <c r="BD26" s="641">
        <f t="shared" si="16"/>
        <v>4</v>
      </c>
      <c r="BE26" s="609" t="s">
        <v>283</v>
      </c>
      <c r="BJ26" s="610" t="s">
        <v>260</v>
      </c>
      <c r="BK26" s="611">
        <v>4.0</v>
      </c>
      <c r="BL26" s="625">
        <v>10.0</v>
      </c>
      <c r="BM26" s="614"/>
      <c r="BN26" s="611">
        <v>1.0</v>
      </c>
      <c r="BO26" s="644">
        <v>2.0</v>
      </c>
      <c r="BP26" s="639">
        <f>IF(BE26="","",OFFSET(Biblioteca!$G$2,MATCH(BE26,Biblioteca!$A$3:$A$200,0),)*(1.05^(10-BL26)))</f>
        <v>8</v>
      </c>
      <c r="BQ26" s="640"/>
      <c r="BR26" s="632"/>
      <c r="BS26" s="641">
        <f t="shared" si="17"/>
        <v>3</v>
      </c>
      <c r="BT26" s="609" t="s">
        <v>281</v>
      </c>
      <c r="BY26" s="610" t="s">
        <v>260</v>
      </c>
      <c r="BZ26" s="644">
        <v>4.0</v>
      </c>
      <c r="CA26" s="644">
        <v>10.0</v>
      </c>
      <c r="CB26" s="644">
        <v>45.0</v>
      </c>
      <c r="CC26" s="644">
        <v>1.0</v>
      </c>
      <c r="CD26" s="644">
        <v>2.0</v>
      </c>
      <c r="CE26" s="617">
        <f>IF(BT26="","",OFFSET(Biblioteca!$G$2,MATCH(BT26,Biblioteca!$A$3:$A$200,0),)*(1.05^(10-CA26)))</f>
        <v>4</v>
      </c>
      <c r="CF26" s="618"/>
      <c r="CG26" s="579"/>
      <c r="CH26" s="608">
        <f t="shared" si="18"/>
        <v>1</v>
      </c>
      <c r="CI26" s="619"/>
      <c r="CN26" s="620"/>
      <c r="CO26" s="618"/>
      <c r="CP26" s="618"/>
      <c r="CQ26" s="618"/>
      <c r="CR26" s="618"/>
      <c r="CS26" s="618"/>
      <c r="CT26" s="617" t="str">
        <f>IF(CI26="","",OFFSET(Biblioteca!$G$2,MATCH(CI26,Biblioteca!$A$3:$A$200,0),)*(1.05^(10-CP26)))</f>
        <v/>
      </c>
      <c r="CU26" s="618"/>
      <c r="CV26" s="579"/>
      <c r="CW26" s="608">
        <f t="shared" si="19"/>
        <v>1</v>
      </c>
      <c r="CX26" s="619"/>
      <c r="DC26" s="620"/>
      <c r="DD26" s="618"/>
      <c r="DE26" s="618"/>
      <c r="DF26" s="618"/>
      <c r="DG26" s="618"/>
      <c r="DH26" s="618"/>
      <c r="DI26" s="617" t="str">
        <f>IF(CX26="","",OFFSET(Biblioteca!$G$2,MATCH(CX26,Biblioteca!$A$3:$A$200,0),)*(1.05^(10-DE26)))</f>
        <v/>
      </c>
      <c r="DJ26" s="618"/>
      <c r="DK26" s="579"/>
    </row>
    <row r="27" ht="14.25" customHeight="1">
      <c r="A27" s="492" t="str">
        <f>"S "&amp;$AD2&amp;" - "&amp;TEXT(C12,"dd/mm")</f>
        <v>S 1 - 12/01</v>
      </c>
      <c r="B27" s="592" t="s">
        <v>284</v>
      </c>
      <c r="C27" s="652">
        <f t="shared" ref="C27:F27" si="21">IF(C18="","",(C18+C19)/2)</f>
        <v>0.55</v>
      </c>
      <c r="D27" s="652" t="str">
        <f t="shared" si="21"/>
        <v/>
      </c>
      <c r="E27" s="652" t="str">
        <f t="shared" si="21"/>
        <v/>
      </c>
      <c r="F27" s="652" t="str">
        <f t="shared" si="21"/>
        <v/>
      </c>
      <c r="G27" s="653">
        <f t="shared" ref="G27:H27" si="22">IF(G18="","",(G18+G19)/2)</f>
        <v>0.55</v>
      </c>
      <c r="H27" s="654" t="str">
        <f t="shared" si="22"/>
        <v/>
      </c>
      <c r="I27" s="652" t="str">
        <f>IF(I18="","",(I18+I19)/2)</f>
        <v/>
      </c>
      <c r="J27" s="505"/>
      <c r="K27" s="608">
        <f t="shared" si="13"/>
        <v>4</v>
      </c>
      <c r="L27" s="609" t="s">
        <v>285</v>
      </c>
      <c r="Q27" s="610" t="s">
        <v>260</v>
      </c>
      <c r="R27" s="611">
        <v>4.0</v>
      </c>
      <c r="S27" s="625">
        <v>10.0</v>
      </c>
      <c r="T27" s="614"/>
      <c r="U27" s="611">
        <v>1.0</v>
      </c>
      <c r="V27" s="611">
        <v>2.0</v>
      </c>
      <c r="W27" s="639">
        <f>IF(L27="","",OFFSET(Biblioteca!$G$2,MATCH(L27,Biblioteca!$A$3:$A$200,0),)*(1.05^(10-S27)))</f>
        <v>9.426375</v>
      </c>
      <c r="X27" s="640"/>
      <c r="Y27" s="632"/>
      <c r="Z27" s="641">
        <f t="shared" si="14"/>
        <v>4</v>
      </c>
      <c r="AA27" s="645" t="s">
        <v>286</v>
      </c>
      <c r="AF27" s="610" t="s">
        <v>260</v>
      </c>
      <c r="AG27" s="611">
        <v>4.0</v>
      </c>
      <c r="AH27" s="625">
        <v>10.0</v>
      </c>
      <c r="AI27" s="614"/>
      <c r="AJ27" s="611">
        <v>1.0</v>
      </c>
      <c r="AK27" s="611">
        <v>2.0</v>
      </c>
      <c r="AL27" s="639">
        <f>IF(AA27="","",OFFSET(Biblioteca!$G$2,MATCH(AA27,Biblioteca!$A$3:$A$200,0),)*(1.05^(10-AH27)))</f>
        <v>50</v>
      </c>
      <c r="AM27" s="640"/>
      <c r="AN27" s="632"/>
      <c r="AO27" s="641">
        <f t="shared" si="15"/>
        <v>1</v>
      </c>
      <c r="AP27" s="609"/>
      <c r="AU27" s="610"/>
      <c r="AV27" s="611"/>
      <c r="AW27" s="611"/>
      <c r="AX27" s="614"/>
      <c r="AY27" s="611"/>
      <c r="AZ27" s="644"/>
      <c r="BA27" s="639" t="str">
        <f>IF(AP27="","",OFFSET(Biblioteca!$G$2,MATCH(AP27,Biblioteca!$A$3:$A$200,0),)*(1.05^(10-AW27)))</f>
        <v/>
      </c>
      <c r="BB27" s="640"/>
      <c r="BC27" s="632"/>
      <c r="BD27" s="641">
        <f t="shared" si="16"/>
        <v>4</v>
      </c>
      <c r="BE27" s="609" t="s">
        <v>287</v>
      </c>
      <c r="BJ27" s="610" t="s">
        <v>260</v>
      </c>
      <c r="BK27" s="644">
        <v>4.0</v>
      </c>
      <c r="BL27" s="646">
        <v>10.0</v>
      </c>
      <c r="BM27" s="644">
        <v>45.0</v>
      </c>
      <c r="BN27" s="644">
        <v>1.0</v>
      </c>
      <c r="BO27" s="644">
        <v>2.0</v>
      </c>
      <c r="BP27" s="639">
        <f>IF(BE27="","",OFFSET(Biblioteca!$G$2,MATCH(BE27,Biblioteca!$A$3:$A$200,0),)*(1.05^(10-BL27)))</f>
        <v>13.3</v>
      </c>
      <c r="BQ27" s="640"/>
      <c r="BR27" s="632"/>
      <c r="BS27" s="641">
        <f t="shared" si="17"/>
        <v>4</v>
      </c>
      <c r="BT27" s="609" t="s">
        <v>288</v>
      </c>
      <c r="BY27" s="610" t="s">
        <v>260</v>
      </c>
      <c r="BZ27" s="611">
        <v>4.0</v>
      </c>
      <c r="CA27" s="625">
        <v>10.0</v>
      </c>
      <c r="CB27" s="614"/>
      <c r="CC27" s="611">
        <v>1.0</v>
      </c>
      <c r="CD27" s="611">
        <v>2.0</v>
      </c>
      <c r="CE27" s="617">
        <f>IF(BT27="","",OFFSET(Biblioteca!$G$2,MATCH(BT27,Biblioteca!$A$3:$A$200,0),)*(1.05^(10-CA27)))</f>
        <v>8.081938266</v>
      </c>
      <c r="CF27" s="618"/>
      <c r="CG27" s="579"/>
      <c r="CH27" s="608">
        <f t="shared" si="18"/>
        <v>1</v>
      </c>
      <c r="CI27" s="619"/>
      <c r="CN27" s="620"/>
      <c r="CO27" s="618"/>
      <c r="CP27" s="618"/>
      <c r="CQ27" s="618"/>
      <c r="CR27" s="618"/>
      <c r="CS27" s="618"/>
      <c r="CT27" s="617" t="str">
        <f>IF(CI27="","",OFFSET(Biblioteca!$G$2,MATCH(CI27,Biblioteca!$A$3:$A$200,0),)*(1.05^(10-CP27)))</f>
        <v/>
      </c>
      <c r="CU27" s="618"/>
      <c r="CV27" s="579"/>
      <c r="CW27" s="608">
        <f t="shared" si="19"/>
        <v>1</v>
      </c>
      <c r="CX27" s="619"/>
      <c r="DC27" s="620"/>
      <c r="DD27" s="618"/>
      <c r="DE27" s="618"/>
      <c r="DF27" s="618"/>
      <c r="DG27" s="618"/>
      <c r="DH27" s="618"/>
      <c r="DI27" s="617" t="str">
        <f>IF(CX27="","",OFFSET(Biblioteca!$G$2,MATCH(CX27,Biblioteca!$A$3:$A$200,0),)*(1.05^(10-DE27)))</f>
        <v/>
      </c>
      <c r="DJ27" s="618"/>
      <c r="DK27" s="579"/>
    </row>
    <row r="28" ht="14.25" customHeight="1">
      <c r="A28" s="492" t="str">
        <f>"S "&amp;$AD2&amp;" - "&amp;TEXT(C12,"dd/mm")</f>
        <v>S 1 - 12/01</v>
      </c>
      <c r="B28" s="592" t="s">
        <v>289</v>
      </c>
      <c r="C28" s="541" t="str">
        <f>IF(C19="","",VLOOKUP(C18,'Dados de Base'!$D$10:$G$20,2,FALSE)&amp;" - "&amp;VLOOKUP(C19,'Dados de Base'!$D$10:$G$20,2,TRUE))</f>
        <v>105,5 - 116,2</v>
      </c>
      <c r="D28" s="541" t="str">
        <f>IF(D19="","",VLOOKUP(D18,'Dados de Base'!$D$10:$G$20,2,FALSE)&amp;" - "&amp;VLOOKUP(D19,'Dados de Base'!$D$10:$G$20,2,FALSE))</f>
        <v>#N/A</v>
      </c>
      <c r="E28" s="541" t="str">
        <f>IF(E19="","",VLOOKUP(E18,'Dados de Base'!$D$10:$G$20,2,FALSE)&amp;" - "&amp;VLOOKUP(E19,'Dados de Base'!$D$10:$G$20,2,FALSE))</f>
        <v/>
      </c>
      <c r="F28" s="541" t="str">
        <f>IF(F19="","",VLOOKUP(F18,'Dados de Base'!$D$10:$G$20,2,FALSE)&amp;" - "&amp;VLOOKUP(F19,'Dados de Base'!$D$10:$G$20,2,FALSE))</f>
        <v>#N/A</v>
      </c>
      <c r="G28" s="655" t="str">
        <f>IF(G19="","",VLOOKUP(G18,'Dados de Base'!$D$10:$G$20,2,FALSE)&amp;" - "&amp;VLOOKUP(G19,'Dados de Base'!$D$10:$G$20,2,FALSE))</f>
        <v>105,5 - 116,2</v>
      </c>
      <c r="H28" s="656" t="str">
        <f>IF(H19="","",VLOOKUP(H18,'Dados de Base'!$D$10:$G$20,2,FALSE)&amp;" - "&amp;VLOOKUP(H19,'Dados de Base'!$D$10:$G$20,2,FALSE))</f>
        <v/>
      </c>
      <c r="I28" s="593" t="str">
        <f>IF(I19="","",VLOOKUP(I18,'Dados de Base'!$D$10:$G$20,2,FALSE)&amp;" - "&amp;VLOOKUP(I19,'Dados de Base'!$D$10:$G$20,2,FALSE))</f>
        <v/>
      </c>
      <c r="J28" s="505"/>
      <c r="K28" s="608">
        <f t="shared" si="13"/>
        <v>4</v>
      </c>
      <c r="L28" s="609" t="s">
        <v>290</v>
      </c>
      <c r="Q28" s="610" t="s">
        <v>260</v>
      </c>
      <c r="R28" s="644">
        <v>4.0</v>
      </c>
      <c r="S28" s="644">
        <v>10.0</v>
      </c>
      <c r="T28" s="644">
        <v>45.0</v>
      </c>
      <c r="U28" s="644">
        <v>1.0</v>
      </c>
      <c r="V28" s="644">
        <v>2.0</v>
      </c>
      <c r="W28" s="639">
        <f>IF(L28="","",OFFSET(Biblioteca!$G$2,MATCH(L28,Biblioteca!$A$3:$A$200,0),)*(1.05^(10-S28)))</f>
        <v>0</v>
      </c>
      <c r="X28" s="640"/>
      <c r="Y28" s="632"/>
      <c r="Z28" s="641">
        <f t="shared" si="14"/>
        <v>4</v>
      </c>
      <c r="AA28" s="645" t="s">
        <v>291</v>
      </c>
      <c r="AF28" s="610" t="s">
        <v>260</v>
      </c>
      <c r="AG28" s="644">
        <v>4.0</v>
      </c>
      <c r="AH28" s="644">
        <v>10.0</v>
      </c>
      <c r="AI28" s="644">
        <v>45.0</v>
      </c>
      <c r="AJ28" s="644">
        <v>1.0</v>
      </c>
      <c r="AK28" s="644">
        <v>2.0</v>
      </c>
      <c r="AL28" s="639">
        <f>IF(AA28="","",OFFSET(Biblioteca!$G$2,MATCH(AA28,Biblioteca!$A$3:$A$200,0),)*(1.05^(10-AH28)))</f>
        <v>0</v>
      </c>
      <c r="AM28" s="640"/>
      <c r="AN28" s="632"/>
      <c r="AO28" s="641">
        <f t="shared" si="15"/>
        <v>1</v>
      </c>
      <c r="AP28" s="645"/>
      <c r="AU28" s="610"/>
      <c r="AV28" s="644"/>
      <c r="AW28" s="644"/>
      <c r="AX28" s="644"/>
      <c r="AY28" s="644"/>
      <c r="AZ28" s="644"/>
      <c r="BA28" s="639" t="str">
        <f>IF(AP28="","",OFFSET(Biblioteca!$G$2,MATCH(AP28,Biblioteca!$A$3:$A$200,0),)*(1.05^(10-AW28)))</f>
        <v/>
      </c>
      <c r="BB28" s="640"/>
      <c r="BC28" s="632"/>
      <c r="BD28" s="641">
        <f t="shared" si="16"/>
        <v>5</v>
      </c>
      <c r="BE28" s="609" t="s">
        <v>292</v>
      </c>
      <c r="BJ28" s="610" t="s">
        <v>260</v>
      </c>
      <c r="BK28" s="611">
        <v>4.0</v>
      </c>
      <c r="BL28" s="625">
        <v>10.0</v>
      </c>
      <c r="BM28" s="614"/>
      <c r="BN28" s="611">
        <v>1.0</v>
      </c>
      <c r="BO28" s="644">
        <v>2.0</v>
      </c>
      <c r="BP28" s="639">
        <f>IF(BE28="","",OFFSET(Biblioteca!$G$2,MATCH(BE28,Biblioteca!$A$3:$A$200,0),)*(1.05^(10-BL28)))</f>
        <v>8</v>
      </c>
      <c r="BQ28" s="640"/>
      <c r="BR28" s="632"/>
      <c r="BS28" s="641">
        <f t="shared" si="17"/>
        <v>4</v>
      </c>
      <c r="BT28" s="609" t="s">
        <v>290</v>
      </c>
      <c r="BY28" s="610" t="s">
        <v>260</v>
      </c>
      <c r="BZ28" s="644">
        <v>4.0</v>
      </c>
      <c r="CA28" s="644">
        <v>10.0</v>
      </c>
      <c r="CB28" s="644">
        <v>45.0</v>
      </c>
      <c r="CC28" s="644">
        <v>1.0</v>
      </c>
      <c r="CD28" s="644">
        <v>2.0</v>
      </c>
      <c r="CE28" s="617">
        <f>IF(BT28="","",OFFSET(Biblioteca!$G$2,MATCH(BT28,Biblioteca!$A$3:$A$200,0),)*(1.05^(10-CA28)))</f>
        <v>0</v>
      </c>
      <c r="CF28" s="618"/>
      <c r="CG28" s="579"/>
      <c r="CH28" s="608">
        <f t="shared" si="18"/>
        <v>1</v>
      </c>
      <c r="CI28" s="619"/>
      <c r="CN28" s="620"/>
      <c r="CO28" s="618"/>
      <c r="CP28" s="618"/>
      <c r="CQ28" s="618"/>
      <c r="CR28" s="618"/>
      <c r="CS28" s="618"/>
      <c r="CT28" s="617" t="str">
        <f>IF(CI28="","",OFFSET(Biblioteca!$G$2,MATCH(CI28,Biblioteca!$A$3:$A$200,0),)*(1.05^(10-CP28)))</f>
        <v/>
      </c>
      <c r="CU28" s="618"/>
      <c r="CV28" s="579"/>
      <c r="CW28" s="608">
        <f t="shared" si="19"/>
        <v>1</v>
      </c>
      <c r="CX28" s="619"/>
      <c r="DC28" s="620"/>
      <c r="DD28" s="618"/>
      <c r="DE28" s="618"/>
      <c r="DF28" s="618"/>
      <c r="DG28" s="618"/>
      <c r="DH28" s="618"/>
      <c r="DI28" s="617" t="str">
        <f>IF(CX28="","",OFFSET(Biblioteca!$G$2,MATCH(CX28,Biblioteca!$A$3:$A$200,0),)*(1.05^(10-DE28)))</f>
        <v/>
      </c>
      <c r="DJ28" s="618"/>
      <c r="DK28" s="579"/>
    </row>
    <row r="29" ht="14.25" customHeight="1">
      <c r="A29" s="492" t="str">
        <f>"S "&amp;$AD2&amp;" - "&amp;TEXT(C12,"dd/mm")</f>
        <v>S 1 - 12/01</v>
      </c>
      <c r="B29" s="592" t="s">
        <v>293</v>
      </c>
      <c r="C29" s="541" t="str">
        <f>IF(C19="","",VLOOKUP(C18,'Dados de Base'!$D$10:$G$20,4,FALSE)&amp;" - "&amp;VLOOKUP(C19,'Dados de Base'!$D$10:$G$20,4,TRUE))</f>
        <v>8,5 - 10,9</v>
      </c>
      <c r="D29" s="541" t="str">
        <f>IF(D19="","",VLOOKUP(D18,'Dados de Base'!$D$10:$G$20,4,FALSE)&amp;" - "&amp;VLOOKUP(D19,'Dados de Base'!$D$10:$G$20,4,FALSE))</f>
        <v>#N/A</v>
      </c>
      <c r="E29" s="541" t="str">
        <f>IF(E19="","",VLOOKUP(E18,'Dados de Base'!$D$10:$G$20,4,FALSE)&amp;" - "&amp;VLOOKUP(E19,'Dados de Base'!$D$10:$G$20,4,FALSE))</f>
        <v/>
      </c>
      <c r="F29" s="541" t="str">
        <f>IF(F19="","",VLOOKUP(F18,'Dados de Base'!$D$10:$G$20,4,FALSE)&amp;" - "&amp;VLOOKUP(F19,'Dados de Base'!$D$10:$G$20,4,FALSE))</f>
        <v>#N/A</v>
      </c>
      <c r="G29" s="655" t="str">
        <f>IF(G19="","",VLOOKUP(G18,'Dados de Base'!$D$10:$G$20,4,FALSE)&amp;" - "&amp;VLOOKUP(G19,'Dados de Base'!$D$10:$G$20,4,FALSE))</f>
        <v>8,5 - 10,9</v>
      </c>
      <c r="H29" s="656" t="str">
        <f>IF(H19="","",VLOOKUP(H18,'Dados de Base'!$D$10:$G$20,4,FALSE)&amp;" - "&amp;VLOOKUP(H19,'Dados de Base'!$D$10:$G$20,4,FALSE))</f>
        <v/>
      </c>
      <c r="I29" s="593" t="str">
        <f>IF(I19="","",VLOOKUP(I18,'Dados de Base'!$D$10:$G$20,4,FALSE)&amp;" - "&amp;VLOOKUP(I19,'Dados de Base'!$D$10:$G$20,4,FALSE))</f>
        <v/>
      </c>
      <c r="J29" s="505"/>
      <c r="K29" s="608">
        <f t="shared" si="13"/>
        <v>5</v>
      </c>
      <c r="L29" s="642" t="s">
        <v>294</v>
      </c>
      <c r="Q29" s="610" t="s">
        <v>260</v>
      </c>
      <c r="R29" s="611">
        <v>4.0</v>
      </c>
      <c r="S29" s="625">
        <v>10.0</v>
      </c>
      <c r="T29" s="614"/>
      <c r="U29" s="611">
        <v>1.0</v>
      </c>
      <c r="V29" s="611">
        <v>2.0</v>
      </c>
      <c r="W29" s="639">
        <f>IF(L29="","",OFFSET(Biblioteca!$G$2,MATCH(L29,Biblioteca!$A$3:$A$200,0),)*(1.05^(10-S29)))</f>
        <v>8.379</v>
      </c>
      <c r="X29" s="640"/>
      <c r="Y29" s="632"/>
      <c r="Z29" s="641">
        <f t="shared" si="14"/>
        <v>5</v>
      </c>
      <c r="AA29" s="645" t="s">
        <v>295</v>
      </c>
      <c r="AF29" s="610" t="s">
        <v>260</v>
      </c>
      <c r="AG29" s="611">
        <v>4.0</v>
      </c>
      <c r="AH29" s="625">
        <v>10.0</v>
      </c>
      <c r="AI29" s="614"/>
      <c r="AJ29" s="611">
        <v>1.0</v>
      </c>
      <c r="AK29" s="611">
        <v>2.0</v>
      </c>
      <c r="AL29" s="639">
        <f>IF(AA29="","",OFFSET(Biblioteca!$G$2,MATCH(AA29,Biblioteca!$A$3:$A$200,0),)*(1.05^(10-AH29)))</f>
        <v>19</v>
      </c>
      <c r="AM29" s="640"/>
      <c r="AN29" s="632"/>
      <c r="AO29" s="641">
        <f t="shared" si="15"/>
        <v>1</v>
      </c>
      <c r="AP29" s="645"/>
      <c r="AU29" s="610"/>
      <c r="AV29" s="611"/>
      <c r="AW29" s="611"/>
      <c r="AX29" s="614"/>
      <c r="AY29" s="611"/>
      <c r="AZ29" s="644"/>
      <c r="BA29" s="639" t="str">
        <f>IF(AP29="","",OFFSET(Biblioteca!$G$2,MATCH(AP29,Biblioteca!$A$3:$A$200,0),)*(1.05^(10-AW29)))</f>
        <v/>
      </c>
      <c r="BB29" s="640"/>
      <c r="BC29" s="632"/>
      <c r="BD29" s="641">
        <f t="shared" si="16"/>
        <v>5</v>
      </c>
      <c r="BE29" s="643" t="s">
        <v>296</v>
      </c>
      <c r="BJ29" s="610" t="s">
        <v>260</v>
      </c>
      <c r="BK29" s="644">
        <v>4.0</v>
      </c>
      <c r="BL29" s="646">
        <v>10.0</v>
      </c>
      <c r="BM29" s="644">
        <v>45.0</v>
      </c>
      <c r="BN29" s="644">
        <v>1.0</v>
      </c>
      <c r="BO29" s="644">
        <v>2.0</v>
      </c>
      <c r="BP29" s="639">
        <f>IF(BE29="","",OFFSET(Biblioteca!$G$2,MATCH(BE29,Biblioteca!$A$3:$A$200,0),)*(1.05^(10-BL29)))</f>
        <v>8.041155691</v>
      </c>
      <c r="BQ29" s="640"/>
      <c r="BR29" s="632"/>
      <c r="BS29" s="641">
        <f t="shared" si="17"/>
        <v>5</v>
      </c>
      <c r="BT29" s="609" t="s">
        <v>297</v>
      </c>
      <c r="BY29" s="610" t="s">
        <v>260</v>
      </c>
      <c r="BZ29" s="611">
        <v>4.0</v>
      </c>
      <c r="CA29" s="625">
        <v>10.0</v>
      </c>
      <c r="CB29" s="614"/>
      <c r="CC29" s="611">
        <v>1.0</v>
      </c>
      <c r="CD29" s="611">
        <v>2.0</v>
      </c>
      <c r="CE29" s="617">
        <f>IF(BT29="","",OFFSET(Biblioteca!$G$2,MATCH(BT29,Biblioteca!$A$3:$A$200,0),)*(1.05^(10-CA29)))</f>
        <v>7.053645343</v>
      </c>
      <c r="CF29" s="618"/>
      <c r="CG29" s="588"/>
      <c r="CH29" s="608">
        <f t="shared" si="18"/>
        <v>1</v>
      </c>
      <c r="CI29" s="619"/>
      <c r="CN29" s="620"/>
      <c r="CO29" s="618"/>
      <c r="CP29" s="618"/>
      <c r="CQ29" s="618"/>
      <c r="CR29" s="618"/>
      <c r="CS29" s="618"/>
      <c r="CT29" s="617" t="str">
        <f>IF(CI29="","",OFFSET(Biblioteca!$G$2,MATCH(CI29,Biblioteca!$A$3:$A$200,0),)*(1.05^(10-CP29)))</f>
        <v/>
      </c>
      <c r="CU29" s="618"/>
      <c r="CV29" s="588"/>
      <c r="CW29" s="608">
        <f t="shared" si="19"/>
        <v>1</v>
      </c>
      <c r="CX29" s="619"/>
      <c r="DC29" s="620"/>
      <c r="DD29" s="618"/>
      <c r="DE29" s="618"/>
      <c r="DF29" s="618"/>
      <c r="DG29" s="618"/>
      <c r="DH29" s="618"/>
      <c r="DI29" s="617" t="str">
        <f>IF(CX29="","",OFFSET(Biblioteca!$G$2,MATCH(CX29,Biblioteca!$A$3:$A$200,0),)*(1.05^(10-DE29)))</f>
        <v/>
      </c>
      <c r="DJ29" s="618"/>
      <c r="DK29" s="588"/>
    </row>
    <row r="30">
      <c r="A30" s="492" t="str">
        <f>"S "&amp;$AD2&amp;" - "&amp;TEXT(C12,"dd/mm")</f>
        <v>S 1 - 12/01</v>
      </c>
      <c r="B30" s="592" t="s">
        <v>298</v>
      </c>
      <c r="C30" s="657" t="str">
        <f>IFS(C17="","",OR(C17="CEXT",C17="CINT"),"Mantenha "&amp;(C15/C21)-3&amp;"-"&amp;(C15/C21)&amp;"min em intensidade constante com frequência cardíaca entre "&amp;C28&amp;" bpm ("&amp;C18*100&amp;" - "&amp;C19*100&amp;"% VO2Máx"&amp;IF(C16="Esteira", " -&gt; "&amp;C29&amp;"km/h",IF(C16="Pista", " -&gt; "&amp;C29&amp;"km/h "&amp;"Pace de "&amp;C32&amp;"min/km",""))&amp;")",OR(C17="IEXT",C17="IINT"),C22&amp;"x ("&amp;IF(C23&gt;=60,INT(C23/60)&amp;"m ","")&amp;IF((C23/60)-INT(C23/60)&gt;0,((C23/60)-INT(C23/60))*60&amp;"s ","")&amp;IF(C19=1.2,"all out","a "&amp;C28&amp;" bpm"&amp;IF(C16="Esteira", "-&gt; "&amp;C29&amp;"km/h",IF(C16="Pista", " -&gt; "&amp;C29&amp;"km/h "&amp;"Pace de "&amp;C32&amp;"min/km","")))&amp;IF(C24=0,""," + "&amp;IF(C24/60&gt;=1,INT(C24/60)&amp;"m ","")&amp;IF((C24/60)-INT(C24/60)&gt;0,((C24/60)-INT(C24/60))*60&amp;"s ","")&amp;IFS(C25=0," repouso",C25&lt;0.5," leve",TRUE," a "&amp;VLOOKUP(C25,'Dados de Base'!$D$10:$G$20,2,FALSE)&amp;" bpm"&amp;IF(C16="Esteira", "-&gt; "&amp;VLOOKUP(C25,'Dados de Base'!$D$10:$G$20,4,FALSE)&amp;"km/h",IF(C16="Pista", " -&gt; "&amp;C29&amp;"km/h "&amp;"Pace de "&amp;C32&amp;"min/km",""))))&amp;")")&amp;C31</f>
        <v>Mantenha 22-25min em intensidade constante com frequência cardíaca entre 105,5 - 116,2 bpm (50 - 60% VO2Máx -&gt; 8,5 - 10,9km/h)</v>
      </c>
      <c r="D30" s="657" t="str">
        <f>IFS(D17="","",OR(D17="CEXT",D17="CINT"),"Mantenha "&amp;(D15/D21)-3&amp;"-"&amp;(D15/D21)&amp;"min em intensidade constante com frequência cardíaca entre "&amp;D28&amp;" bpm ("&amp;D18*100&amp;" - "&amp;D19*100&amp;"% VO2Máx"&amp;IF(D16="Esteira", " -&gt; "&amp;D29&amp;"km/h",IF(D16="Pista", " -&gt; "&amp;D29&amp;"km/h "&amp;"Pace de "&amp;D32&amp;"min/km",""))&amp;")",OR(D17="IEXT",D17="IINT"),D22&amp;"x ("&amp;IF(D23&gt;=60,INT(D23/60)&amp;"m ","")&amp;IF((D23/60)-INT(D23/60)&gt;0,((D23/60)-INT(D23/60))*60&amp;"s ","")&amp;IF(D19=1.2,"all out","a "&amp;D28&amp;" bpm"&amp;IF(D16="Esteira", "-&gt; "&amp;D29&amp;"km/h",IF(D16="Pista", " -&gt; "&amp;D29&amp;"km/h "&amp;"Pace de "&amp;D32&amp;"min/km","")))&amp;IF(D24=0,""," + "&amp;IF(D24/60&gt;=1,INT(D24/60)&amp;"m ","")&amp;IF((D24/60)-INT(D24/60)&gt;0,((D24/60)-INT(D24/60))*60&amp;"s ","")&amp;IFS(D25=0," repouso",D25&lt;0.5," leve",TRUE," a "&amp;VLOOKUP(D25,'Dados de Base'!$D$10:$G$20,2,FALSE)&amp;" bpm"&amp;IF(D16="Esteira", "-&gt; "&amp;VLOOKUP(D25,'Dados de Base'!$D$10:$G$20,4,FALSE)&amp;"km/h",IF(D16="Pista", " -&gt; "&amp;D29&amp;"km/h "&amp;"Pace de "&amp;D32&amp;"min/km",""))))&amp;")")&amp;D31</f>
        <v>5x (45s all out + 15s  repouso)</v>
      </c>
      <c r="E30" s="657" t="str">
        <f>IFS(E17="","",OR(E17="CEXT",E17="CINT"),"Mantenha "&amp;(E15/E21)-3&amp;"-"&amp;(E15/E21)&amp;"min em intensidade constante com frequência cardíaca entre "&amp;E28&amp;" bpm ("&amp;E18*100&amp;" - "&amp;E19*100&amp;"% VO2Máx"&amp;IF(E16="Esteira", " -&gt; "&amp;E29&amp;"km/h",IF(E16="Pista", " -&gt; "&amp;E29&amp;"km/h "&amp;"Pace de "&amp;E32&amp;"min/km",""))&amp;")",OR(E17="IEXT",E17="IINT"),E22&amp;"x ("&amp;IF(E23&gt;=60,INT(E23/60)&amp;"m ","")&amp;IF((E23/60)-INT(E23/60)&gt;0,((E23/60)-INT(E23/60))*60&amp;"s ","")&amp;IF(E19=1.2,"all out","a "&amp;E28&amp;" bpm"&amp;IF(E16="Esteira", "-&gt; "&amp;E29&amp;"km/h",IF(E16="Pista", " -&gt; "&amp;E29&amp;"km/h "&amp;"Pace de "&amp;E32&amp;"min/km","")))&amp;IF(E24=0,""," + "&amp;IF(E24/60&gt;=1,INT(E24/60)&amp;"m ","")&amp;IF((E24/60)-INT(E24/60)&gt;0,((E24/60)-INT(E24/60))*60&amp;"s ","")&amp;IFS(E25=0," repouso",E25&lt;0.5," leve",TRUE," a "&amp;VLOOKUP(E25,'Dados de Base'!$D$10:$G$20,2,FALSE)&amp;" bpm"&amp;IF(E16="Esteira", "-&gt; "&amp;VLOOKUP(E25,'Dados de Base'!$D$10:$G$20,4,FALSE)&amp;"km/h",IF(E16="Pista", " -&gt; "&amp;E29&amp;"km/h "&amp;"Pace de "&amp;E32&amp;"min/km",""))))&amp;")")&amp;E31</f>
        <v>- Correr 15 km no menor tempo possível.
</v>
      </c>
      <c r="F30" s="657" t="str">
        <f>IFS(F17="","",OR(F17="CEXT",F17="CINT"),"Mantenha "&amp;(F15/F21)-3&amp;"-"&amp;(F15/F21)&amp;"min em intensidade constante com frequência cardíaca entre "&amp;F28&amp;" bpm ("&amp;F18*100&amp;" - "&amp;F19*100&amp;"% VO2Máx"&amp;IF(F16="Esteira", " -&gt; "&amp;F29&amp;"km/h",IF(F16="Pista", " -&gt; "&amp;F29&amp;"km/h "&amp;"Pace de "&amp;F32&amp;"min/km",""))&amp;")",OR(F17="IEXT",F17="IINT"),F22&amp;"x ("&amp;IF(F23&gt;=60,INT(F23/60)&amp;"m ","")&amp;IF((F23/60)-INT(F23/60)&gt;0,((F23/60)-INT(F23/60))*60&amp;"s ","")&amp;IF(F19=1.2,"all out","a "&amp;F28&amp;" bpm"&amp;IF(F16="Esteira", "-&gt; "&amp;F29&amp;"km/h",IF(F16="Pista", " -&gt; "&amp;F29&amp;"km/h "&amp;"Pace de "&amp;F32&amp;"min/km","")))&amp;IF(F24=0,""," + "&amp;IF(F24/60&gt;=1,INT(F24/60)&amp;"m ","")&amp;IF((F24/60)-INT(F24/60)&gt;0,((F24/60)-INT(F24/60))*60&amp;"s ","")&amp;IFS(F25=0," repouso",F25&lt;0.5," leve",TRUE," a "&amp;VLOOKUP(F25,'Dados de Base'!$D$10:$G$20,2,FALSE)&amp;" bpm"&amp;IF(F16="Esteira", "-&gt; "&amp;VLOOKUP(F25,'Dados de Base'!$D$10:$G$20,4,FALSE)&amp;"km/h",IF(F16="Pista", " -&gt; "&amp;F29&amp;"km/h "&amp;"Pace de "&amp;F32&amp;"min/km",""))))&amp;")")&amp;F31</f>
        <v>1x (3m all out)</v>
      </c>
      <c r="G30" s="658" t="str">
        <f>IFS(G17="","",OR(G17="CEXT",G17="CINT"),"Mantenha "&amp;(G15/G21)-3&amp;"-"&amp;(G15/G21)&amp;"min em intensidade constante com frequência cardíaca entre "&amp;G28&amp;" bpm ("&amp;G18*100&amp;" - "&amp;G19*100&amp;"% VO2Máx"&amp;IF(G16="Esteira", " -&gt; "&amp;G29&amp;"km/h",IF(G16="Pista", " -&gt; "&amp;G29&amp;"km/h "&amp;"Pace de "&amp;G32&amp;"min/km",""))&amp;")",OR(G17="IEXT",G17="IINT"),G22&amp;"x ("&amp;IF(G23&gt;=60,INT(G23/60)&amp;"m ","")&amp;IF((G23/60)-INT(G23/60)&gt;0,((G23/60)-INT(G23/60))*60&amp;"s ","")&amp;IF(G19=1.2,"all out","a "&amp;G28&amp;" bpm"&amp;IF(G16="Esteira", "-&gt; "&amp;G29&amp;"km/h",IF(G16="Pista", " -&gt; "&amp;G29&amp;"km/h "&amp;"Pace de "&amp;G32&amp;"min/km","")))&amp;IF(G24=0,""," + "&amp;IF(G24/60&gt;=1,INT(G24/60)&amp;"m ","")&amp;IF((G24/60)-INT(G24/60)&gt;0,((G24/60)-INT(G24/60))*60&amp;"s ","")&amp;IFS(G25=0," repouso",G25&lt;0.5," leve",TRUE," a "&amp;VLOOKUP(G25,'Dados de Base'!$D$10:$G$20,2,FALSE)&amp;" bpm"&amp;IF(G16="Esteira", "-&gt; "&amp;VLOOKUP(G25,'Dados de Base'!$D$10:$G$20,4,FALSE)&amp;"km/h",IF(G16="Pista", " -&gt; "&amp;G29&amp;"km/h "&amp;"Pace de "&amp;G32&amp;"min/km",""))))&amp;")")&amp;G31</f>
        <v>Mantenha 32-35min em intensidade constante com frequência cardíaca entre 105,5 - 116,2 bpm (50 - 60% VO2Máx -&gt; 8,5 - 10,9km/h)</v>
      </c>
      <c r="H30" s="658" t="str">
        <f>IFS(H17="","",OR(H17="CEXT",H17="CINT"),"Mantenha "&amp;(H15/H21)-3&amp;"-"&amp;(H15/H21)&amp;"min em intensidade constante com frequência cardíaca entre "&amp;H28&amp;" bpm ("&amp;H18*100&amp;" - "&amp;H19*100&amp;"% VO2Máx"&amp;IF(H16="Esteira", " -&gt; "&amp;H29&amp;"km/h",IF(H16="Pista", " -&gt; "&amp;H29&amp;"km/h "&amp;"Pace de "&amp;H32&amp;"min/km",""))&amp;")",OR(H17="IEXT",H17="IINT"),H22&amp;"x ("&amp;IF(H23&gt;=60,INT(H23/60)&amp;"m ","")&amp;IF((H23/60)-INT(H23/60)&gt;0,((H23/60)-INT(H23/60))*60&amp;"s ","")&amp;IF(H19=1.2,"all out","a "&amp;H28&amp;" bpm"&amp;IF(H16="Esteira", "-&gt; "&amp;H29&amp;"km/h",IF(H16="Pista", " -&gt; "&amp;H29&amp;"km/h "&amp;"Pace de "&amp;H32&amp;"min/km","")))&amp;IF(H24=0,""," + "&amp;IF(H24/60&gt;=1,INT(H24/60)&amp;"m ","")&amp;IF((H24/60)-INT(H24/60)&gt;0,((H24/60)-INT(H24/60))*60&amp;"s ","")&amp;IFS(H25=0," repouso",H25&lt;0.5," leve",TRUE," a "&amp;VLOOKUP(H25,'Dados de Base'!$D$10:$G$20,2,FALSE)&amp;" bpm"&amp;IF(H16="Esteira", "-&gt; "&amp;VLOOKUP(H25,'Dados de Base'!$D$10:$G$20,4,FALSE)&amp;"km/h",IF(H16="Pista", " -&gt; "&amp;H29&amp;"km/h "&amp;"Pace de "&amp;H32&amp;"min/km",""))))&amp;")")&amp;H31</f>
        <v>***TRAJETO***
- 2 km à 11,0km/h;
- 25km à 12,5 km/h;
- 2 km All out </v>
      </c>
      <c r="I30" s="657" t="str">
        <f>IFS(I17="","",OR(I17="CEXT",I17="CINT"),"Mantenha "&amp;(I15/I21)-3&amp;"-"&amp;(I15/I21)&amp;"min em intensidade constante com frequência cardíaca entre "&amp;I28&amp;" bpm ("&amp;I18*100&amp;" - "&amp;I19*100&amp;"% VO2Máx"&amp;IF(I16="Esteira", " -&gt; "&amp;I29&amp;"km/h",IF(I16="Pista", " -&gt; "&amp;I29&amp;"km/h "&amp;"Pace de "&amp;I32&amp;"min/km",""))&amp;")",OR(I17="IEXT",I17="IINT"),I22&amp;"x ("&amp;IF(I23&gt;=60,INT(I23/60)&amp;"m ","")&amp;IF((I23/60)-INT(I23/60)&gt;0,((I23/60)-INT(I23/60))*60&amp;"s ","")&amp;IF(I19=1.2,"all out","a "&amp;I28&amp;" bpm"&amp;IF(I16="Esteira", "-&gt; "&amp;I29&amp;"km/h",IF(I16="Pista", " -&gt; "&amp;I29&amp;"km/h "&amp;"Pace de "&amp;I32&amp;"min/km","")))&amp;IF(I24=0,""," + "&amp;IF(I24/60&gt;=1,INT(I24/60)&amp;"m ","")&amp;IF((I24/60)-INT(I24/60)&gt;0,((I24/60)-INT(I24/60))*60&amp;"s ","")&amp;IFS(I25=0," repouso",I25&lt;0.5," leve",TRUE," a "&amp;VLOOKUP(I25,'Dados de Base'!$D$10:$G$20,2,FALSE)&amp;" bpm"&amp;IF(I16="Esteira", "-&gt; "&amp;VLOOKUP(I25,'Dados de Base'!$D$10:$G$20,4,FALSE)&amp;"km/h",IF(I16="Pista", " -&gt; "&amp;I29&amp;"km/h "&amp;"Pace de "&amp;I32&amp;"min/km",""))))&amp;")")&amp;I31</f>
        <v/>
      </c>
      <c r="J30" s="659"/>
      <c r="K30" s="608">
        <f t="shared" si="13"/>
        <v>5</v>
      </c>
      <c r="L30" s="609" t="s">
        <v>299</v>
      </c>
      <c r="Q30" s="610" t="s">
        <v>260</v>
      </c>
      <c r="R30" s="644">
        <v>4.0</v>
      </c>
      <c r="S30" s="644">
        <v>10.0</v>
      </c>
      <c r="T30" s="644">
        <v>60.0</v>
      </c>
      <c r="U30" s="644">
        <v>1.0</v>
      </c>
      <c r="V30" s="644">
        <v>2.0</v>
      </c>
      <c r="W30" s="639">
        <f>IF(L30="","",OFFSET(Biblioteca!$G$2,MATCH(L30,Biblioteca!$A$3:$A$200,0),)*(1.05^(10-S30)))</f>
        <v>20</v>
      </c>
      <c r="X30" s="640"/>
      <c r="Y30" s="632"/>
      <c r="Z30" s="641">
        <f t="shared" si="14"/>
        <v>5</v>
      </c>
      <c r="AA30" s="643" t="s">
        <v>300</v>
      </c>
      <c r="AF30" s="610" t="s">
        <v>260</v>
      </c>
      <c r="AG30" s="644">
        <v>4.0</v>
      </c>
      <c r="AH30" s="646">
        <v>10.0</v>
      </c>
      <c r="AI30" s="644">
        <v>60.0</v>
      </c>
      <c r="AJ30" s="644">
        <v>1.0</v>
      </c>
      <c r="AK30" s="644">
        <v>2.0</v>
      </c>
      <c r="AL30" s="639">
        <f>IF(AA30="","",OFFSET(Biblioteca!$G$2,MATCH(AA30,Biblioteca!$A$3:$A$200,0),)*(1.05^(10-AH30)))</f>
        <v>7.6</v>
      </c>
      <c r="AM30" s="640"/>
      <c r="AN30" s="632"/>
      <c r="AO30" s="641">
        <f t="shared" si="15"/>
        <v>1</v>
      </c>
      <c r="AP30" s="645"/>
      <c r="AU30" s="610"/>
      <c r="AV30" s="644"/>
      <c r="AW30" s="644"/>
      <c r="AX30" s="644"/>
      <c r="AY30" s="644"/>
      <c r="AZ30" s="644"/>
      <c r="BA30" s="639" t="str">
        <f>IF(AP30="","",OFFSET(Biblioteca!$G$2,MATCH(AP30,Biblioteca!$A$3:$A$200,0),)*(1.05^(10-AW30)))</f>
        <v/>
      </c>
      <c r="BB30" s="640"/>
      <c r="BC30" s="632"/>
      <c r="BD30" s="641">
        <f t="shared" si="16"/>
        <v>6</v>
      </c>
      <c r="BE30" s="645" t="s">
        <v>301</v>
      </c>
      <c r="BJ30" s="610" t="s">
        <v>260</v>
      </c>
      <c r="BK30" s="611">
        <v>4.0</v>
      </c>
      <c r="BL30" s="611">
        <v>14.0</v>
      </c>
      <c r="BM30" s="614"/>
      <c r="BN30" s="611">
        <v>1.0</v>
      </c>
      <c r="BO30" s="644">
        <v>2.0</v>
      </c>
      <c r="BP30" s="639">
        <f>IF(BE30="","",OFFSET(Biblioteca!$G$2,MATCH(BE30,Biblioteca!$A$3:$A$200,0),)*(1.05^(10-BL30)))</f>
        <v>0</v>
      </c>
      <c r="BQ30" s="640"/>
      <c r="BR30" s="632"/>
      <c r="BS30" s="641">
        <f t="shared" si="17"/>
        <v>5</v>
      </c>
      <c r="BT30" s="609" t="s">
        <v>299</v>
      </c>
      <c r="BY30" s="610" t="s">
        <v>260</v>
      </c>
      <c r="BZ30" s="644">
        <v>4.0</v>
      </c>
      <c r="CA30" s="644">
        <v>10.0</v>
      </c>
      <c r="CB30" s="644">
        <v>60.0</v>
      </c>
      <c r="CC30" s="644">
        <v>1.0</v>
      </c>
      <c r="CD30" s="644">
        <v>2.0</v>
      </c>
      <c r="CE30" s="617">
        <f>IF(BT30="","",OFFSET(Biblioteca!$G$2,MATCH(BT30,Biblioteca!$A$3:$A$200,0),)*(1.05^(10-CA30)))</f>
        <v>20</v>
      </c>
      <c r="CF30" s="618"/>
      <c r="CG30" s="579"/>
      <c r="CH30" s="608">
        <f t="shared" si="18"/>
        <v>1</v>
      </c>
      <c r="CI30" s="619"/>
      <c r="CN30" s="620"/>
      <c r="CO30" s="618"/>
      <c r="CP30" s="618"/>
      <c r="CQ30" s="618"/>
      <c r="CR30" s="618"/>
      <c r="CS30" s="618"/>
      <c r="CT30" s="617" t="str">
        <f>IF(CI30="","",OFFSET(Biblioteca!$G$2,MATCH(CI30,Biblioteca!$A$3:$A$200,0),)*(1.05^(10-CP30)))</f>
        <v/>
      </c>
      <c r="CU30" s="618"/>
      <c r="CV30" s="579"/>
      <c r="CW30" s="608">
        <f t="shared" si="19"/>
        <v>1</v>
      </c>
      <c r="CX30" s="619"/>
      <c r="DC30" s="620"/>
      <c r="DD30" s="618"/>
      <c r="DE30" s="618"/>
      <c r="DF30" s="618"/>
      <c r="DG30" s="618"/>
      <c r="DH30" s="618"/>
      <c r="DI30" s="617" t="str">
        <f>IF(CX30="","",OFFSET(Biblioteca!$G$2,MATCH(CX30,Biblioteca!$A$3:$A$200,0),)*(1.05^(10-DE30)))</f>
        <v/>
      </c>
      <c r="DJ30" s="618"/>
      <c r="DK30" s="579"/>
    </row>
    <row r="31" ht="57.75" customHeight="1">
      <c r="A31" s="492" t="str">
        <f>"S "&amp;$AD2&amp;" - "&amp;TEXT(C12,"dd/mm")</f>
        <v>S 1 - 12/01</v>
      </c>
      <c r="B31" s="647" t="s">
        <v>302</v>
      </c>
      <c r="C31" s="660"/>
      <c r="D31" s="661"/>
      <c r="E31" s="662" t="s">
        <v>303</v>
      </c>
      <c r="F31" s="660"/>
      <c r="G31" s="601"/>
      <c r="H31" s="662" t="s">
        <v>304</v>
      </c>
      <c r="I31" s="600"/>
      <c r="J31" s="505"/>
      <c r="K31" s="608">
        <f t="shared" si="13"/>
        <v>6</v>
      </c>
      <c r="L31" s="663" t="s">
        <v>232</v>
      </c>
      <c r="Q31" s="664"/>
      <c r="R31" s="640"/>
      <c r="S31" s="640"/>
      <c r="T31" s="640"/>
      <c r="U31" s="640"/>
      <c r="V31" s="640"/>
      <c r="W31" s="665">
        <f>IF(L31="","",OFFSET(Biblioteca!$G$2,MATCH(L31,Biblioteca!$A$3:$A$200,0),)*(1.05^(10-S31)))</f>
        <v>0</v>
      </c>
      <c r="X31" s="640"/>
      <c r="Y31" s="632"/>
      <c r="Z31" s="641">
        <f t="shared" si="14"/>
        <v>6</v>
      </c>
      <c r="AA31" s="663" t="s">
        <v>233</v>
      </c>
      <c r="AF31" s="664"/>
      <c r="AG31" s="640"/>
      <c r="AH31" s="640"/>
      <c r="AI31" s="640"/>
      <c r="AJ31" s="640"/>
      <c r="AK31" s="640"/>
      <c r="AL31" s="665">
        <f>IF(AA31="","",OFFSET(Biblioteca!$G$2,MATCH(AA31,Biblioteca!$A$3:$A$200,0),)*(1.05^(10-AH31)))</f>
        <v>0</v>
      </c>
      <c r="AM31" s="640"/>
      <c r="AN31" s="632"/>
      <c r="AO31" s="641">
        <f t="shared" si="15"/>
        <v>1</v>
      </c>
      <c r="AP31" s="664"/>
      <c r="AU31" s="664"/>
      <c r="AV31" s="640"/>
      <c r="AW31" s="640"/>
      <c r="AX31" s="640"/>
      <c r="AY31" s="640"/>
      <c r="AZ31" s="640"/>
      <c r="BA31" s="665" t="str">
        <f>IF(AP31="","",OFFSET(Biblioteca!$G$2,MATCH(AP31,Biblioteca!$A$3:$A$200,0),)*(1.05^(10-AW31)))</f>
        <v/>
      </c>
      <c r="BB31" s="640"/>
      <c r="BC31" s="632"/>
      <c r="BD31" s="641">
        <f t="shared" si="16"/>
        <v>6</v>
      </c>
      <c r="BE31" s="645" t="s">
        <v>305</v>
      </c>
      <c r="BJ31" s="610" t="s">
        <v>260</v>
      </c>
      <c r="BK31" s="644">
        <v>4.0</v>
      </c>
      <c r="BL31" s="646">
        <v>10.0</v>
      </c>
      <c r="BM31" s="644">
        <v>45.0</v>
      </c>
      <c r="BN31" s="644">
        <v>1.0</v>
      </c>
      <c r="BO31" s="644">
        <v>2.0</v>
      </c>
      <c r="BP31" s="665">
        <f>IF(BE31="","",OFFSET(Biblioteca!$G$2,MATCH(BE31,Biblioteca!$A$3:$A$200,0),)*(1.05^(10-BL31)))</f>
        <v>11.025</v>
      </c>
      <c r="BQ31" s="640"/>
      <c r="BR31" s="632"/>
      <c r="BS31" s="641">
        <f t="shared" si="17"/>
        <v>6</v>
      </c>
      <c r="BT31" s="663" t="s">
        <v>232</v>
      </c>
      <c r="BY31" s="664"/>
      <c r="BZ31" s="640"/>
      <c r="CA31" s="640"/>
      <c r="CB31" s="640"/>
      <c r="CC31" s="640"/>
      <c r="CD31" s="640"/>
      <c r="CE31" s="617">
        <f>IF(BT31="","",OFFSET(Biblioteca!$G$2,MATCH(BT31,Biblioteca!$A$3:$A$200,0),)*(1.05^(10-CA31)))</f>
        <v>0</v>
      </c>
      <c r="CF31" s="618"/>
      <c r="CG31" s="588"/>
      <c r="CH31" s="608">
        <f t="shared" si="18"/>
        <v>1</v>
      </c>
      <c r="CI31" s="619"/>
      <c r="CN31" s="620"/>
      <c r="CO31" s="618"/>
      <c r="CP31" s="618"/>
      <c r="CQ31" s="618"/>
      <c r="CR31" s="618"/>
      <c r="CS31" s="618"/>
      <c r="CT31" s="617" t="str">
        <f>IF(CI31="","",OFFSET(Biblioteca!$G$2,MATCH(CI31,Biblioteca!$A$3:$A$200,0),)*(1.05^(10-CP31)))</f>
        <v/>
      </c>
      <c r="CU31" s="618"/>
      <c r="CV31" s="588"/>
      <c r="CW31" s="608">
        <f t="shared" si="19"/>
        <v>1</v>
      </c>
      <c r="CX31" s="619"/>
      <c r="DC31" s="620"/>
      <c r="DD31" s="618"/>
      <c r="DE31" s="618"/>
      <c r="DF31" s="618"/>
      <c r="DG31" s="618"/>
      <c r="DH31" s="618"/>
      <c r="DI31" s="617" t="str">
        <f>IF(CX31="","",OFFSET(Biblioteca!$G$2,MATCH(CX31,Biblioteca!$A$3:$A$200,0),)*(1.05^(10-DE31)))</f>
        <v/>
      </c>
      <c r="DJ31" s="618"/>
      <c r="DK31" s="588"/>
    </row>
    <row r="32" ht="14.25" customHeight="1">
      <c r="A32" s="492" t="str">
        <f>"S "&amp;$AD2&amp;" - "&amp;TEXT(C12,"dd/mm")</f>
        <v>S 1 - 12/01</v>
      </c>
      <c r="B32" s="666" t="s">
        <v>306</v>
      </c>
      <c r="C32" s="667" t="str">
        <f>IF(C19="","",ROUND(VLOOKUP(C18,'Dados de Base'!$D$10:$H$20,5,FALSE),1)&amp;" - "&amp;ROUND(VLOOKUP(C19,'Dados de Base'!$D$10:$H$20,5,TRUE),1))</f>
        <v>7,1 - 5,5</v>
      </c>
      <c r="D32" s="667" t="str">
        <f>IF(D19="","",ROUND(VLOOKUP(D18,'Dados de Base'!$D$10:$H$20,5,FALSE),1)&amp;" - "&amp;ROUND(VLOOKUP(D19,'Dados de Base'!$D$10:$H$20,5,TRUE),1))</f>
        <v>#N/A</v>
      </c>
      <c r="E32" s="667" t="str">
        <f>IF(E19="","",ROUND(VLOOKUP(E18,'Dados de Base'!$D$10:$H$20,5,FALSE),1)&amp;" - "&amp;ROUND(VLOOKUP(E19,'Dados de Base'!$D$10:$H$20,5,TRUE),1))</f>
        <v/>
      </c>
      <c r="F32" s="667" t="str">
        <f>IF(F19="","",ROUND(VLOOKUP(F18,'Dados de Base'!$D$10:$H$20,5,FALSE),1)&amp;" - "&amp;ROUND(VLOOKUP(F19,'Dados de Base'!$D$10:$H$20,5,TRUE),1))</f>
        <v>#N/A</v>
      </c>
      <c r="G32" s="667" t="str">
        <f>IF(G19="","",ROUND(VLOOKUP(G18,'Dados de Base'!$D$10:$H$20,5,FALSE),1)&amp;" - "&amp;ROUND(VLOOKUP(G19,'Dados de Base'!$D$10:$H$20,5,TRUE),1))</f>
        <v>7,1 - 5,5</v>
      </c>
      <c r="H32" s="667" t="str">
        <f>IF(H19="","",ROUND(VLOOKUP(H18,'Dados de Base'!$D$10:$H$20,5,FALSE),1)&amp;" - "&amp;ROUND(VLOOKUP(H19,'Dados de Base'!$D$10:$H$20,5,TRUE),1))</f>
        <v/>
      </c>
      <c r="I32" s="667" t="str">
        <f>IF(I19="","",ROUND(VLOOKUP(I18,'Dados de Base'!$D$10:$H$20,5,FALSE),1)&amp;" - "&amp;ROUND(VLOOKUP(I19,'Dados de Base'!$D$10:$H$20,5,TRUE),1))</f>
        <v/>
      </c>
      <c r="J32" s="505"/>
      <c r="K32" s="608">
        <f t="shared" si="13"/>
        <v>6</v>
      </c>
      <c r="L32" s="664"/>
      <c r="Q32" s="664"/>
      <c r="R32" s="640"/>
      <c r="S32" s="640"/>
      <c r="T32" s="640"/>
      <c r="U32" s="640"/>
      <c r="V32" s="640"/>
      <c r="W32" s="665" t="str">
        <f>IF(L32="","",OFFSET(Biblioteca!$G$2,MATCH(L32,Biblioteca!$A$3:$A$200,0),)*(1.05^(10-S32)))</f>
        <v/>
      </c>
      <c r="X32" s="640"/>
      <c r="Y32" s="632"/>
      <c r="Z32" s="641">
        <f t="shared" si="14"/>
        <v>6</v>
      </c>
      <c r="AA32" s="664"/>
      <c r="AF32" s="664"/>
      <c r="AG32" s="640"/>
      <c r="AH32" s="640"/>
      <c r="AI32" s="640"/>
      <c r="AJ32" s="640"/>
      <c r="AK32" s="640"/>
      <c r="AL32" s="665" t="str">
        <f>IF(AA32="","",OFFSET(Biblioteca!$G$2,MATCH(AA32,Biblioteca!$A$3:$A$200,0),)*(1.05^(10-AH32)))</f>
        <v/>
      </c>
      <c r="AM32" s="640"/>
      <c r="AN32" s="632"/>
      <c r="AO32" s="641">
        <f t="shared" si="15"/>
        <v>1</v>
      </c>
      <c r="AP32" s="664"/>
      <c r="AU32" s="664"/>
      <c r="AV32" s="640"/>
      <c r="AW32" s="640"/>
      <c r="AX32" s="640"/>
      <c r="AY32" s="640"/>
      <c r="AZ32" s="640"/>
      <c r="BA32" s="665" t="str">
        <f>IF(AP32="","",OFFSET(Biblioteca!$G$2,MATCH(AP32,Biblioteca!$A$3:$A$200,0),)*(1.05^(10-AW32)))</f>
        <v/>
      </c>
      <c r="BB32" s="640"/>
      <c r="BC32" s="632"/>
      <c r="BD32" s="641">
        <f t="shared" si="16"/>
        <v>7</v>
      </c>
      <c r="BE32" s="663" t="s">
        <v>234</v>
      </c>
      <c r="BJ32" s="664"/>
      <c r="BK32" s="640"/>
      <c r="BL32" s="640"/>
      <c r="BM32" s="640"/>
      <c r="BN32" s="640"/>
      <c r="BO32" s="640"/>
      <c r="BP32" s="665">
        <f>IF(BE32="","",OFFSET(Biblioteca!$G$2,MATCH(BE32,Biblioteca!$A$3:$A$200,0),)*(1.05^(10-BL32)))</f>
        <v>0</v>
      </c>
      <c r="BQ32" s="640"/>
      <c r="BR32" s="579"/>
      <c r="BS32" s="608">
        <f t="shared" si="17"/>
        <v>6</v>
      </c>
      <c r="BT32" s="619"/>
      <c r="BY32" s="620"/>
      <c r="BZ32" s="618"/>
      <c r="CA32" s="618"/>
      <c r="CB32" s="618"/>
      <c r="CC32" s="618"/>
      <c r="CD32" s="618"/>
      <c r="CE32" s="617" t="str">
        <f>IF(BT32="","",OFFSET(Biblioteca!$G$2,MATCH(BT32,Biblioteca!$A$3:$A$200,0),)*(1.05^(10-CA32)))</f>
        <v/>
      </c>
      <c r="CF32" s="618"/>
      <c r="CG32" s="579"/>
      <c r="CH32" s="608">
        <f t="shared" si="18"/>
        <v>1</v>
      </c>
      <c r="CI32" s="619"/>
      <c r="CN32" s="620"/>
      <c r="CO32" s="618"/>
      <c r="CP32" s="618"/>
      <c r="CQ32" s="618"/>
      <c r="CR32" s="618"/>
      <c r="CS32" s="618"/>
      <c r="CT32" s="617" t="str">
        <f>IF(CI32="","",OFFSET(Biblioteca!$G$2,MATCH(CI32,Biblioteca!$A$3:$A$200,0),)*(1.05^(10-CP32)))</f>
        <v/>
      </c>
      <c r="CU32" s="618"/>
      <c r="CV32" s="579"/>
      <c r="CW32" s="608">
        <f t="shared" si="19"/>
        <v>1</v>
      </c>
      <c r="CX32" s="619"/>
      <c r="DC32" s="620"/>
      <c r="DD32" s="618"/>
      <c r="DE32" s="618"/>
      <c r="DF32" s="618"/>
      <c r="DG32" s="618"/>
      <c r="DH32" s="618"/>
      <c r="DI32" s="617" t="str">
        <f>IF(CX32="","",OFFSET(Biblioteca!$G$2,MATCH(CX32,Biblioteca!$A$3:$A$200,0),)*(1.05^(10-DE32)))</f>
        <v/>
      </c>
      <c r="DJ32" s="618"/>
      <c r="DK32" s="579"/>
    </row>
    <row r="33" ht="14.25" customHeight="1">
      <c r="A33" s="492" t="str">
        <f>"S "&amp;$AD2&amp;" - "&amp;TEXT(C12,"dd/mm")</f>
        <v>S 1 - 12/01</v>
      </c>
      <c r="B33" s="592" t="s">
        <v>307</v>
      </c>
      <c r="C33" s="668" t="str">
        <f>'Anotações gerais'!$B$3</f>
        <v/>
      </c>
      <c r="D33" s="60"/>
      <c r="E33" s="60"/>
      <c r="F33" s="60"/>
      <c r="G33" s="60"/>
      <c r="H33" s="61"/>
      <c r="I33" s="669"/>
      <c r="J33" s="505"/>
      <c r="K33" s="608">
        <f t="shared" si="13"/>
        <v>6</v>
      </c>
      <c r="L33" s="619"/>
      <c r="Q33" s="620"/>
      <c r="R33" s="618"/>
      <c r="S33" s="618"/>
      <c r="T33" s="618"/>
      <c r="U33" s="618"/>
      <c r="V33" s="618"/>
      <c r="W33" s="617" t="str">
        <f>IF(L33="","",OFFSET(Biblioteca!$G$2,MATCH(L33,Biblioteca!$A$3:$A$200,0),)*(1.05^(10-S33)))</f>
        <v/>
      </c>
      <c r="X33" s="618"/>
      <c r="Y33" s="579"/>
      <c r="Z33" s="608">
        <f t="shared" si="14"/>
        <v>6</v>
      </c>
      <c r="AA33" s="619"/>
      <c r="AF33" s="620"/>
      <c r="AG33" s="618"/>
      <c r="AH33" s="618"/>
      <c r="AI33" s="618"/>
      <c r="AJ33" s="618"/>
      <c r="AK33" s="618"/>
      <c r="AL33" s="617" t="str">
        <f>IF(AA33="","",OFFSET(Biblioteca!$G$2,MATCH(AA33,Biblioteca!$A$3:$A$200,0),)*(1.05^(10-AH33)))</f>
        <v/>
      </c>
      <c r="AM33" s="618"/>
      <c r="AN33" s="579"/>
      <c r="AO33" s="608">
        <f t="shared" si="15"/>
        <v>1</v>
      </c>
      <c r="AP33" s="619"/>
      <c r="AU33" s="620"/>
      <c r="AV33" s="618"/>
      <c r="AW33" s="618"/>
      <c r="AX33" s="618"/>
      <c r="AY33" s="618"/>
      <c r="AZ33" s="618"/>
      <c r="BA33" s="617" t="str">
        <f>IF(AP33="","",OFFSET(Biblioteca!$G$2,MATCH(AP33,Biblioteca!$A$3:$A$200,0),)*(1.05^(10-AW33)))</f>
        <v/>
      </c>
      <c r="BB33" s="618"/>
      <c r="BC33" s="579"/>
      <c r="BD33" s="608">
        <f t="shared" si="16"/>
        <v>7</v>
      </c>
      <c r="BE33" s="619"/>
      <c r="BJ33" s="620"/>
      <c r="BK33" s="618"/>
      <c r="BL33" s="618"/>
      <c r="BM33" s="618"/>
      <c r="BN33" s="618"/>
      <c r="BO33" s="618"/>
      <c r="BP33" s="617" t="str">
        <f>IF(BE33="","",OFFSET(Biblioteca!$G$2,MATCH(BE33,Biblioteca!$A$3:$A$200,0),)*(1.05^(10-BL33)))</f>
        <v/>
      </c>
      <c r="BQ33" s="618"/>
      <c r="BR33" s="579"/>
      <c r="BS33" s="608">
        <f t="shared" si="17"/>
        <v>6</v>
      </c>
      <c r="BT33" s="619"/>
      <c r="BY33" s="620"/>
      <c r="BZ33" s="618"/>
      <c r="CA33" s="618"/>
      <c r="CB33" s="618"/>
      <c r="CC33" s="618"/>
      <c r="CD33" s="618"/>
      <c r="CE33" s="617" t="str">
        <f>IF(BT33="","",OFFSET(Biblioteca!$G$2,MATCH(BT33,Biblioteca!$A$3:$A$200,0),)*(1.05^(10-CA33)))</f>
        <v/>
      </c>
      <c r="CF33" s="618"/>
      <c r="CG33" s="579"/>
      <c r="CH33" s="608">
        <f t="shared" si="18"/>
        <v>1</v>
      </c>
      <c r="CI33" s="619"/>
      <c r="CN33" s="620"/>
      <c r="CO33" s="618"/>
      <c r="CP33" s="618"/>
      <c r="CQ33" s="618"/>
      <c r="CR33" s="618"/>
      <c r="CS33" s="618"/>
      <c r="CT33" s="617" t="str">
        <f>IF(CI33="","",OFFSET(Biblioteca!$G$2,MATCH(CI33,Biblioteca!$A$3:$A$200,0),)*(1.05^(10-CP33)))</f>
        <v/>
      </c>
      <c r="CU33" s="618"/>
      <c r="CV33" s="579"/>
      <c r="CW33" s="608">
        <f t="shared" si="19"/>
        <v>1</v>
      </c>
      <c r="CX33" s="619"/>
      <c r="DC33" s="620"/>
      <c r="DD33" s="618"/>
      <c r="DE33" s="618"/>
      <c r="DF33" s="618"/>
      <c r="DG33" s="618"/>
      <c r="DH33" s="618"/>
      <c r="DI33" s="617" t="str">
        <f>IF(CX33="","",OFFSET(Biblioteca!$G$2,MATCH(CX33,Biblioteca!$A$3:$A$200,0),)*(1.05^(10-DE33)))</f>
        <v/>
      </c>
      <c r="DJ33" s="618"/>
      <c r="DK33" s="579"/>
    </row>
    <row r="34" ht="14.25" customHeight="1">
      <c r="A34" s="492" t="str">
        <f>"S "&amp;$AD2&amp;" - "&amp;TEXT(C12,"dd/mm")</f>
        <v>S 1 - 12/01</v>
      </c>
      <c r="B34" s="592" t="s">
        <v>308</v>
      </c>
      <c r="C34" s="668" t="str">
        <f>OFFSET('Periodização Macrociclo'!$D$8,0,MATCH(C2,'Periodização Macrociclo'!$D$4:$BP$4,0))</f>
        <v>Força</v>
      </c>
      <c r="D34" s="60"/>
      <c r="E34" s="60"/>
      <c r="F34" s="60"/>
      <c r="G34" s="60"/>
      <c r="H34" s="61"/>
      <c r="I34" s="669"/>
      <c r="J34" s="505"/>
      <c r="K34" s="608">
        <f t="shared" si="13"/>
        <v>6</v>
      </c>
      <c r="L34" s="619"/>
      <c r="Q34" s="620"/>
      <c r="R34" s="618"/>
      <c r="S34" s="618"/>
      <c r="T34" s="618"/>
      <c r="U34" s="618"/>
      <c r="V34" s="618"/>
      <c r="W34" s="617" t="str">
        <f>IF(L34="","",OFFSET(Biblioteca!$G$2,MATCH(L34,Biblioteca!$A$3:$A$200,0),)*(1.05^(10-S34)))</f>
        <v/>
      </c>
      <c r="X34" s="618"/>
      <c r="Y34" s="579"/>
      <c r="Z34" s="608">
        <f t="shared" si="14"/>
        <v>6</v>
      </c>
      <c r="AA34" s="619"/>
      <c r="AF34" s="620"/>
      <c r="AG34" s="618"/>
      <c r="AH34" s="618"/>
      <c r="AI34" s="618"/>
      <c r="AJ34" s="618"/>
      <c r="AK34" s="618"/>
      <c r="AL34" s="617" t="str">
        <f>IF(AA34="","",OFFSET(Biblioteca!$G$2,MATCH(AA34,Biblioteca!$A$3:$A$200,0),)*(1.05^(10-AH34)))</f>
        <v/>
      </c>
      <c r="AM34" s="618"/>
      <c r="AN34" s="579"/>
      <c r="AO34" s="608">
        <f t="shared" si="15"/>
        <v>1</v>
      </c>
      <c r="AP34" s="619"/>
      <c r="AU34" s="620"/>
      <c r="AV34" s="618"/>
      <c r="AW34" s="618"/>
      <c r="AX34" s="618"/>
      <c r="AY34" s="618"/>
      <c r="AZ34" s="618"/>
      <c r="BA34" s="617" t="str">
        <f>IF(AP34="","",OFFSET(Biblioteca!$G$2,MATCH(AP34,Biblioteca!$A$3:$A$200,0),)*(1.05^(10-AW34)))</f>
        <v/>
      </c>
      <c r="BB34" s="618"/>
      <c r="BC34" s="579"/>
      <c r="BD34" s="608">
        <f t="shared" si="16"/>
        <v>7</v>
      </c>
      <c r="BE34" s="619"/>
      <c r="BJ34" s="620"/>
      <c r="BK34" s="618"/>
      <c r="BL34" s="618"/>
      <c r="BM34" s="618"/>
      <c r="BN34" s="618"/>
      <c r="BO34" s="618"/>
      <c r="BP34" s="617" t="str">
        <f>IF(BE34="","",OFFSET(Biblioteca!$G$2,MATCH(BE34,Biblioteca!$A$3:$A$200,0),)*(1.05^(10-BL34)))</f>
        <v/>
      </c>
      <c r="BQ34" s="618"/>
      <c r="BR34" s="579"/>
      <c r="BS34" s="608">
        <f t="shared" si="17"/>
        <v>6</v>
      </c>
      <c r="BT34" s="619"/>
      <c r="BY34" s="620"/>
      <c r="BZ34" s="618"/>
      <c r="CA34" s="618"/>
      <c r="CB34" s="618"/>
      <c r="CC34" s="618"/>
      <c r="CD34" s="618"/>
      <c r="CE34" s="617" t="str">
        <f>IF(BT34="","",OFFSET(Biblioteca!$G$2,MATCH(BT34,Biblioteca!$A$3:$A$200,0),)*(1.05^(10-CA34)))</f>
        <v/>
      </c>
      <c r="CF34" s="618"/>
      <c r="CG34" s="579"/>
      <c r="CH34" s="608">
        <f t="shared" si="18"/>
        <v>1</v>
      </c>
      <c r="CI34" s="619"/>
      <c r="CN34" s="620"/>
      <c r="CO34" s="618"/>
      <c r="CP34" s="618"/>
      <c r="CQ34" s="618"/>
      <c r="CR34" s="618"/>
      <c r="CS34" s="618"/>
      <c r="CT34" s="617" t="str">
        <f>IF(CI34="","",OFFSET(Biblioteca!$G$2,MATCH(CI34,Biblioteca!$A$3:$A$200,0),)*(1.05^(10-CP34)))</f>
        <v/>
      </c>
      <c r="CU34" s="618"/>
      <c r="CV34" s="579"/>
      <c r="CW34" s="608">
        <f t="shared" si="19"/>
        <v>1</v>
      </c>
      <c r="CX34" s="619"/>
      <c r="DC34" s="620"/>
      <c r="DD34" s="618"/>
      <c r="DE34" s="618"/>
      <c r="DF34" s="618"/>
      <c r="DG34" s="618"/>
      <c r="DH34" s="618"/>
      <c r="DI34" s="617" t="str">
        <f>IF(CX34="","",OFFSET(Biblioteca!$G$2,MATCH(CX34,Biblioteca!$A$3:$A$200,0),)*(1.05^(10-DE34)))</f>
        <v/>
      </c>
      <c r="DJ34" s="618"/>
      <c r="DK34" s="579"/>
    </row>
    <row r="35" ht="14.25" customHeight="1">
      <c r="A35" s="492" t="str">
        <f>"S "&amp;$AD2&amp;" - "&amp;TEXT(C12,"dd/mm")</f>
        <v>S 1 - 12/01</v>
      </c>
      <c r="B35" s="647" t="s">
        <v>309</v>
      </c>
      <c r="C35" s="668" t="str">
        <f>'Anotações gerais'!$B$5</f>
        <v/>
      </c>
      <c r="D35" s="60"/>
      <c r="E35" s="60"/>
      <c r="F35" s="60"/>
      <c r="G35" s="60"/>
      <c r="H35" s="61"/>
      <c r="I35" s="669"/>
      <c r="J35" s="505"/>
      <c r="K35" s="608">
        <f t="shared" si="13"/>
        <v>6</v>
      </c>
      <c r="L35" s="619"/>
      <c r="Q35" s="620"/>
      <c r="R35" s="618"/>
      <c r="S35" s="618"/>
      <c r="T35" s="618"/>
      <c r="U35" s="618"/>
      <c r="V35" s="618"/>
      <c r="W35" s="617" t="str">
        <f>IF(L35="","",OFFSET(Biblioteca!$G$2,MATCH(L35,Biblioteca!$A$3:$A$200,0),)*(1.05^(10-S35)))</f>
        <v/>
      </c>
      <c r="X35" s="618"/>
      <c r="Y35" s="604"/>
      <c r="Z35" s="608">
        <f t="shared" si="14"/>
        <v>6</v>
      </c>
      <c r="AA35" s="619"/>
      <c r="AF35" s="620"/>
      <c r="AG35" s="618"/>
      <c r="AH35" s="618"/>
      <c r="AI35" s="618"/>
      <c r="AJ35" s="618"/>
      <c r="AK35" s="618"/>
      <c r="AL35" s="617" t="str">
        <f>IF(AA35="","",OFFSET(Biblioteca!$G$2,MATCH(AA35,Biblioteca!$A$3:$A$200,0),)*(1.05^(10-AH35)))</f>
        <v/>
      </c>
      <c r="AM35" s="618"/>
      <c r="AN35" s="604"/>
      <c r="AO35" s="608">
        <f t="shared" si="15"/>
        <v>1</v>
      </c>
      <c r="AP35" s="619"/>
      <c r="AU35" s="620"/>
      <c r="AV35" s="618"/>
      <c r="AW35" s="618"/>
      <c r="AX35" s="618"/>
      <c r="AY35" s="618"/>
      <c r="AZ35" s="618"/>
      <c r="BA35" s="617" t="str">
        <f>IF(AP35="","",OFFSET(Biblioteca!$G$2,MATCH(AP35,Biblioteca!$A$3:$A$200,0),)*(1.05^(10-AW35)))</f>
        <v/>
      </c>
      <c r="BB35" s="618"/>
      <c r="BC35" s="604"/>
      <c r="BD35" s="608">
        <f t="shared" si="16"/>
        <v>7</v>
      </c>
      <c r="BE35" s="619"/>
      <c r="BJ35" s="620"/>
      <c r="BK35" s="618"/>
      <c r="BL35" s="618"/>
      <c r="BM35" s="618"/>
      <c r="BN35" s="618"/>
      <c r="BO35" s="618"/>
      <c r="BP35" s="617" t="str">
        <f>IF(BE35="","",OFFSET(Biblioteca!$G$2,MATCH(BE35,Biblioteca!$A$3:$A$200,0),)*(1.05^(10-BL35)))</f>
        <v/>
      </c>
      <c r="BQ35" s="618"/>
      <c r="BR35" s="604"/>
      <c r="BS35" s="608">
        <f t="shared" si="17"/>
        <v>6</v>
      </c>
      <c r="BT35" s="619"/>
      <c r="BY35" s="620"/>
      <c r="BZ35" s="618"/>
      <c r="CA35" s="618"/>
      <c r="CB35" s="618"/>
      <c r="CC35" s="618"/>
      <c r="CD35" s="618"/>
      <c r="CE35" s="617" t="str">
        <f>IF(BT35="","",OFFSET(Biblioteca!$G$2,MATCH(BT35,Biblioteca!$A$3:$A$200,0),)*(1.05^(10-CA35)))</f>
        <v/>
      </c>
      <c r="CF35" s="618"/>
      <c r="CG35" s="604"/>
      <c r="CH35" s="608">
        <f t="shared" si="18"/>
        <v>1</v>
      </c>
      <c r="CI35" s="619"/>
      <c r="CN35" s="620"/>
      <c r="CO35" s="618"/>
      <c r="CP35" s="618"/>
      <c r="CQ35" s="618"/>
      <c r="CR35" s="618"/>
      <c r="CS35" s="618"/>
      <c r="CT35" s="617" t="str">
        <f>IF(CI35="","",OFFSET(Biblioteca!$G$2,MATCH(CI35,Biblioteca!$A$3:$A$200,0),)*(1.05^(10-CP35)))</f>
        <v/>
      </c>
      <c r="CU35" s="618"/>
      <c r="CV35" s="604"/>
      <c r="CW35" s="608">
        <f t="shared" si="19"/>
        <v>1</v>
      </c>
      <c r="CX35" s="619"/>
      <c r="DC35" s="620"/>
      <c r="DD35" s="618"/>
      <c r="DE35" s="618"/>
      <c r="DF35" s="618"/>
      <c r="DG35" s="618"/>
      <c r="DH35" s="618"/>
      <c r="DI35" s="617" t="str">
        <f>IF(CX35="","",OFFSET(Biblioteca!$G$2,MATCH(CX35,Biblioteca!$A$3:$A$200,0),)*(1.05^(10-DE35)))</f>
        <v/>
      </c>
      <c r="DJ35" s="618"/>
      <c r="DK35" s="604"/>
    </row>
    <row r="36" ht="14.25" customHeight="1">
      <c r="A36" s="492" t="str">
        <f>"S "&amp;$AD2&amp;" - "&amp;TEXT(C12,"dd/mm")</f>
        <v>S 1 - 12/01</v>
      </c>
      <c r="B36" s="647" t="s">
        <v>310</v>
      </c>
      <c r="C36" s="668" t="str">
        <f>'Anotações gerais'!$B$6</f>
        <v/>
      </c>
      <c r="D36" s="60"/>
      <c r="E36" s="60"/>
      <c r="F36" s="60"/>
      <c r="G36" s="60"/>
      <c r="H36" s="61"/>
      <c r="I36" s="669"/>
      <c r="J36" s="505"/>
      <c r="K36" s="608">
        <f t="shared" si="13"/>
        <v>6</v>
      </c>
      <c r="L36" s="619"/>
      <c r="Q36" s="620"/>
      <c r="R36" s="618"/>
      <c r="S36" s="618"/>
      <c r="T36" s="618"/>
      <c r="U36" s="618"/>
      <c r="V36" s="618"/>
      <c r="W36" s="617" t="str">
        <f>IF(L36="","",OFFSET(Biblioteca!$G$2,MATCH(L36,Biblioteca!$A$3:$A$200,0),)*(1.05^(10-S36)))</f>
        <v/>
      </c>
      <c r="X36" s="618"/>
      <c r="Y36" s="579"/>
      <c r="Z36" s="608">
        <f t="shared" si="14"/>
        <v>6</v>
      </c>
      <c r="AA36" s="619"/>
      <c r="AF36" s="620"/>
      <c r="AG36" s="618"/>
      <c r="AH36" s="618"/>
      <c r="AI36" s="618"/>
      <c r="AJ36" s="618"/>
      <c r="AK36" s="618"/>
      <c r="AL36" s="617" t="str">
        <f>IF(AA36="","",OFFSET(Biblioteca!$G$2,MATCH(AA36,Biblioteca!$A$3:$A$200,0),)*(1.05^(10-AH36)))</f>
        <v/>
      </c>
      <c r="AM36" s="618"/>
      <c r="AN36" s="579"/>
      <c r="AO36" s="608">
        <f t="shared" si="15"/>
        <v>1</v>
      </c>
      <c r="AP36" s="619"/>
      <c r="AU36" s="620"/>
      <c r="AV36" s="618"/>
      <c r="AW36" s="618"/>
      <c r="AX36" s="618"/>
      <c r="AY36" s="618"/>
      <c r="AZ36" s="618"/>
      <c r="BA36" s="617" t="str">
        <f>IF(AP36="","",OFFSET(Biblioteca!$G$2,MATCH(AP36,Biblioteca!$A$3:$A$200,0),)*(1.05^(10-AW36)))</f>
        <v/>
      </c>
      <c r="BB36" s="618"/>
      <c r="BC36" s="579"/>
      <c r="BD36" s="608">
        <f t="shared" si="16"/>
        <v>7</v>
      </c>
      <c r="BE36" s="619"/>
      <c r="BJ36" s="620"/>
      <c r="BK36" s="618"/>
      <c r="BL36" s="618"/>
      <c r="BM36" s="618"/>
      <c r="BN36" s="618"/>
      <c r="BO36" s="618"/>
      <c r="BP36" s="617" t="str">
        <f>IF(BE36="","",OFFSET(Biblioteca!$G$2,MATCH(BE36,Biblioteca!$A$3:$A$200,0),)*(1.05^(10-BL36)))</f>
        <v/>
      </c>
      <c r="BQ36" s="618"/>
      <c r="BR36" s="579"/>
      <c r="BS36" s="608">
        <f t="shared" si="17"/>
        <v>6</v>
      </c>
      <c r="BT36" s="619"/>
      <c r="BY36" s="620"/>
      <c r="BZ36" s="618"/>
      <c r="CA36" s="618"/>
      <c r="CB36" s="618"/>
      <c r="CC36" s="618"/>
      <c r="CD36" s="618"/>
      <c r="CE36" s="617" t="str">
        <f>IF(BT36="","",OFFSET(Biblioteca!$G$2,MATCH(BT36,Biblioteca!$A$3:$A$200,0),)*(1.05^(10-CA36)))</f>
        <v/>
      </c>
      <c r="CF36" s="618"/>
      <c r="CG36" s="579"/>
      <c r="CH36" s="608">
        <f t="shared" si="18"/>
        <v>1</v>
      </c>
      <c r="CI36" s="619"/>
      <c r="CN36" s="620"/>
      <c r="CO36" s="618"/>
      <c r="CP36" s="618"/>
      <c r="CQ36" s="618"/>
      <c r="CR36" s="618"/>
      <c r="CS36" s="618"/>
      <c r="CT36" s="617" t="str">
        <f>IF(CI36="","",OFFSET(Biblioteca!$G$2,MATCH(CI36,Biblioteca!$A$3:$A$200,0),)*(1.05^(10-CP36)))</f>
        <v/>
      </c>
      <c r="CU36" s="618"/>
      <c r="CV36" s="579"/>
      <c r="CW36" s="608">
        <f t="shared" si="19"/>
        <v>1</v>
      </c>
      <c r="CX36" s="619"/>
      <c r="DC36" s="620"/>
      <c r="DD36" s="618"/>
      <c r="DE36" s="618"/>
      <c r="DF36" s="618"/>
      <c r="DG36" s="618"/>
      <c r="DH36" s="618"/>
      <c r="DI36" s="617" t="str">
        <f>IF(CX36="","",OFFSET(Biblioteca!$G$2,MATCH(CX36,Biblioteca!$A$3:$A$200,0),)*(1.05^(10-DE36)))</f>
        <v/>
      </c>
      <c r="DJ36" s="618"/>
      <c r="DK36" s="579"/>
    </row>
    <row r="37" ht="14.25" customHeight="1">
      <c r="A37" s="492" t="str">
        <f>"S "&amp;$AD2&amp;" - "&amp;TEXT(C12,"dd/mm")</f>
        <v>S 1 - 12/01</v>
      </c>
      <c r="B37" s="537"/>
      <c r="C37" s="669"/>
      <c r="D37" s="669"/>
      <c r="E37" s="669"/>
      <c r="F37" s="669"/>
      <c r="G37" s="669"/>
      <c r="H37" s="669"/>
      <c r="I37" s="669"/>
      <c r="J37" s="505"/>
      <c r="K37" s="608">
        <f t="shared" si="13"/>
        <v>6</v>
      </c>
      <c r="L37" s="619"/>
      <c r="Q37" s="620"/>
      <c r="R37" s="618"/>
      <c r="S37" s="618"/>
      <c r="T37" s="618"/>
      <c r="U37" s="618"/>
      <c r="V37" s="618"/>
      <c r="W37" s="617" t="str">
        <f>IF(L37="","",OFFSET(Biblioteca!$G$2,MATCH(L37,Biblioteca!$A$3:$A$200,0),)*(1.05^(10-S37)))</f>
        <v/>
      </c>
      <c r="X37" s="618"/>
      <c r="Y37" s="579"/>
      <c r="Z37" s="608">
        <f t="shared" si="14"/>
        <v>6</v>
      </c>
      <c r="AA37" s="619"/>
      <c r="AF37" s="620"/>
      <c r="AG37" s="618"/>
      <c r="AH37" s="618"/>
      <c r="AI37" s="618"/>
      <c r="AJ37" s="618"/>
      <c r="AK37" s="618"/>
      <c r="AL37" s="617" t="str">
        <f>IF(AA37="","",OFFSET(Biblioteca!$G$2,MATCH(AA37,Biblioteca!$A$3:$A$200,0),)*(1.05^(10-AH37)))</f>
        <v/>
      </c>
      <c r="AM37" s="618"/>
      <c r="AN37" s="579"/>
      <c r="AO37" s="608">
        <f t="shared" si="15"/>
        <v>1</v>
      </c>
      <c r="AP37" s="619"/>
      <c r="AU37" s="620"/>
      <c r="AV37" s="618"/>
      <c r="AW37" s="618"/>
      <c r="AX37" s="618"/>
      <c r="AY37" s="618"/>
      <c r="AZ37" s="618"/>
      <c r="BA37" s="617" t="str">
        <f>IF(AP37="","",OFFSET(Biblioteca!$G$2,MATCH(AP37,Biblioteca!$A$3:$A$200,0),)*(1.05^(10-AW37)))</f>
        <v/>
      </c>
      <c r="BB37" s="618"/>
      <c r="BC37" s="579"/>
      <c r="BD37" s="608">
        <f t="shared" si="16"/>
        <v>7</v>
      </c>
      <c r="BE37" s="619"/>
      <c r="BJ37" s="620"/>
      <c r="BK37" s="618"/>
      <c r="BL37" s="618"/>
      <c r="BM37" s="618"/>
      <c r="BN37" s="618"/>
      <c r="BO37" s="618"/>
      <c r="BP37" s="617" t="str">
        <f>IF(BE37="","",OFFSET(Biblioteca!$G$2,MATCH(BE37,Biblioteca!$A$3:$A$200,0),)*(1.05^(10-BL37)))</f>
        <v/>
      </c>
      <c r="BQ37" s="618"/>
      <c r="BR37" s="579"/>
      <c r="BS37" s="608">
        <f t="shared" si="17"/>
        <v>6</v>
      </c>
      <c r="BT37" s="619"/>
      <c r="BY37" s="620"/>
      <c r="BZ37" s="618"/>
      <c r="CA37" s="618"/>
      <c r="CB37" s="618"/>
      <c r="CC37" s="618"/>
      <c r="CD37" s="618"/>
      <c r="CE37" s="617" t="str">
        <f>IF(BT37="","",OFFSET(Biblioteca!$G$2,MATCH(BT37,Biblioteca!$A$3:$A$200,0),)*(1.05^(10-CA37)))</f>
        <v/>
      </c>
      <c r="CF37" s="618"/>
      <c r="CG37" s="579"/>
      <c r="CH37" s="608">
        <f t="shared" si="18"/>
        <v>1</v>
      </c>
      <c r="CI37" s="619"/>
      <c r="CN37" s="620"/>
      <c r="CO37" s="618"/>
      <c r="CP37" s="618"/>
      <c r="CQ37" s="618"/>
      <c r="CR37" s="618"/>
      <c r="CS37" s="618"/>
      <c r="CT37" s="617" t="str">
        <f>IF(CI37="","",OFFSET(Biblioteca!$G$2,MATCH(CI37,Biblioteca!$A$3:$A$200,0),)*(1.05^(10-CP37)))</f>
        <v/>
      </c>
      <c r="CU37" s="618"/>
      <c r="CV37" s="579"/>
      <c r="CW37" s="608">
        <f t="shared" si="19"/>
        <v>1</v>
      </c>
      <c r="CX37" s="619"/>
      <c r="DC37" s="620"/>
      <c r="DD37" s="618"/>
      <c r="DE37" s="618"/>
      <c r="DF37" s="618"/>
      <c r="DG37" s="618"/>
      <c r="DH37" s="618"/>
      <c r="DI37" s="617" t="str">
        <f>IF(CX37="","",OFFSET(Biblioteca!$G$2,MATCH(CX37,Biblioteca!$A$3:$A$200,0),)*(1.05^(10-DE37)))</f>
        <v/>
      </c>
      <c r="DJ37" s="618"/>
      <c r="DK37" s="579"/>
    </row>
    <row r="38" ht="14.25" customHeight="1">
      <c r="A38" s="492" t="str">
        <f>"S "&amp;$AD2&amp;" - "&amp;TEXT(C12,"dd/mm")</f>
        <v>S 1 - 12/01</v>
      </c>
      <c r="B38" s="537"/>
      <c r="C38" s="669"/>
      <c r="D38" s="669"/>
      <c r="E38" s="669"/>
      <c r="F38" s="669"/>
      <c r="G38" s="669"/>
      <c r="H38" s="669"/>
      <c r="I38" s="669"/>
      <c r="J38" s="505"/>
      <c r="K38" s="608">
        <f t="shared" si="13"/>
        <v>6</v>
      </c>
      <c r="L38" s="619"/>
      <c r="Q38" s="620"/>
      <c r="R38" s="618"/>
      <c r="S38" s="618"/>
      <c r="T38" s="618"/>
      <c r="U38" s="618"/>
      <c r="V38" s="618"/>
      <c r="W38" s="617" t="str">
        <f>IF(L38="","",OFFSET(Biblioteca!$G$2,MATCH(L38,Biblioteca!$A$3:$A$200,0),)*(1.05^(10-S38)))</f>
        <v/>
      </c>
      <c r="X38" s="618"/>
      <c r="Y38" s="579"/>
      <c r="Z38" s="608">
        <f t="shared" si="14"/>
        <v>6</v>
      </c>
      <c r="AA38" s="619"/>
      <c r="AF38" s="620"/>
      <c r="AG38" s="618"/>
      <c r="AH38" s="618"/>
      <c r="AI38" s="618"/>
      <c r="AJ38" s="618"/>
      <c r="AK38" s="618"/>
      <c r="AL38" s="617" t="str">
        <f>IF(AA38="","",OFFSET(Biblioteca!$G$2,MATCH(AA38,Biblioteca!$A$3:$A$200,0),)*(1.05^(10-AH38)))</f>
        <v/>
      </c>
      <c r="AM38" s="618"/>
      <c r="AN38" s="579"/>
      <c r="AO38" s="608">
        <f t="shared" si="15"/>
        <v>1</v>
      </c>
      <c r="AP38" s="619"/>
      <c r="AU38" s="620"/>
      <c r="AV38" s="618"/>
      <c r="AW38" s="618"/>
      <c r="AX38" s="618"/>
      <c r="AY38" s="618"/>
      <c r="AZ38" s="618"/>
      <c r="BA38" s="617" t="str">
        <f>IF(AP38="","",OFFSET(Biblioteca!$G$2,MATCH(AP38,Biblioteca!$A$3:$A$200,0),)*(1.05^(10-AW38)))</f>
        <v/>
      </c>
      <c r="BB38" s="618"/>
      <c r="BC38" s="579"/>
      <c r="BD38" s="608">
        <f t="shared" si="16"/>
        <v>7</v>
      </c>
      <c r="BE38" s="619"/>
      <c r="BJ38" s="620"/>
      <c r="BK38" s="618"/>
      <c r="BL38" s="618"/>
      <c r="BM38" s="618"/>
      <c r="BN38" s="618"/>
      <c r="BO38" s="618"/>
      <c r="BP38" s="617" t="str">
        <f>IF(BE38="","",OFFSET(Biblioteca!$G$2,MATCH(BE38,Biblioteca!$A$3:$A$200,0),)*(1.05^(10-BL38)))</f>
        <v/>
      </c>
      <c r="BQ38" s="618"/>
      <c r="BR38" s="579"/>
      <c r="BS38" s="608">
        <f t="shared" si="17"/>
        <v>6</v>
      </c>
      <c r="BT38" s="619"/>
      <c r="BY38" s="620"/>
      <c r="BZ38" s="618"/>
      <c r="CA38" s="618"/>
      <c r="CB38" s="618"/>
      <c r="CC38" s="618"/>
      <c r="CD38" s="618"/>
      <c r="CE38" s="617" t="str">
        <f>IF(BT38="","",OFFSET(Biblioteca!$G$2,MATCH(BT38,Biblioteca!$A$3:$A$200,0),)*(1.05^(10-CA38)))</f>
        <v/>
      </c>
      <c r="CF38" s="618"/>
      <c r="CG38" s="579"/>
      <c r="CH38" s="608">
        <f t="shared" si="18"/>
        <v>1</v>
      </c>
      <c r="CI38" s="619"/>
      <c r="CN38" s="620"/>
      <c r="CO38" s="618"/>
      <c r="CP38" s="618"/>
      <c r="CQ38" s="618"/>
      <c r="CR38" s="618"/>
      <c r="CS38" s="618"/>
      <c r="CT38" s="617" t="str">
        <f>IF(CI38="","",OFFSET(Biblioteca!$G$2,MATCH(CI38,Biblioteca!$A$3:$A$200,0),)*(1.05^(10-CP38)))</f>
        <v/>
      </c>
      <c r="CU38" s="618"/>
      <c r="CV38" s="579"/>
      <c r="CW38" s="608">
        <f t="shared" si="19"/>
        <v>1</v>
      </c>
      <c r="CX38" s="619"/>
      <c r="DC38" s="620"/>
      <c r="DD38" s="618"/>
      <c r="DE38" s="618"/>
      <c r="DF38" s="618"/>
      <c r="DG38" s="618"/>
      <c r="DH38" s="618"/>
      <c r="DI38" s="617" t="str">
        <f>IF(CX38="","",OFFSET(Biblioteca!$G$2,MATCH(CX38,Biblioteca!$A$3:$A$200,0),)*(1.05^(10-DE38)))</f>
        <v/>
      </c>
      <c r="DJ38" s="618"/>
      <c r="DK38" s="579"/>
    </row>
    <row r="39" ht="14.25" customHeight="1">
      <c r="A39" s="492" t="str">
        <f>"S "&amp;$AD2&amp;" - "&amp;TEXT(C12,"dd/mm")</f>
        <v>S 1 - 12/01</v>
      </c>
      <c r="B39" s="537"/>
      <c r="C39" s="669"/>
      <c r="D39" s="669"/>
      <c r="E39" s="669"/>
      <c r="F39" s="669"/>
      <c r="G39" s="669"/>
      <c r="H39" s="669"/>
      <c r="I39" s="669"/>
      <c r="J39" s="505"/>
      <c r="K39" s="608">
        <f t="shared" si="13"/>
        <v>6</v>
      </c>
      <c r="L39" s="619"/>
      <c r="Q39" s="620"/>
      <c r="R39" s="618"/>
      <c r="S39" s="618"/>
      <c r="T39" s="618"/>
      <c r="U39" s="618"/>
      <c r="V39" s="618"/>
      <c r="W39" s="617" t="str">
        <f>IF(L39="","",OFFSET(Biblioteca!$G$2,MATCH(L39,Biblioteca!$A$3:$A$200,0),)*(1.05^(10-S39)))</f>
        <v/>
      </c>
      <c r="X39" s="618"/>
      <c r="Y39" s="670"/>
      <c r="Z39" s="608">
        <f t="shared" si="14"/>
        <v>6</v>
      </c>
      <c r="AA39" s="619"/>
      <c r="AF39" s="620"/>
      <c r="AG39" s="618"/>
      <c r="AH39" s="618"/>
      <c r="AI39" s="618"/>
      <c r="AJ39" s="618"/>
      <c r="AK39" s="618"/>
      <c r="AL39" s="617" t="str">
        <f>IF(AA39="","",OFFSET(Biblioteca!$G$2,MATCH(AA39,Biblioteca!$A$3:$A$200,0),)*(1.05^(10-AH39)))</f>
        <v/>
      </c>
      <c r="AM39" s="618"/>
      <c r="AN39" s="670"/>
      <c r="AO39" s="608">
        <f t="shared" si="15"/>
        <v>1</v>
      </c>
      <c r="AP39" s="619"/>
      <c r="AU39" s="620"/>
      <c r="AV39" s="618"/>
      <c r="AW39" s="618"/>
      <c r="AX39" s="618"/>
      <c r="AY39" s="618"/>
      <c r="AZ39" s="618"/>
      <c r="BA39" s="617" t="str">
        <f>IF(AP39="","",OFFSET(Biblioteca!$G$2,MATCH(AP39,Biblioteca!$A$3:$A$200,0),)*(1.05^(10-AW39)))</f>
        <v/>
      </c>
      <c r="BB39" s="618"/>
      <c r="BC39" s="670"/>
      <c r="BD39" s="608">
        <f t="shared" si="16"/>
        <v>7</v>
      </c>
      <c r="BE39" s="619"/>
      <c r="BJ39" s="620"/>
      <c r="BK39" s="618"/>
      <c r="BL39" s="618"/>
      <c r="BM39" s="618"/>
      <c r="BN39" s="618"/>
      <c r="BO39" s="618"/>
      <c r="BP39" s="617" t="str">
        <f>IF(BE39="","",OFFSET(Biblioteca!$G$2,MATCH(BE39,Biblioteca!$A$3:$A$200,0),)*(1.05^(10-BL39)))</f>
        <v/>
      </c>
      <c r="BQ39" s="618"/>
      <c r="BR39" s="670"/>
      <c r="BS39" s="608">
        <f t="shared" si="17"/>
        <v>6</v>
      </c>
      <c r="BT39" s="619"/>
      <c r="BY39" s="620"/>
      <c r="BZ39" s="618"/>
      <c r="CA39" s="618"/>
      <c r="CB39" s="618"/>
      <c r="CC39" s="618"/>
      <c r="CD39" s="618"/>
      <c r="CE39" s="617" t="str">
        <f>IF(BT39="","",OFFSET(Biblioteca!$G$2,MATCH(BT39,Biblioteca!$A$3:$A$200,0),)*(1.05^(10-CA39)))</f>
        <v/>
      </c>
      <c r="CF39" s="618"/>
      <c r="CG39" s="670"/>
      <c r="CH39" s="608">
        <f t="shared" si="18"/>
        <v>1</v>
      </c>
      <c r="CI39" s="619"/>
      <c r="CN39" s="620"/>
      <c r="CO39" s="618"/>
      <c r="CP39" s="618"/>
      <c r="CQ39" s="618"/>
      <c r="CR39" s="618"/>
      <c r="CS39" s="618"/>
      <c r="CT39" s="617" t="str">
        <f>IF(CI39="","",OFFSET(Biblioteca!$G$2,MATCH(CI39,Biblioteca!$A$3:$A$200,0),)*(1.05^(10-CP39)))</f>
        <v/>
      </c>
      <c r="CU39" s="618"/>
      <c r="CV39" s="670"/>
      <c r="CW39" s="608">
        <f t="shared" si="19"/>
        <v>1</v>
      </c>
      <c r="CX39" s="619"/>
      <c r="DC39" s="620"/>
      <c r="DD39" s="618"/>
      <c r="DE39" s="618"/>
      <c r="DF39" s="618"/>
      <c r="DG39" s="618"/>
      <c r="DH39" s="618"/>
      <c r="DI39" s="617" t="str">
        <f>IF(CX39="","",OFFSET(Biblioteca!$G$2,MATCH(CX39,Biblioteca!$A$3:$A$200,0),)*(1.05^(10-DE39)))</f>
        <v/>
      </c>
      <c r="DJ39" s="618"/>
      <c r="DK39" s="670"/>
    </row>
    <row r="40" ht="14.25" customHeight="1">
      <c r="A40" s="492" t="str">
        <f>"S "&amp;$AD2&amp;" - "&amp;TEXT(C12,"dd/mm")</f>
        <v>S 1 - 12/01</v>
      </c>
      <c r="B40" s="537"/>
      <c r="C40" s="669"/>
      <c r="D40" s="669"/>
      <c r="E40" s="669"/>
      <c r="F40" s="669"/>
      <c r="G40" s="669"/>
      <c r="H40" s="669"/>
      <c r="I40" s="669"/>
      <c r="J40" s="505"/>
      <c r="K40" s="608">
        <f t="shared" si="13"/>
        <v>6</v>
      </c>
      <c r="L40" s="619"/>
      <c r="Q40" s="620"/>
      <c r="R40" s="618"/>
      <c r="S40" s="618"/>
      <c r="T40" s="618"/>
      <c r="U40" s="618"/>
      <c r="V40" s="618"/>
      <c r="W40" s="617" t="str">
        <f>IF(L40="","",OFFSET(Biblioteca!$G$2,MATCH(L40,Biblioteca!$A$3:$A$200,0),)*(1.05^(10-S40)))</f>
        <v/>
      </c>
      <c r="X40" s="618"/>
      <c r="Y40" s="670"/>
      <c r="Z40" s="608">
        <f t="shared" si="14"/>
        <v>6</v>
      </c>
      <c r="AA40" s="619"/>
      <c r="AF40" s="620"/>
      <c r="AG40" s="618"/>
      <c r="AH40" s="618"/>
      <c r="AI40" s="618"/>
      <c r="AJ40" s="618"/>
      <c r="AK40" s="618"/>
      <c r="AL40" s="617" t="str">
        <f>IF(AA40="","",OFFSET(Biblioteca!$G$2,MATCH(AA40,Biblioteca!$A$3:$A$200,0),)*(1.05^(10-AH40)))</f>
        <v/>
      </c>
      <c r="AM40" s="618"/>
      <c r="AN40" s="670"/>
      <c r="AO40" s="608">
        <f t="shared" si="15"/>
        <v>1</v>
      </c>
      <c r="AP40" s="619"/>
      <c r="AU40" s="620"/>
      <c r="AV40" s="618"/>
      <c r="AW40" s="618"/>
      <c r="AX40" s="618"/>
      <c r="AY40" s="618"/>
      <c r="AZ40" s="618"/>
      <c r="BA40" s="617" t="str">
        <f>IF(AP40="","",OFFSET(Biblioteca!$G$2,MATCH(AP40,Biblioteca!$A$3:$A$200,0),)*(1.05^(10-AW40)))</f>
        <v/>
      </c>
      <c r="BB40" s="618"/>
      <c r="BC40" s="670"/>
      <c r="BD40" s="608">
        <f t="shared" si="16"/>
        <v>7</v>
      </c>
      <c r="BE40" s="619"/>
      <c r="BJ40" s="620"/>
      <c r="BK40" s="618"/>
      <c r="BL40" s="618"/>
      <c r="BM40" s="618"/>
      <c r="BN40" s="618"/>
      <c r="BO40" s="618"/>
      <c r="BP40" s="617" t="str">
        <f>IF(BE40="","",OFFSET(Biblioteca!$G$2,MATCH(BE40,Biblioteca!$A$3:$A$200,0),)*(1.05^(10-BL40)))</f>
        <v/>
      </c>
      <c r="BQ40" s="618"/>
      <c r="BR40" s="670"/>
      <c r="BS40" s="608">
        <f t="shared" si="17"/>
        <v>6</v>
      </c>
      <c r="BT40" s="619"/>
      <c r="BY40" s="620"/>
      <c r="BZ40" s="618"/>
      <c r="CA40" s="618"/>
      <c r="CB40" s="618"/>
      <c r="CC40" s="618"/>
      <c r="CD40" s="618"/>
      <c r="CE40" s="617" t="str">
        <f>IF(BT40="","",OFFSET(Biblioteca!$G$2,MATCH(BT40,Biblioteca!$A$3:$A$200,0),)*(1.05^(10-CA40)))</f>
        <v/>
      </c>
      <c r="CF40" s="618"/>
      <c r="CG40" s="670"/>
      <c r="CH40" s="608">
        <f t="shared" si="18"/>
        <v>1</v>
      </c>
      <c r="CI40" s="619"/>
      <c r="CN40" s="620"/>
      <c r="CO40" s="618"/>
      <c r="CP40" s="618"/>
      <c r="CQ40" s="618"/>
      <c r="CR40" s="618"/>
      <c r="CS40" s="618"/>
      <c r="CT40" s="617" t="str">
        <f>IF(CI40="","",OFFSET(Biblioteca!$G$2,MATCH(CI40,Biblioteca!$A$3:$A$200,0),)*(1.05^(10-CP40)))</f>
        <v/>
      </c>
      <c r="CU40" s="618"/>
      <c r="CV40" s="670"/>
      <c r="CW40" s="608">
        <f t="shared" si="19"/>
        <v>1</v>
      </c>
      <c r="CX40" s="619"/>
      <c r="DC40" s="620"/>
      <c r="DD40" s="618"/>
      <c r="DE40" s="618"/>
      <c r="DF40" s="618"/>
      <c r="DG40" s="618"/>
      <c r="DH40" s="618"/>
      <c r="DI40" s="617" t="str">
        <f>IF(CX40="","",OFFSET(Biblioteca!$G$2,MATCH(CX40,Biblioteca!$A$3:$A$200,0),)*(1.05^(10-DE40)))</f>
        <v/>
      </c>
      <c r="DJ40" s="618"/>
      <c r="DK40" s="670"/>
    </row>
    <row r="41" ht="14.25" customHeight="1">
      <c r="A41" s="492" t="str">
        <f>"S "&amp;$AD2&amp;" - "&amp;TEXT(C12,"dd/mm")</f>
        <v>S 1 - 12/01</v>
      </c>
      <c r="B41" s="537"/>
      <c r="C41" s="669"/>
      <c r="D41" s="669"/>
      <c r="E41" s="669"/>
      <c r="F41" s="669"/>
      <c r="G41" s="669"/>
      <c r="H41" s="669"/>
      <c r="I41" s="669"/>
      <c r="J41" s="505"/>
      <c r="K41" s="581"/>
      <c r="L41" s="581"/>
      <c r="M41" s="581"/>
      <c r="N41" s="581"/>
      <c r="O41" s="581"/>
      <c r="P41" s="627" t="s">
        <v>48</v>
      </c>
      <c r="Q41" s="627"/>
      <c r="R41" s="627"/>
      <c r="S41" s="627"/>
      <c r="T41" s="627"/>
      <c r="U41" s="627"/>
      <c r="V41" s="627"/>
      <c r="W41" s="627"/>
      <c r="X41" s="627"/>
      <c r="Y41" s="627"/>
      <c r="Z41" s="581"/>
      <c r="AA41" s="581"/>
      <c r="AB41" s="581"/>
      <c r="AC41" s="581"/>
      <c r="AD41" s="581"/>
      <c r="AE41" s="627" t="s">
        <v>48</v>
      </c>
      <c r="AF41" s="627"/>
      <c r="AG41" s="627"/>
      <c r="AH41" s="627"/>
      <c r="AI41" s="627"/>
      <c r="AJ41" s="627"/>
      <c r="AK41" s="627"/>
      <c r="AL41" s="627"/>
      <c r="AM41" s="627"/>
      <c r="AN41" s="670"/>
      <c r="AO41" s="581"/>
      <c r="AP41" s="581"/>
      <c r="AQ41" s="581"/>
      <c r="AR41" s="581"/>
      <c r="AS41" s="581"/>
      <c r="AT41" s="627" t="s">
        <v>48</v>
      </c>
      <c r="AU41" s="627"/>
      <c r="AV41" s="627"/>
      <c r="AW41" s="627"/>
      <c r="AX41" s="627"/>
      <c r="AY41" s="627"/>
      <c r="AZ41" s="627"/>
      <c r="BA41" s="627"/>
      <c r="BB41" s="627"/>
      <c r="BC41" s="671"/>
      <c r="BD41" s="581"/>
      <c r="BE41" s="581"/>
      <c r="BF41" s="581"/>
      <c r="BG41" s="581"/>
      <c r="BH41" s="581"/>
      <c r="BI41" s="627" t="s">
        <v>48</v>
      </c>
      <c r="BJ41" s="627"/>
      <c r="BK41" s="627"/>
      <c r="BL41" s="627"/>
      <c r="BM41" s="627"/>
      <c r="BN41" s="627"/>
      <c r="BO41" s="627"/>
      <c r="BP41" s="627"/>
      <c r="BQ41" s="627"/>
      <c r="BR41" s="671"/>
      <c r="BS41" s="581"/>
      <c r="BT41" s="581"/>
      <c r="BU41" s="581"/>
      <c r="BV41" s="581"/>
      <c r="BW41" s="581"/>
      <c r="BX41" s="627" t="s">
        <v>48</v>
      </c>
      <c r="BY41" s="627"/>
      <c r="BZ41" s="627"/>
      <c r="CA41" s="627"/>
      <c r="CB41" s="627"/>
      <c r="CC41" s="627"/>
      <c r="CD41" s="627"/>
      <c r="CE41" s="627"/>
      <c r="CF41" s="627"/>
      <c r="CG41" s="671"/>
      <c r="CH41" s="581"/>
      <c r="CI41" s="581"/>
      <c r="CJ41" s="581"/>
      <c r="CK41" s="581"/>
      <c r="CL41" s="581"/>
      <c r="CM41" s="627" t="s">
        <v>48</v>
      </c>
      <c r="CN41" s="627"/>
      <c r="CO41" s="627"/>
      <c r="CP41" s="627"/>
      <c r="CQ41" s="627"/>
      <c r="CR41" s="627"/>
      <c r="CS41" s="627"/>
      <c r="CT41" s="627"/>
      <c r="CU41" s="627"/>
      <c r="CV41" s="671"/>
      <c r="CW41" s="581"/>
      <c r="CX41" s="581"/>
      <c r="CY41" s="581"/>
      <c r="CZ41" s="581"/>
      <c r="DA41" s="581"/>
      <c r="DB41" s="627" t="s">
        <v>48</v>
      </c>
      <c r="DC41" s="627"/>
      <c r="DD41" s="627"/>
      <c r="DE41" s="627"/>
      <c r="DF41" s="627"/>
      <c r="DG41" s="627"/>
      <c r="DH41" s="627"/>
      <c r="DI41" s="627"/>
      <c r="DJ41" s="627"/>
      <c r="DK41" s="670"/>
    </row>
    <row r="42" ht="14.25" customHeight="1">
      <c r="A42" s="492" t="str">
        <f>"S "&amp;$AD2&amp;" - "&amp;TEXT(C12,"dd/mm")</f>
        <v>S 1 - 12/01</v>
      </c>
      <c r="B42" s="537"/>
      <c r="C42" s="672"/>
      <c r="D42" s="672"/>
      <c r="E42" s="672"/>
      <c r="F42" s="672"/>
      <c r="G42" s="672"/>
      <c r="H42" s="672"/>
      <c r="I42" s="672"/>
      <c r="J42" s="505"/>
      <c r="K42" s="608">
        <v>1.0</v>
      </c>
      <c r="L42" s="619"/>
      <c r="Q42" s="620"/>
      <c r="R42" s="618"/>
      <c r="S42" s="618"/>
      <c r="T42" s="618"/>
      <c r="U42" s="618"/>
      <c r="V42" s="618"/>
      <c r="W42" s="617" t="str">
        <f>IF(L42="","",OFFSET(Biblioteca!$G$2,MATCH(L42,Biblioteca!$A$3:$A$200,0),)*(1.05^(10-S42)))</f>
        <v/>
      </c>
      <c r="X42" s="618"/>
      <c r="Y42" s="670"/>
      <c r="Z42" s="608">
        <v>1.0</v>
      </c>
      <c r="AA42" s="619"/>
      <c r="AF42" s="620"/>
      <c r="AG42" s="618"/>
      <c r="AH42" s="618"/>
      <c r="AI42" s="618"/>
      <c r="AJ42" s="618"/>
      <c r="AK42" s="618"/>
      <c r="AL42" s="617" t="str">
        <f>IF(AA42="","",OFFSET(Biblioteca!$G$2,MATCH(AA42,Biblioteca!$A$3:$A$200,0),)*(1.05^(10-AH42)))</f>
        <v/>
      </c>
      <c r="AM42" s="618"/>
      <c r="AN42" s="670"/>
      <c r="AO42" s="608">
        <v>1.0</v>
      </c>
      <c r="AP42" s="619"/>
      <c r="AU42" s="620"/>
      <c r="AV42" s="618"/>
      <c r="AW42" s="618"/>
      <c r="AX42" s="618"/>
      <c r="AY42" s="618"/>
      <c r="AZ42" s="618"/>
      <c r="BA42" s="617" t="str">
        <f>IF(AP42="","",OFFSET(Biblioteca!$G$2,MATCH(AP42,Biblioteca!$A$3:$A$200,0),)*(1.05^(10-AW42)))</f>
        <v/>
      </c>
      <c r="BB42" s="618"/>
      <c r="BC42" s="670"/>
      <c r="BD42" s="608">
        <v>1.0</v>
      </c>
      <c r="BE42" s="619"/>
      <c r="BJ42" s="620"/>
      <c r="BK42" s="618"/>
      <c r="BL42" s="618"/>
      <c r="BM42" s="618"/>
      <c r="BN42" s="618"/>
      <c r="BO42" s="618"/>
      <c r="BP42" s="617" t="str">
        <f>IF(BE42="","",OFFSET(Biblioteca!$G$2,MATCH(BE42,Biblioteca!$A$3:$A$200,0),)*(1.05^(10-BL42)))</f>
        <v/>
      </c>
      <c r="BQ42" s="618"/>
      <c r="BR42" s="670"/>
      <c r="BS42" s="608">
        <v>1.0</v>
      </c>
      <c r="BT42" s="619"/>
      <c r="BY42" s="620"/>
      <c r="BZ42" s="618"/>
      <c r="CA42" s="618"/>
      <c r="CB42" s="618"/>
      <c r="CC42" s="618"/>
      <c r="CD42" s="618"/>
      <c r="CE42" s="617" t="str">
        <f>IF(BT42="","",OFFSET(Biblioteca!$G$2,MATCH(BT42,Biblioteca!$A$3:$A$200,0),)*(1.05^(10-CA42)))</f>
        <v/>
      </c>
      <c r="CF42" s="618"/>
      <c r="CG42" s="670"/>
      <c r="CH42" s="608">
        <v>1.0</v>
      </c>
      <c r="CI42" s="619"/>
      <c r="CN42" s="620"/>
      <c r="CO42" s="618"/>
      <c r="CP42" s="618"/>
      <c r="CQ42" s="618"/>
      <c r="CR42" s="618"/>
      <c r="CS42" s="618"/>
      <c r="CT42" s="617" t="str">
        <f>IF(CI42="","",OFFSET(Biblioteca!$G$2,MATCH(CI42,Biblioteca!$A$3:$A$200,0),)*(1.05^(10-CP42)))</f>
        <v/>
      </c>
      <c r="CU42" s="618"/>
      <c r="CV42" s="670"/>
      <c r="CW42" s="608">
        <v>1.0</v>
      </c>
      <c r="CX42" s="619"/>
      <c r="DC42" s="620"/>
      <c r="DD42" s="618"/>
      <c r="DE42" s="618"/>
      <c r="DF42" s="618"/>
      <c r="DG42" s="618"/>
      <c r="DH42" s="618"/>
      <c r="DI42" s="617" t="str">
        <f>IF(CX42="","",OFFSET(Biblioteca!$G$2,MATCH(CX42,Biblioteca!$A$3:$A$200,0),)*(1.05^(10-DE42)))</f>
        <v/>
      </c>
      <c r="DJ42" s="618"/>
      <c r="DK42" s="670"/>
    </row>
    <row r="43" ht="14.25" customHeight="1">
      <c r="A43" s="492" t="str">
        <f>"S "&amp;$AD2&amp;" - "&amp;TEXT(C12,"dd/mm")</f>
        <v>S 1 - 12/01</v>
      </c>
      <c r="B43" s="673">
        <f>MAX(C43:I43)</f>
        <v>6</v>
      </c>
      <c r="C43" s="674">
        <f>IF(C14=0,0,1)</f>
        <v>1</v>
      </c>
      <c r="D43" s="674">
        <f>IF(D14=0,0,C43+1)</f>
        <v>2</v>
      </c>
      <c r="E43" s="674">
        <f>IF(E14=0,0,MAX(C43:D43)+1)</f>
        <v>3</v>
      </c>
      <c r="F43" s="674">
        <f>IF(F14=0,0,MAX(C43:E43)+1)</f>
        <v>4</v>
      </c>
      <c r="G43" s="674">
        <f>IF(G14=0,0,MAX(C43:F43)+1)</f>
        <v>5</v>
      </c>
      <c r="H43" s="674">
        <f>IF(H14=0,0,MAX(C43:G43)+1)</f>
        <v>6</v>
      </c>
      <c r="I43" s="674">
        <f>IF(I14=0,0,MAX(C43:H43)+1)</f>
        <v>0</v>
      </c>
      <c r="J43" s="505"/>
      <c r="K43" s="608">
        <f t="shared" ref="K43:K44" si="24">IF(T42="",K42,K42+1)</f>
        <v>1</v>
      </c>
      <c r="L43" s="619"/>
      <c r="Q43" s="620"/>
      <c r="R43" s="618"/>
      <c r="S43" s="618"/>
      <c r="T43" s="618"/>
      <c r="U43" s="618"/>
      <c r="V43" s="618"/>
      <c r="W43" s="617" t="str">
        <f>IF(L43="","",OFFSET(Biblioteca!$G$2,MATCH(L43,Biblioteca!$A$3:$A$200,0),)*(1.05^(10-S43)))</f>
        <v/>
      </c>
      <c r="X43" s="618"/>
      <c r="Y43" s="670"/>
      <c r="Z43" s="608">
        <f t="shared" ref="Z43:Z44" si="25">IF(AI42="",Z42,Z42+1)</f>
        <v>1</v>
      </c>
      <c r="AA43" s="619"/>
      <c r="AF43" s="620"/>
      <c r="AG43" s="618"/>
      <c r="AH43" s="618"/>
      <c r="AI43" s="618"/>
      <c r="AJ43" s="618"/>
      <c r="AK43" s="618"/>
      <c r="AL43" s="617" t="str">
        <f>IF(AA43="","",OFFSET(Biblioteca!$G$2,MATCH(AA43,Biblioteca!$A$3:$A$200,0),)*(1.05^(10-AH43)))</f>
        <v/>
      </c>
      <c r="AM43" s="618"/>
      <c r="AN43" s="670"/>
      <c r="AO43" s="608">
        <f t="shared" ref="AO43:AO44" si="26">IF(AX42="",AO42,AO42+1)</f>
        <v>1</v>
      </c>
      <c r="AP43" s="619"/>
      <c r="AU43" s="620"/>
      <c r="AV43" s="618"/>
      <c r="AW43" s="618"/>
      <c r="AX43" s="618"/>
      <c r="AY43" s="618"/>
      <c r="AZ43" s="618"/>
      <c r="BA43" s="617" t="str">
        <f>IF(AP43="","",OFFSET(Biblioteca!$G$2,MATCH(AP43,Biblioteca!$A$3:$A$200,0),)*(1.05^(10-AW43)))</f>
        <v/>
      </c>
      <c r="BB43" s="618"/>
      <c r="BC43" s="670"/>
      <c r="BD43" s="608">
        <f t="shared" ref="BD43:BD44" si="27">IF(BM42="",BD42,BD42+1)</f>
        <v>1</v>
      </c>
      <c r="BE43" s="619"/>
      <c r="BJ43" s="620"/>
      <c r="BK43" s="618"/>
      <c r="BL43" s="618"/>
      <c r="BM43" s="618"/>
      <c r="BN43" s="618"/>
      <c r="BO43" s="618"/>
      <c r="BP43" s="617" t="str">
        <f>IF(BE43="","",OFFSET(Biblioteca!$G$2,MATCH(BE43,Biblioteca!$A$3:$A$200,0),)*(1.05^(10-BL43)))</f>
        <v/>
      </c>
      <c r="BQ43" s="618"/>
      <c r="BR43" s="670"/>
      <c r="BS43" s="608">
        <f t="shared" ref="BS43:BS44" si="28">IF(CB42="",BS42,BS42+1)</f>
        <v>1</v>
      </c>
      <c r="BT43" s="619"/>
      <c r="BY43" s="620"/>
      <c r="BZ43" s="618"/>
      <c r="CA43" s="618"/>
      <c r="CB43" s="618"/>
      <c r="CC43" s="618"/>
      <c r="CD43" s="618"/>
      <c r="CE43" s="617" t="str">
        <f>IF(BT43="","",OFFSET(Biblioteca!$G$2,MATCH(BT43,Biblioteca!$A$3:$A$200,0),)*(1.05^(10-CA43)))</f>
        <v/>
      </c>
      <c r="CF43" s="618"/>
      <c r="CG43" s="670"/>
      <c r="CH43" s="608">
        <f t="shared" ref="CH43:CH44" si="29">IF(CQ42="",CH42,CH42+1)</f>
        <v>1</v>
      </c>
      <c r="CI43" s="619"/>
      <c r="CN43" s="620"/>
      <c r="CO43" s="618"/>
      <c r="CP43" s="618"/>
      <c r="CQ43" s="618"/>
      <c r="CR43" s="618"/>
      <c r="CS43" s="618"/>
      <c r="CT43" s="617" t="str">
        <f>IF(CI43="","",OFFSET(Biblioteca!$G$2,MATCH(CI43,Biblioteca!$A$3:$A$200,0),)*(1.05^(10-CP43)))</f>
        <v/>
      </c>
      <c r="CU43" s="618"/>
      <c r="CV43" s="670"/>
      <c r="CW43" s="608">
        <f t="shared" ref="CW43:CW44" si="30">IF(DF42="",CW42,CW42+1)</f>
        <v>1</v>
      </c>
      <c r="CX43" s="619"/>
      <c r="DC43" s="620"/>
      <c r="DD43" s="618"/>
      <c r="DE43" s="618"/>
      <c r="DF43" s="618"/>
      <c r="DG43" s="618"/>
      <c r="DH43" s="618"/>
      <c r="DI43" s="617" t="str">
        <f>IF(CX43="","",OFFSET(Biblioteca!$G$2,MATCH(CX43,Biblioteca!$A$3:$A$200,0),)*(1.05^(10-DE43)))</f>
        <v/>
      </c>
      <c r="DJ43" s="618"/>
      <c r="DK43" s="670"/>
    </row>
    <row r="44" ht="14.25" customHeight="1">
      <c r="A44" s="492" t="str">
        <f>"S "&amp;$AD2&amp;" - "&amp;TEXT(C12,"dd/mm")</f>
        <v>S 1 - 12/01</v>
      </c>
      <c r="B44" s="673"/>
      <c r="C44" s="675">
        <f t="shared" ref="C44:I44" si="23">C12</f>
        <v>46034</v>
      </c>
      <c r="D44" s="675">
        <f t="shared" si="23"/>
        <v>46035</v>
      </c>
      <c r="E44" s="675">
        <f t="shared" si="23"/>
        <v>46036</v>
      </c>
      <c r="F44" s="675">
        <f t="shared" si="23"/>
        <v>46037</v>
      </c>
      <c r="G44" s="675">
        <f t="shared" si="23"/>
        <v>46038</v>
      </c>
      <c r="H44" s="675">
        <f t="shared" si="23"/>
        <v>46039</v>
      </c>
      <c r="I44" s="675">
        <f t="shared" si="23"/>
        <v>46040</v>
      </c>
      <c r="J44" s="505"/>
      <c r="K44" s="608">
        <f t="shared" si="24"/>
        <v>1</v>
      </c>
      <c r="L44" s="619"/>
      <c r="Q44" s="620"/>
      <c r="R44" s="618"/>
      <c r="S44" s="618"/>
      <c r="T44" s="618"/>
      <c r="U44" s="618"/>
      <c r="V44" s="618"/>
      <c r="W44" s="617" t="str">
        <f>IF(L44="","",OFFSET(Biblioteca!$G$2,MATCH(L44,Biblioteca!$A$3:$A$200,0),)*(1.05^(10-S44)))</f>
        <v/>
      </c>
      <c r="X44" s="618"/>
      <c r="Y44" s="670"/>
      <c r="Z44" s="608">
        <f t="shared" si="25"/>
        <v>1</v>
      </c>
      <c r="AA44" s="619"/>
      <c r="AF44" s="620"/>
      <c r="AG44" s="618"/>
      <c r="AH44" s="618"/>
      <c r="AI44" s="618"/>
      <c r="AJ44" s="618"/>
      <c r="AK44" s="618"/>
      <c r="AL44" s="617" t="str">
        <f>IF(AA44="","",OFFSET(Biblioteca!$G$2,MATCH(AA44,Biblioteca!$A$3:$A$200,0),)*(1.05^(10-AH44)))</f>
        <v/>
      </c>
      <c r="AM44" s="618"/>
      <c r="AN44" s="670"/>
      <c r="AO44" s="608">
        <f t="shared" si="26"/>
        <v>1</v>
      </c>
      <c r="AP44" s="619"/>
      <c r="AU44" s="620"/>
      <c r="AV44" s="618"/>
      <c r="AW44" s="618"/>
      <c r="AX44" s="618"/>
      <c r="AY44" s="618"/>
      <c r="AZ44" s="618"/>
      <c r="BA44" s="617" t="str">
        <f>IF(AP44="","",OFFSET(Biblioteca!$G$2,MATCH(AP44,Biblioteca!$A$3:$A$200,0),)*(1.05^(10-AW44)))</f>
        <v/>
      </c>
      <c r="BB44" s="618"/>
      <c r="BC44" s="670"/>
      <c r="BD44" s="608">
        <f t="shared" si="27"/>
        <v>1</v>
      </c>
      <c r="BE44" s="619"/>
      <c r="BJ44" s="620"/>
      <c r="BK44" s="618"/>
      <c r="BL44" s="618"/>
      <c r="BM44" s="618"/>
      <c r="BN44" s="618"/>
      <c r="BO44" s="618"/>
      <c r="BP44" s="617" t="str">
        <f>IF(BE44="","",OFFSET(Biblioteca!$G$2,MATCH(BE44,Biblioteca!$A$3:$A$200,0),)*(1.05^(10-BL44)))</f>
        <v/>
      </c>
      <c r="BQ44" s="618"/>
      <c r="BR44" s="670"/>
      <c r="BS44" s="608">
        <f t="shared" si="28"/>
        <v>1</v>
      </c>
      <c r="BT44" s="619"/>
      <c r="BY44" s="620"/>
      <c r="BZ44" s="618"/>
      <c r="CA44" s="618"/>
      <c r="CB44" s="618"/>
      <c r="CC44" s="618"/>
      <c r="CD44" s="618"/>
      <c r="CE44" s="617" t="str">
        <f>IF(BT44="","",OFFSET(Biblioteca!$G$2,MATCH(BT44,Biblioteca!$A$3:$A$200,0),)*(1.05^(10-CA44)))</f>
        <v/>
      </c>
      <c r="CF44" s="618"/>
      <c r="CG44" s="670"/>
      <c r="CH44" s="608">
        <f t="shared" si="29"/>
        <v>1</v>
      </c>
      <c r="CI44" s="619"/>
      <c r="CN44" s="620"/>
      <c r="CO44" s="618"/>
      <c r="CP44" s="618"/>
      <c r="CQ44" s="618"/>
      <c r="CR44" s="618"/>
      <c r="CS44" s="618"/>
      <c r="CT44" s="617" t="str">
        <f>IF(CI44="","",OFFSET(Biblioteca!$G$2,MATCH(CI44,Biblioteca!$A$3:$A$200,0),)*(1.05^(10-CP44)))</f>
        <v/>
      </c>
      <c r="CU44" s="618"/>
      <c r="CV44" s="670"/>
      <c r="CW44" s="608">
        <f t="shared" si="30"/>
        <v>1</v>
      </c>
      <c r="CX44" s="619"/>
      <c r="DC44" s="620"/>
      <c r="DD44" s="618"/>
      <c r="DE44" s="618"/>
      <c r="DF44" s="618"/>
      <c r="DG44" s="618"/>
      <c r="DH44" s="618"/>
      <c r="DI44" s="617" t="str">
        <f>IF(CX44="","",OFFSET(Biblioteca!$G$2,MATCH(CX44,Biblioteca!$A$3:$A$200,0),)*(1.05^(10-DE44)))</f>
        <v/>
      </c>
      <c r="DJ44" s="618"/>
      <c r="DK44" s="670"/>
    </row>
    <row r="45" ht="14.25" customHeight="1">
      <c r="A45" s="492" t="str">
        <f>"S "&amp;$AD2&amp;" - "&amp;TEXT(C12,"dd/mm")</f>
        <v>S 1 - 12/01</v>
      </c>
      <c r="B45" s="673"/>
      <c r="C45" s="676">
        <f>OFFSET($B44,0,MATCH(1,$C43:$I43,0))</f>
        <v>46034</v>
      </c>
      <c r="D45" s="676">
        <f>OFFSET($B44,0,MATCH(2,$C43:$I43,0))</f>
        <v>46035</v>
      </c>
      <c r="E45" s="676">
        <f>OFFSET($B44,0,MATCH(3,$C43:$I43,0))</f>
        <v>46036</v>
      </c>
      <c r="F45" s="676">
        <f>OFFSET($B44,0,MATCH(4,$C43:$I43,0))</f>
        <v>46037</v>
      </c>
      <c r="G45" s="676">
        <f>OFFSET($B44,0,MATCH(5,$C43:$I43,0))</f>
        <v>46038</v>
      </c>
      <c r="H45" s="676">
        <f>OFFSET($B44,0,MATCH(6,$C43:$I43,0))</f>
        <v>46039</v>
      </c>
      <c r="I45" s="672" t="str">
        <f>OFFSET($B44,0,MATCH(7,$C43:$I43,0))</f>
        <v>#N/A</v>
      </c>
      <c r="J45" s="505"/>
      <c r="K45" s="581"/>
      <c r="L45" s="582"/>
      <c r="M45" s="582"/>
      <c r="N45" s="582"/>
      <c r="O45" s="582"/>
      <c r="P45" s="582" t="s">
        <v>174</v>
      </c>
      <c r="Q45" s="582"/>
      <c r="R45" s="582"/>
      <c r="S45" s="582"/>
      <c r="T45" s="582"/>
      <c r="U45" s="582"/>
      <c r="V45" s="582"/>
      <c r="W45" s="582"/>
      <c r="X45" s="582"/>
      <c r="Y45" s="670"/>
      <c r="Z45" s="581"/>
      <c r="AA45" s="582"/>
      <c r="AB45" s="582"/>
      <c r="AC45" s="582"/>
      <c r="AD45" s="582"/>
      <c r="AE45" s="582" t="s">
        <v>174</v>
      </c>
      <c r="AF45" s="582"/>
      <c r="AG45" s="582"/>
      <c r="AH45" s="582"/>
      <c r="AI45" s="582"/>
      <c r="AJ45" s="582"/>
      <c r="AK45" s="582"/>
      <c r="AL45" s="582"/>
      <c r="AM45" s="582"/>
      <c r="AN45" s="670"/>
      <c r="AO45" s="581"/>
      <c r="AP45" s="582"/>
      <c r="AQ45" s="582"/>
      <c r="AR45" s="582"/>
      <c r="AS45" s="582"/>
      <c r="AT45" s="582" t="s">
        <v>174</v>
      </c>
      <c r="AU45" s="582"/>
      <c r="AV45" s="582"/>
      <c r="AW45" s="582"/>
      <c r="AX45" s="582"/>
      <c r="AY45" s="582"/>
      <c r="AZ45" s="582"/>
      <c r="BA45" s="582"/>
      <c r="BB45" s="582"/>
      <c r="BC45" s="671"/>
      <c r="BD45" s="581"/>
      <c r="BE45" s="582"/>
      <c r="BF45" s="582"/>
      <c r="BG45" s="582"/>
      <c r="BH45" s="582"/>
      <c r="BI45" s="582" t="s">
        <v>174</v>
      </c>
      <c r="BJ45" s="582"/>
      <c r="BK45" s="582"/>
      <c r="BL45" s="582"/>
      <c r="BM45" s="582"/>
      <c r="BN45" s="582"/>
      <c r="BO45" s="582"/>
      <c r="BP45" s="582"/>
      <c r="BQ45" s="582"/>
      <c r="BR45" s="671"/>
      <c r="BS45" s="581"/>
      <c r="BT45" s="582"/>
      <c r="BU45" s="582"/>
      <c r="BV45" s="582"/>
      <c r="BW45" s="582"/>
      <c r="BX45" s="582" t="s">
        <v>174</v>
      </c>
      <c r="BY45" s="582"/>
      <c r="BZ45" s="582"/>
      <c r="CA45" s="582"/>
      <c r="CB45" s="582"/>
      <c r="CC45" s="582"/>
      <c r="CD45" s="582"/>
      <c r="CE45" s="582"/>
      <c r="CF45" s="582"/>
      <c r="CG45" s="671"/>
      <c r="CH45" s="581"/>
      <c r="CI45" s="582"/>
      <c r="CJ45" s="582"/>
      <c r="CK45" s="582"/>
      <c r="CL45" s="582"/>
      <c r="CM45" s="582" t="s">
        <v>174</v>
      </c>
      <c r="CN45" s="582"/>
      <c r="CO45" s="582"/>
      <c r="CP45" s="582"/>
      <c r="CQ45" s="582"/>
      <c r="CR45" s="582"/>
      <c r="CS45" s="582"/>
      <c r="CT45" s="582"/>
      <c r="CU45" s="582"/>
      <c r="CV45" s="671"/>
      <c r="CW45" s="581"/>
      <c r="CX45" s="582"/>
      <c r="CY45" s="582"/>
      <c r="CZ45" s="582"/>
      <c r="DA45" s="582"/>
      <c r="DB45" s="582" t="s">
        <v>174</v>
      </c>
      <c r="DC45" s="582"/>
      <c r="DD45" s="582"/>
      <c r="DE45" s="582"/>
      <c r="DF45" s="582"/>
      <c r="DG45" s="582"/>
      <c r="DH45" s="582"/>
      <c r="DI45" s="582"/>
      <c r="DJ45" s="582"/>
      <c r="DK45" s="670"/>
    </row>
    <row r="46" ht="14.25" customHeight="1">
      <c r="A46" s="492" t="str">
        <f>"S "&amp;$AD2&amp;" - "&amp;TEXT(C12,"dd/mm")</f>
        <v>S 1 - 12/01</v>
      </c>
      <c r="B46" s="666" t="s">
        <v>267</v>
      </c>
      <c r="C46" s="672">
        <f t="shared" ref="C46:I46" si="31">(C23/60)*C22*C21</f>
        <v>0</v>
      </c>
      <c r="D46" s="672">
        <f t="shared" si="31"/>
        <v>3.75</v>
      </c>
      <c r="E46" s="672">
        <f t="shared" si="31"/>
        <v>0</v>
      </c>
      <c r="F46" s="672">
        <f t="shared" si="31"/>
        <v>6</v>
      </c>
      <c r="G46" s="672">
        <f t="shared" si="31"/>
        <v>0</v>
      </c>
      <c r="H46" s="672">
        <f t="shared" si="31"/>
        <v>0</v>
      </c>
      <c r="I46" s="672">
        <f t="shared" si="31"/>
        <v>0</v>
      </c>
      <c r="J46" s="505"/>
      <c r="K46" s="498"/>
      <c r="T46" s="677" t="s">
        <v>311</v>
      </c>
      <c r="X46" s="678"/>
      <c r="Y46" s="670"/>
      <c r="Z46" s="498"/>
      <c r="AI46" s="677" t="s">
        <v>311</v>
      </c>
      <c r="AM46" s="678"/>
      <c r="AN46" s="670"/>
      <c r="AO46" s="498"/>
      <c r="AX46" s="677" t="s">
        <v>311</v>
      </c>
      <c r="BB46" s="678"/>
      <c r="BC46" s="670"/>
      <c r="BD46" s="498"/>
      <c r="BM46" s="677" t="s">
        <v>311</v>
      </c>
      <c r="BQ46" s="678"/>
      <c r="BR46" s="670"/>
      <c r="BS46" s="498"/>
      <c r="CB46" s="677" t="s">
        <v>311</v>
      </c>
      <c r="CF46" s="678"/>
      <c r="CG46" s="670"/>
      <c r="CH46" s="498"/>
      <c r="CQ46" s="677" t="s">
        <v>311</v>
      </c>
      <c r="CU46" s="678"/>
      <c r="CV46" s="670"/>
      <c r="CW46" s="498"/>
      <c r="DF46" s="677" t="s">
        <v>311</v>
      </c>
      <c r="DJ46" s="678"/>
      <c r="DK46" s="670"/>
    </row>
    <row r="47" ht="14.25" customHeight="1">
      <c r="A47" s="492" t="str">
        <f>"S "&amp;$AD2&amp;" - "&amp;TEXT(C12,"dd/mm")</f>
        <v>S 1 - 12/01</v>
      </c>
      <c r="B47" s="666" t="s">
        <v>272</v>
      </c>
      <c r="C47" s="672">
        <f t="shared" ref="C47:I47" si="32">(C24/60)*C22*C21</f>
        <v>0</v>
      </c>
      <c r="D47" s="672">
        <f t="shared" si="32"/>
        <v>1.25</v>
      </c>
      <c r="E47" s="672">
        <f t="shared" si="32"/>
        <v>0</v>
      </c>
      <c r="F47" s="672">
        <f t="shared" si="32"/>
        <v>0</v>
      </c>
      <c r="G47" s="672">
        <f t="shared" si="32"/>
        <v>0</v>
      </c>
      <c r="H47" s="672">
        <f t="shared" si="32"/>
        <v>0</v>
      </c>
      <c r="I47" s="672">
        <f t="shared" si="32"/>
        <v>0</v>
      </c>
      <c r="J47" s="505"/>
      <c r="K47" s="498"/>
      <c r="Y47" s="670"/>
      <c r="Z47" s="498"/>
      <c r="AN47" s="670"/>
      <c r="AO47" s="498"/>
      <c r="BC47" s="670"/>
      <c r="BD47" s="498"/>
      <c r="BR47" s="670"/>
      <c r="BS47" s="498"/>
      <c r="CG47" s="670"/>
      <c r="CH47" s="498"/>
      <c r="CV47" s="670"/>
      <c r="CW47" s="498"/>
      <c r="DK47" s="670"/>
    </row>
    <row r="48" ht="14.25" customHeight="1">
      <c r="A48" s="492" t="str">
        <f>"S "&amp;$AD2&amp;" - "&amp;TEXT(C12,"dd/mm")</f>
        <v>S 1 - 12/01</v>
      </c>
      <c r="B48" s="537"/>
      <c r="C48" s="672"/>
      <c r="D48" s="672"/>
      <c r="E48" s="672"/>
      <c r="F48" s="672"/>
      <c r="G48" s="672"/>
      <c r="H48" s="672"/>
      <c r="I48" s="672"/>
      <c r="J48" s="505"/>
      <c r="K48" s="498"/>
      <c r="Y48" s="670"/>
      <c r="Z48" s="498"/>
      <c r="AN48" s="670"/>
      <c r="AO48" s="498"/>
      <c r="BC48" s="670"/>
      <c r="BD48" s="498"/>
      <c r="BR48" s="670"/>
      <c r="BS48" s="498"/>
      <c r="CG48" s="670"/>
      <c r="CH48" s="498"/>
      <c r="CV48" s="670"/>
      <c r="CW48" s="498"/>
      <c r="DK48" s="670"/>
    </row>
    <row r="49" ht="14.25" customHeight="1">
      <c r="A49" s="492" t="str">
        <f>"S "&amp;$AD2&amp;" - "&amp;TEXT(C12,"dd/mm")</f>
        <v>S 1 - 12/01</v>
      </c>
      <c r="B49" s="537"/>
      <c r="C49" s="498"/>
      <c r="D49" s="498"/>
      <c r="E49" s="498"/>
      <c r="F49" s="498"/>
      <c r="G49" s="498"/>
      <c r="H49" s="498"/>
      <c r="I49" s="498"/>
      <c r="J49" s="505"/>
      <c r="K49" s="498"/>
      <c r="Y49" s="670"/>
      <c r="Z49" s="498"/>
      <c r="AN49" s="670"/>
      <c r="AO49" s="498"/>
      <c r="BC49" s="670"/>
      <c r="BD49" s="498"/>
      <c r="BR49" s="670"/>
      <c r="BS49" s="498"/>
      <c r="CG49" s="670"/>
      <c r="CH49" s="498"/>
      <c r="CV49" s="670"/>
      <c r="CW49" s="498"/>
      <c r="DK49" s="670"/>
    </row>
    <row r="50" ht="14.25" customHeight="1">
      <c r="A50" s="492" t="str">
        <f>"S "&amp;$AD2&amp;" - "&amp;TEXT(C12,"dd/mm")</f>
        <v>S 1 - 12/01</v>
      </c>
      <c r="B50" s="537"/>
      <c r="C50" s="498"/>
      <c r="D50" s="498"/>
      <c r="E50" s="498"/>
      <c r="F50" s="498"/>
      <c r="G50" s="498"/>
      <c r="H50" s="498"/>
      <c r="I50" s="498"/>
      <c r="J50" s="679"/>
      <c r="K50" s="498"/>
      <c r="Y50" s="670"/>
      <c r="Z50" s="498"/>
      <c r="AN50" s="670"/>
      <c r="AO50" s="498"/>
      <c r="BC50" s="670"/>
      <c r="BD50" s="498"/>
      <c r="BR50" s="670"/>
      <c r="BS50" s="498"/>
      <c r="CG50" s="670"/>
      <c r="CH50" s="498"/>
      <c r="CV50" s="670"/>
      <c r="CW50" s="498"/>
      <c r="DK50" s="670"/>
    </row>
    <row r="51" ht="14.25" customHeight="1">
      <c r="A51" s="680" t="str">
        <f>"S "&amp;$F$2&amp;" - "&amp;TEXT($C$12,"dd/mm")</f>
        <v>S 29 - 12/01</v>
      </c>
      <c r="B51" s="681"/>
      <c r="C51" s="682"/>
      <c r="D51" s="681"/>
      <c r="E51" s="681"/>
      <c r="F51" s="682"/>
      <c r="G51" s="681"/>
      <c r="H51" s="681"/>
      <c r="I51" s="681"/>
      <c r="J51" s="683"/>
      <c r="K51" s="681"/>
      <c r="L51" s="681"/>
      <c r="M51" s="681"/>
      <c r="N51" s="681"/>
      <c r="O51" s="681"/>
      <c r="P51" s="681"/>
      <c r="Q51" s="684"/>
      <c r="R51" s="685"/>
      <c r="S51" s="685"/>
      <c r="T51" s="685"/>
      <c r="U51" s="685"/>
      <c r="V51" s="685"/>
      <c r="W51" s="685"/>
      <c r="X51" s="684"/>
      <c r="Y51" s="686"/>
      <c r="Z51" s="686"/>
      <c r="AA51" s="671"/>
      <c r="AB51" s="671"/>
      <c r="AC51" s="671"/>
      <c r="AD51" s="671"/>
      <c r="AE51" s="686"/>
      <c r="AF51" s="671"/>
      <c r="AG51" s="671"/>
      <c r="AH51" s="671"/>
      <c r="AI51" s="671"/>
      <c r="AJ51" s="671"/>
      <c r="AK51" s="671"/>
      <c r="AL51" s="686"/>
      <c r="AM51" s="687"/>
      <c r="AN51" s="686"/>
      <c r="AO51" s="686"/>
      <c r="AP51" s="671"/>
      <c r="AQ51" s="671"/>
      <c r="AR51" s="671"/>
      <c r="AS51" s="671"/>
      <c r="AT51" s="686"/>
      <c r="AU51" s="671"/>
      <c r="AV51" s="671"/>
      <c r="AW51" s="671"/>
      <c r="AX51" s="671"/>
      <c r="AY51" s="671"/>
      <c r="AZ51" s="686"/>
      <c r="BA51" s="686"/>
      <c r="BB51" s="687"/>
      <c r="BC51" s="686"/>
      <c r="BD51" s="686"/>
      <c r="BE51" s="671"/>
      <c r="BF51" s="671"/>
      <c r="BG51" s="671"/>
      <c r="BH51" s="671"/>
      <c r="BI51" s="686"/>
      <c r="BJ51" s="671"/>
      <c r="BK51" s="671"/>
      <c r="BL51" s="671"/>
      <c r="BM51" s="671"/>
      <c r="BN51" s="671"/>
      <c r="BO51" s="686"/>
      <c r="BP51" s="686"/>
      <c r="BQ51" s="687"/>
      <c r="BR51" s="686"/>
      <c r="BS51" s="686"/>
      <c r="BT51" s="671"/>
      <c r="BU51" s="671"/>
      <c r="BV51" s="671"/>
      <c r="BW51" s="671"/>
      <c r="BX51" s="686"/>
      <c r="BY51" s="671"/>
      <c r="BZ51" s="671"/>
      <c r="CA51" s="671"/>
      <c r="CB51" s="671"/>
      <c r="CC51" s="671"/>
      <c r="CD51" s="686"/>
      <c r="CE51" s="686"/>
      <c r="CF51" s="687"/>
      <c r="CG51" s="686"/>
      <c r="CH51" s="686"/>
      <c r="CI51" s="671"/>
      <c r="CJ51" s="671"/>
      <c r="CK51" s="671"/>
      <c r="CL51" s="671"/>
      <c r="CM51" s="686"/>
      <c r="CN51" s="671"/>
      <c r="CO51" s="671"/>
      <c r="CP51" s="671"/>
      <c r="CQ51" s="671"/>
      <c r="CR51" s="671"/>
      <c r="CS51" s="686"/>
      <c r="CT51" s="686"/>
      <c r="CU51" s="687"/>
      <c r="CV51" s="686"/>
      <c r="CW51" s="686"/>
      <c r="CX51" s="671"/>
      <c r="CY51" s="671"/>
      <c r="CZ51" s="671"/>
      <c r="DA51" s="671"/>
      <c r="DB51" s="686"/>
      <c r="DC51" s="671"/>
      <c r="DD51" s="671"/>
      <c r="DE51" s="671"/>
      <c r="DF51" s="671"/>
      <c r="DG51" s="671"/>
      <c r="DH51" s="686"/>
      <c r="DI51" s="686"/>
      <c r="DJ51" s="687"/>
      <c r="DK51" s="686"/>
    </row>
    <row r="52" ht="14.25" customHeight="1">
      <c r="A52" s="492" t="str">
        <f>"S "&amp;$AD52&amp;" - "&amp;TEXT(C62,"dd/mm")</f>
        <v>S 2 - 19/01</v>
      </c>
      <c r="B52" s="688" t="s">
        <v>5</v>
      </c>
      <c r="C52" s="689">
        <f>OFFSET('Periodização Macrociclo'!$D$37,0,MATCH(F52,'Periodização Macrociclo'!$E$5:$BN$5,0))</f>
        <v>8</v>
      </c>
      <c r="D52" s="688" t="s">
        <v>6</v>
      </c>
      <c r="E52" s="472"/>
      <c r="F52" s="690">
        <f>F2+1</f>
        <v>30</v>
      </c>
      <c r="G52" s="688" t="s">
        <v>180</v>
      </c>
      <c r="H52" s="472"/>
      <c r="I52" s="691">
        <f>COUNT(C65:I65)</f>
        <v>4</v>
      </c>
      <c r="J52" s="692"/>
      <c r="K52" s="691" t="str">
        <f>B52</f>
        <v>Meso </v>
      </c>
      <c r="L52" s="472"/>
      <c r="M52" s="693">
        <f t="shared" ref="M52:N52" si="33">C52</f>
        <v>8</v>
      </c>
      <c r="N52" s="688" t="str">
        <f t="shared" si="33"/>
        <v>Micro</v>
      </c>
      <c r="O52" s="472"/>
      <c r="P52" s="472"/>
      <c r="Q52" s="694">
        <f>F52</f>
        <v>30</v>
      </c>
      <c r="R52" s="695" t="s">
        <v>181</v>
      </c>
      <c r="S52" s="472"/>
      <c r="T52" s="472"/>
      <c r="U52" s="472"/>
      <c r="V52" s="472"/>
      <c r="W52" s="472"/>
      <c r="X52" s="696">
        <f>SUM(IF(V60&gt;0,1,0),IF(AK60&gt;0,1,0),IF(AZ60&gt;0,1,0),IF(BO60&gt;0,1,0),IF(CD60&gt;0,1,0),IF(CS60&gt;0,1,0),IF(DH60&gt;0,1,0))</f>
        <v>6</v>
      </c>
      <c r="Y52" s="697"/>
      <c r="Z52" s="498"/>
      <c r="AA52" s="509"/>
      <c r="AB52" s="513" t="s">
        <v>0</v>
      </c>
      <c r="AC52" s="61"/>
      <c r="AD52" s="511">
        <f>AD2+1</f>
        <v>2</v>
      </c>
      <c r="AE52" s="498"/>
      <c r="AF52" s="512" t="s">
        <v>182</v>
      </c>
      <c r="AG52" s="60"/>
      <c r="AH52" s="60"/>
      <c r="AI52" s="60"/>
      <c r="AJ52" s="60"/>
      <c r="AK52" s="61"/>
      <c r="AL52" s="498"/>
      <c r="AM52" s="501"/>
      <c r="AN52" s="498"/>
      <c r="AO52" s="498"/>
      <c r="AP52" s="509"/>
      <c r="AQ52" s="513" t="s">
        <v>0</v>
      </c>
      <c r="AR52" s="61"/>
      <c r="AS52" s="511">
        <f>$AD52</f>
        <v>2</v>
      </c>
      <c r="AT52" s="498"/>
      <c r="AU52" s="512" t="s">
        <v>182</v>
      </c>
      <c r="AV52" s="60"/>
      <c r="AW52" s="60"/>
      <c r="AX52" s="60"/>
      <c r="AY52" s="60"/>
      <c r="AZ52" s="61"/>
      <c r="BA52" s="498"/>
      <c r="BB52" s="501"/>
      <c r="BC52" s="498"/>
      <c r="BD52" s="498"/>
      <c r="BE52" s="509"/>
      <c r="BF52" s="513" t="s">
        <v>0</v>
      </c>
      <c r="BG52" s="61"/>
      <c r="BH52" s="511">
        <f>$AD52</f>
        <v>2</v>
      </c>
      <c r="BI52" s="498"/>
      <c r="BJ52" s="512" t="s">
        <v>182</v>
      </c>
      <c r="BK52" s="60"/>
      <c r="BL52" s="60"/>
      <c r="BM52" s="60"/>
      <c r="BN52" s="60"/>
      <c r="BO52" s="61"/>
      <c r="BP52" s="498"/>
      <c r="BQ52" s="501"/>
      <c r="BR52" s="498"/>
      <c r="BS52" s="498"/>
      <c r="BT52" s="509"/>
      <c r="BU52" s="513" t="s">
        <v>0</v>
      </c>
      <c r="BV52" s="61"/>
      <c r="BW52" s="511">
        <f>$AD52</f>
        <v>2</v>
      </c>
      <c r="BX52" s="498"/>
      <c r="BY52" s="512" t="s">
        <v>182</v>
      </c>
      <c r="BZ52" s="60"/>
      <c r="CA52" s="60"/>
      <c r="CB52" s="60"/>
      <c r="CC52" s="60"/>
      <c r="CD52" s="61"/>
      <c r="CE52" s="498"/>
      <c r="CF52" s="501"/>
      <c r="CG52" s="498"/>
      <c r="CH52" s="498"/>
      <c r="CI52" s="509"/>
      <c r="CJ52" s="513" t="s">
        <v>0</v>
      </c>
      <c r="CK52" s="61"/>
      <c r="CL52" s="511">
        <f>$AD52</f>
        <v>2</v>
      </c>
      <c r="CM52" s="498"/>
      <c r="CN52" s="512" t="s">
        <v>182</v>
      </c>
      <c r="CO52" s="60"/>
      <c r="CP52" s="60"/>
      <c r="CQ52" s="60"/>
      <c r="CR52" s="60"/>
      <c r="CS52" s="61"/>
      <c r="CT52" s="498"/>
      <c r="CU52" s="501"/>
      <c r="CV52" s="498"/>
      <c r="CW52" s="498"/>
      <c r="CX52" s="509"/>
      <c r="CY52" s="513" t="s">
        <v>0</v>
      </c>
      <c r="CZ52" s="61"/>
      <c r="DA52" s="511">
        <f>$AD52</f>
        <v>2</v>
      </c>
      <c r="DB52" s="498"/>
      <c r="DC52" s="512" t="s">
        <v>182</v>
      </c>
      <c r="DD52" s="60"/>
      <c r="DE52" s="60"/>
      <c r="DF52" s="60"/>
      <c r="DG52" s="60"/>
      <c r="DH52" s="61"/>
      <c r="DI52" s="498"/>
      <c r="DJ52" s="501"/>
      <c r="DK52" s="498"/>
    </row>
    <row r="53" ht="14.25" customHeight="1">
      <c r="A53" s="492" t="str">
        <f>"S "&amp;$AD52&amp;" - "&amp;TEXT(C62,"dd/mm")</f>
        <v>S 2 - 19/01</v>
      </c>
      <c r="B53" s="514" t="s">
        <v>183</v>
      </c>
      <c r="J53" s="505"/>
      <c r="K53" s="515" t="s">
        <v>184</v>
      </c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70"/>
      <c r="Y53" s="498"/>
      <c r="Z53" s="498"/>
      <c r="AA53" s="509"/>
      <c r="AB53" s="509"/>
      <c r="AC53" s="509"/>
      <c r="AD53" s="509"/>
      <c r="AE53" s="498"/>
      <c r="AF53" s="516" t="s">
        <v>185</v>
      </c>
      <c r="AG53" s="516">
        <f>$C64</f>
        <v>62</v>
      </c>
      <c r="AH53" s="517" t="s">
        <v>186</v>
      </c>
      <c r="AI53" s="61"/>
      <c r="AJ53" s="517">
        <f>$H64</f>
        <v>14</v>
      </c>
      <c r="AK53" s="61"/>
      <c r="AL53" s="498"/>
      <c r="AM53" s="501"/>
      <c r="AN53" s="498"/>
      <c r="AO53" s="498"/>
      <c r="AP53" s="509"/>
      <c r="AQ53" s="513" t="s">
        <v>187</v>
      </c>
      <c r="AR53" s="61"/>
      <c r="AS53" s="511" t="b">
        <v>1</v>
      </c>
      <c r="AT53" s="498"/>
      <c r="AU53" s="516" t="s">
        <v>185</v>
      </c>
      <c r="AV53" s="516">
        <f>$C64</f>
        <v>62</v>
      </c>
      <c r="AW53" s="517" t="s">
        <v>186</v>
      </c>
      <c r="AX53" s="61"/>
      <c r="AY53" s="517">
        <f>$H64</f>
        <v>14</v>
      </c>
      <c r="AZ53" s="61"/>
      <c r="BA53" s="498"/>
      <c r="BB53" s="501"/>
      <c r="BC53" s="498"/>
      <c r="BD53" s="498"/>
      <c r="BE53" s="509"/>
      <c r="BF53" s="509"/>
      <c r="BG53" s="509"/>
      <c r="BH53" s="509"/>
      <c r="BI53" s="498"/>
      <c r="BJ53" s="516" t="s">
        <v>185</v>
      </c>
      <c r="BK53" s="516">
        <f>$C64</f>
        <v>62</v>
      </c>
      <c r="BL53" s="517" t="s">
        <v>186</v>
      </c>
      <c r="BM53" s="61"/>
      <c r="BN53" s="517">
        <f>$H64</f>
        <v>14</v>
      </c>
      <c r="BO53" s="61"/>
      <c r="BP53" s="498"/>
      <c r="BQ53" s="501"/>
      <c r="BR53" s="498"/>
      <c r="BS53" s="498"/>
      <c r="BT53" s="509"/>
      <c r="BU53" s="509"/>
      <c r="BV53" s="509"/>
      <c r="BW53" s="509"/>
      <c r="BX53" s="498"/>
      <c r="BY53" s="516" t="s">
        <v>185</v>
      </c>
      <c r="BZ53" s="516">
        <f>$C64</f>
        <v>62</v>
      </c>
      <c r="CA53" s="517" t="s">
        <v>186</v>
      </c>
      <c r="CB53" s="61"/>
      <c r="CC53" s="517">
        <f>$H64</f>
        <v>14</v>
      </c>
      <c r="CD53" s="61"/>
      <c r="CE53" s="498"/>
      <c r="CF53" s="501"/>
      <c r="CG53" s="498"/>
      <c r="CH53" s="498"/>
      <c r="CI53" s="509"/>
      <c r="CJ53" s="509"/>
      <c r="CK53" s="509"/>
      <c r="CL53" s="509"/>
      <c r="CM53" s="498"/>
      <c r="CN53" s="516" t="s">
        <v>185</v>
      </c>
      <c r="CO53" s="516">
        <f>$C64</f>
        <v>62</v>
      </c>
      <c r="CP53" s="517" t="s">
        <v>186</v>
      </c>
      <c r="CQ53" s="61"/>
      <c r="CR53" s="517">
        <f>$H64</f>
        <v>14</v>
      </c>
      <c r="CS53" s="61"/>
      <c r="CT53" s="498"/>
      <c r="CU53" s="501"/>
      <c r="CV53" s="498"/>
      <c r="CW53" s="498"/>
      <c r="CX53" s="509"/>
      <c r="CY53" s="509"/>
      <c r="CZ53" s="509"/>
      <c r="DA53" s="509"/>
      <c r="DB53" s="498"/>
      <c r="DC53" s="516" t="s">
        <v>185</v>
      </c>
      <c r="DD53" s="516">
        <f>$C64</f>
        <v>62</v>
      </c>
      <c r="DE53" s="517" t="s">
        <v>186</v>
      </c>
      <c r="DF53" s="61"/>
      <c r="DG53" s="517">
        <f>$H64</f>
        <v>14</v>
      </c>
      <c r="DH53" s="61"/>
      <c r="DI53" s="498"/>
      <c r="DJ53" s="501"/>
      <c r="DK53" s="498"/>
    </row>
    <row r="54" ht="14.25" customHeight="1">
      <c r="A54" s="492" t="str">
        <f>"S "&amp;$AD52&amp;" - "&amp;TEXT(C62,"dd/mm")</f>
        <v>S 2 - 19/01</v>
      </c>
      <c r="B54" s="518" t="s">
        <v>188</v>
      </c>
      <c r="C54" s="519"/>
      <c r="D54" s="520">
        <f>HLOOKUP(F52,'Periodização Macrociclo'!$E$5:$BN$19,15,FALSE)</f>
        <v>0</v>
      </c>
      <c r="E54" s="521" t="s">
        <v>189</v>
      </c>
      <c r="F54" s="522"/>
      <c r="G54" s="519"/>
      <c r="H54" s="698">
        <f>HLOOKUP(F52,'Periodização Macrociclo'!$E$5:$BN$20,16,FALSE)</f>
        <v>0</v>
      </c>
      <c r="I54" s="524">
        <f>MATCH(F52,'Periodização Macrociclo'!$E$5:$BP$5,0)</f>
        <v>37</v>
      </c>
      <c r="J54" s="505"/>
      <c r="K54" s="525" t="s">
        <v>139</v>
      </c>
      <c r="L54" s="240"/>
      <c r="M54" s="526" t="str">
        <f>OFFSET('Periodização Macrociclo'!$D$10,0,$I54)</f>
        <v/>
      </c>
      <c r="N54" s="527" t="s">
        <v>190</v>
      </c>
      <c r="O54" s="528">
        <f>OFFSET('Periodização Macrociclo'!$D$12,0,$I54)</f>
        <v>30</v>
      </c>
      <c r="P54" s="529" t="s">
        <v>143</v>
      </c>
      <c r="Q54" s="530"/>
      <c r="R54" s="531" t="str">
        <f>OFFSET('Periodização Macrociclo'!$D$14,0,$I54)</f>
        <v/>
      </c>
      <c r="S54" s="532" t="s">
        <v>191</v>
      </c>
      <c r="T54" s="239"/>
      <c r="U54" s="239"/>
      <c r="V54" s="239"/>
      <c r="W54" s="240"/>
      <c r="X54" s="533" t="str">
        <f>OFFSET('Periodização Macrociclo'!$D$16,0,$I54)</f>
        <v/>
      </c>
      <c r="Y54" s="498"/>
      <c r="Z54" s="498"/>
      <c r="AA54" s="509"/>
      <c r="AB54" s="509"/>
      <c r="AC54" s="509"/>
      <c r="AD54" s="509"/>
      <c r="AE54" s="498"/>
      <c r="AF54" s="516" t="s">
        <v>192</v>
      </c>
      <c r="AG54" s="516">
        <f>$D64</f>
        <v>62</v>
      </c>
      <c r="AH54" s="517" t="s">
        <v>193</v>
      </c>
      <c r="AI54" s="61"/>
      <c r="AJ54" s="517">
        <f>$I64</f>
        <v>0</v>
      </c>
      <c r="AK54" s="61"/>
      <c r="AL54" s="498"/>
      <c r="AM54" s="501"/>
      <c r="AN54" s="498"/>
      <c r="AO54" s="498"/>
      <c r="AP54" s="509"/>
      <c r="AQ54" s="509"/>
      <c r="AR54" s="509"/>
      <c r="AS54" s="509"/>
      <c r="AT54" s="498"/>
      <c r="AU54" s="516" t="s">
        <v>192</v>
      </c>
      <c r="AV54" s="516">
        <f>$D64</f>
        <v>62</v>
      </c>
      <c r="AW54" s="517" t="s">
        <v>193</v>
      </c>
      <c r="AX54" s="61"/>
      <c r="AY54" s="517">
        <f>$I64</f>
        <v>0</v>
      </c>
      <c r="AZ54" s="61"/>
      <c r="BA54" s="498"/>
      <c r="BB54" s="501"/>
      <c r="BC54" s="498"/>
      <c r="BD54" s="498"/>
      <c r="BE54" s="509"/>
      <c r="BF54" s="509"/>
      <c r="BG54" s="509"/>
      <c r="BH54" s="509"/>
      <c r="BI54" s="498"/>
      <c r="BJ54" s="516" t="s">
        <v>192</v>
      </c>
      <c r="BK54" s="516">
        <f>$D64</f>
        <v>62</v>
      </c>
      <c r="BL54" s="517" t="s">
        <v>193</v>
      </c>
      <c r="BM54" s="61"/>
      <c r="BN54" s="517">
        <f>$I64</f>
        <v>0</v>
      </c>
      <c r="BO54" s="61"/>
      <c r="BP54" s="498"/>
      <c r="BQ54" s="501"/>
      <c r="BR54" s="498"/>
      <c r="BS54" s="498"/>
      <c r="BT54" s="509"/>
      <c r="BU54" s="509"/>
      <c r="BV54" s="509"/>
      <c r="BW54" s="509"/>
      <c r="BX54" s="498"/>
      <c r="BY54" s="516" t="s">
        <v>192</v>
      </c>
      <c r="BZ54" s="516">
        <f>$D64</f>
        <v>62</v>
      </c>
      <c r="CA54" s="517" t="s">
        <v>193</v>
      </c>
      <c r="CB54" s="61"/>
      <c r="CC54" s="517">
        <f>$I64</f>
        <v>0</v>
      </c>
      <c r="CD54" s="61"/>
      <c r="CE54" s="498"/>
      <c r="CF54" s="501"/>
      <c r="CG54" s="498"/>
      <c r="CH54" s="498"/>
      <c r="CI54" s="509"/>
      <c r="CJ54" s="509"/>
      <c r="CK54" s="509"/>
      <c r="CL54" s="509"/>
      <c r="CM54" s="498"/>
      <c r="CN54" s="516" t="s">
        <v>192</v>
      </c>
      <c r="CO54" s="516">
        <f>$D64</f>
        <v>62</v>
      </c>
      <c r="CP54" s="517" t="s">
        <v>193</v>
      </c>
      <c r="CQ54" s="61"/>
      <c r="CR54" s="517">
        <f>$I64</f>
        <v>0</v>
      </c>
      <c r="CS54" s="61"/>
      <c r="CT54" s="498"/>
      <c r="CU54" s="501"/>
      <c r="CV54" s="498"/>
      <c r="CW54" s="498"/>
      <c r="CX54" s="509"/>
      <c r="CY54" s="509"/>
      <c r="CZ54" s="509"/>
      <c r="DA54" s="509"/>
      <c r="DB54" s="498"/>
      <c r="DC54" s="516" t="s">
        <v>192</v>
      </c>
      <c r="DD54" s="516">
        <f>$D64</f>
        <v>62</v>
      </c>
      <c r="DE54" s="517" t="s">
        <v>193</v>
      </c>
      <c r="DF54" s="61"/>
      <c r="DG54" s="517">
        <f>$I64</f>
        <v>0</v>
      </c>
      <c r="DH54" s="61"/>
      <c r="DI54" s="498"/>
      <c r="DJ54" s="501"/>
      <c r="DK54" s="498"/>
    </row>
    <row r="55" ht="14.25" customHeight="1">
      <c r="A55" s="492" t="str">
        <f>"S "&amp;$AD52&amp;" - "&amp;TEXT(C62,"dd/mm")</f>
        <v>S 2 - 19/01</v>
      </c>
      <c r="B55" s="534" t="s">
        <v>194</v>
      </c>
      <c r="C55" s="535" t="s">
        <v>195</v>
      </c>
      <c r="D55" s="535" t="s">
        <v>196</v>
      </c>
      <c r="E55" s="535" t="s">
        <v>197</v>
      </c>
      <c r="F55" s="535" t="s">
        <v>198</v>
      </c>
      <c r="G55" s="535" t="s">
        <v>199</v>
      </c>
      <c r="H55" s="536" t="s">
        <v>200</v>
      </c>
      <c r="I55" s="537"/>
      <c r="J55" s="505"/>
      <c r="K55" s="538" t="s">
        <v>140</v>
      </c>
      <c r="L55" s="61"/>
      <c r="M55" s="539" t="str">
        <f>OFFSET('Periodização Macrociclo'!$D$11,0,$I54)</f>
        <v/>
      </c>
      <c r="N55" s="540" t="s">
        <v>142</v>
      </c>
      <c r="O55" s="541">
        <f>OFFSET('Periodização Macrociclo'!$D$13,0,$I54)</f>
        <v>2</v>
      </c>
      <c r="P55" s="542" t="s">
        <v>15</v>
      </c>
      <c r="Q55" s="543"/>
      <c r="R55" s="544" t="str">
        <f>OFFSET('Periodização Macrociclo'!$D$15,0,$I54)</f>
        <v/>
      </c>
      <c r="S55" s="545" t="s">
        <v>201</v>
      </c>
      <c r="T55" s="60"/>
      <c r="U55" s="60"/>
      <c r="V55" s="60"/>
      <c r="W55" s="61"/>
      <c r="X55" s="533">
        <f>SUM(IF(V60&gt;0,1,0),IF(AK60&gt;0,1,0),IF(AZ60&gt;0,1,0),IF(BO60&gt;0,1,0),IF(CD60&gt;0,1,0),IF(CS60&gt;0,1,0),IF(DH60&gt;0,1,0))</f>
        <v>6</v>
      </c>
      <c r="Y55" s="537"/>
      <c r="Z55" s="498"/>
      <c r="AA55" s="509"/>
      <c r="AB55" s="509"/>
      <c r="AC55" s="509"/>
      <c r="AD55" s="509"/>
      <c r="AE55" s="498"/>
      <c r="AF55" s="516" t="s">
        <v>202</v>
      </c>
      <c r="AG55" s="546">
        <f>$E64</f>
        <v>14</v>
      </c>
      <c r="AH55" s="517" t="s">
        <v>200</v>
      </c>
      <c r="AI55" s="61"/>
      <c r="AJ55" s="547">
        <f>SUM($AG52:$AG56,$AJ52:$AJ53)</f>
        <v>239</v>
      </c>
      <c r="AK55" s="61"/>
      <c r="AL55" s="537"/>
      <c r="AM55" s="548"/>
      <c r="AN55" s="537"/>
      <c r="AO55" s="498"/>
      <c r="AP55" s="509"/>
      <c r="AQ55" s="509"/>
      <c r="AR55" s="509"/>
      <c r="AS55" s="509"/>
      <c r="AT55" s="498"/>
      <c r="AU55" s="516" t="s">
        <v>202</v>
      </c>
      <c r="AV55" s="546">
        <f>$E64</f>
        <v>14</v>
      </c>
      <c r="AW55" s="517" t="s">
        <v>200</v>
      </c>
      <c r="AX55" s="61"/>
      <c r="AY55" s="547">
        <f>SUM($AG52:$AG56,$AJ52:$AJ53)</f>
        <v>239</v>
      </c>
      <c r="AZ55" s="61"/>
      <c r="BA55" s="537"/>
      <c r="BB55" s="548"/>
      <c r="BC55" s="537"/>
      <c r="BD55" s="498"/>
      <c r="BE55" s="509"/>
      <c r="BF55" s="509"/>
      <c r="BG55" s="509"/>
      <c r="BH55" s="509"/>
      <c r="BI55" s="498"/>
      <c r="BJ55" s="516" t="s">
        <v>202</v>
      </c>
      <c r="BK55" s="546">
        <f>$E64</f>
        <v>14</v>
      </c>
      <c r="BL55" s="517" t="s">
        <v>200</v>
      </c>
      <c r="BM55" s="61"/>
      <c r="BN55" s="547">
        <f>SUM($AG52:$AG56,$AJ52:$AJ53)</f>
        <v>239</v>
      </c>
      <c r="BO55" s="61"/>
      <c r="BP55" s="537"/>
      <c r="BQ55" s="548"/>
      <c r="BR55" s="537"/>
      <c r="BS55" s="498"/>
      <c r="BT55" s="509"/>
      <c r="BU55" s="509"/>
      <c r="BV55" s="509"/>
      <c r="BW55" s="509"/>
      <c r="BX55" s="498"/>
      <c r="BY55" s="516" t="s">
        <v>202</v>
      </c>
      <c r="BZ55" s="546">
        <f>$E64</f>
        <v>14</v>
      </c>
      <c r="CA55" s="517" t="s">
        <v>200</v>
      </c>
      <c r="CB55" s="61"/>
      <c r="CC55" s="547">
        <f>SUM($AG52:$AG56,$AJ52:$AJ53)</f>
        <v>239</v>
      </c>
      <c r="CD55" s="61"/>
      <c r="CE55" s="537"/>
      <c r="CF55" s="548"/>
      <c r="CG55" s="537"/>
      <c r="CH55" s="498"/>
      <c r="CI55" s="509"/>
      <c r="CJ55" s="509"/>
      <c r="CK55" s="509"/>
      <c r="CL55" s="509"/>
      <c r="CM55" s="498"/>
      <c r="CN55" s="516" t="s">
        <v>202</v>
      </c>
      <c r="CO55" s="546">
        <f>$E64</f>
        <v>14</v>
      </c>
      <c r="CP55" s="517" t="s">
        <v>200</v>
      </c>
      <c r="CQ55" s="61"/>
      <c r="CR55" s="547">
        <f>SUM($AG52:$AG56,$AJ52:$AJ53)</f>
        <v>239</v>
      </c>
      <c r="CS55" s="61"/>
      <c r="CT55" s="537"/>
      <c r="CU55" s="548"/>
      <c r="CV55" s="537"/>
      <c r="CW55" s="498"/>
      <c r="CX55" s="509"/>
      <c r="CY55" s="509"/>
      <c r="CZ55" s="509"/>
      <c r="DA55" s="509"/>
      <c r="DB55" s="498"/>
      <c r="DC55" s="516" t="s">
        <v>202</v>
      </c>
      <c r="DD55" s="546">
        <f>$E64</f>
        <v>14</v>
      </c>
      <c r="DE55" s="517" t="s">
        <v>200</v>
      </c>
      <c r="DF55" s="61"/>
      <c r="DG55" s="547">
        <f>SUM($AG52:$AG56,$AJ52:$AJ53)</f>
        <v>239</v>
      </c>
      <c r="DH55" s="61"/>
      <c r="DI55" s="537"/>
      <c r="DJ55" s="548"/>
      <c r="DK55" s="537"/>
    </row>
    <row r="56" ht="14.25" customHeight="1">
      <c r="A56" s="492" t="str">
        <f>"S "&amp;$AD52&amp;" - "&amp;TEXT(C62,"dd/mm")</f>
        <v>S 2 - 19/01</v>
      </c>
      <c r="B56" s="549" t="s">
        <v>203</v>
      </c>
      <c r="C56" s="550">
        <f>OFFSET('Periodização Macrociclo'!$D$21,0,$I54)</f>
        <v>25</v>
      </c>
      <c r="D56" s="550">
        <f>OFFSET('Periodização Macrociclo'!$D$22,0,$I54)</f>
        <v>40</v>
      </c>
      <c r="E56" s="550">
        <f>OFFSET('Periodização Macrociclo'!$D$23,0,$I54)</f>
        <v>20</v>
      </c>
      <c r="F56" s="550">
        <f>OFFSET('Periodização Macrociclo'!$D$24,0,$I54)</f>
        <v>10</v>
      </c>
      <c r="G56" s="550">
        <f>OFFSET('Periodização Macrociclo'!$D$25,0,$I54)</f>
        <v>5</v>
      </c>
      <c r="H56" s="551">
        <f>SUM(C56:G56)</f>
        <v>100</v>
      </c>
      <c r="I56" s="498"/>
      <c r="J56" s="505"/>
      <c r="K56" s="552" t="s">
        <v>151</v>
      </c>
      <c r="L56" s="553"/>
      <c r="M56" s="554" t="str">
        <f>OFFSET('Periodização Macrociclo'!$D$18,0,$I54)</f>
        <v/>
      </c>
      <c r="N56" s="472"/>
      <c r="O56" s="553"/>
      <c r="P56" s="555" t="s">
        <v>170</v>
      </c>
      <c r="Q56" s="556"/>
      <c r="R56" s="557" t="str">
        <f>OFFSET('Periodização Macrociclo'!$D$7,0,$I54)</f>
        <v>ORD</v>
      </c>
      <c r="S56" s="558" t="s">
        <v>150</v>
      </c>
      <c r="T56" s="472"/>
      <c r="U56" s="472"/>
      <c r="V56" s="472"/>
      <c r="W56" s="553"/>
      <c r="X56" s="559" t="str">
        <f>OFFSET('Periodização Macrociclo'!$D$17,0,$I54)</f>
        <v/>
      </c>
      <c r="Y56" s="498"/>
      <c r="Z56" s="498"/>
      <c r="AA56" s="509"/>
      <c r="AB56" s="509"/>
      <c r="AC56" s="509"/>
      <c r="AD56" s="509"/>
      <c r="AE56" s="537"/>
      <c r="AF56" s="560" t="s">
        <v>204</v>
      </c>
      <c r="AG56" s="560">
        <f>$F64</f>
        <v>87</v>
      </c>
      <c r="AH56" s="537"/>
      <c r="AL56" s="498"/>
      <c r="AM56" s="501"/>
      <c r="AN56" s="498"/>
      <c r="AO56" s="498"/>
      <c r="AP56" s="509"/>
      <c r="AQ56" s="509"/>
      <c r="AR56" s="509"/>
      <c r="AS56" s="509"/>
      <c r="AT56" s="537"/>
      <c r="AU56" s="560" t="s">
        <v>204</v>
      </c>
      <c r="AV56" s="560">
        <f>$F64</f>
        <v>87</v>
      </c>
      <c r="AW56" s="537"/>
      <c r="BA56" s="498"/>
      <c r="BB56" s="501"/>
      <c r="BC56" s="498"/>
      <c r="BD56" s="498"/>
      <c r="BE56" s="509"/>
      <c r="BF56" s="509"/>
      <c r="BG56" s="509"/>
      <c r="BH56" s="509"/>
      <c r="BI56" s="537"/>
      <c r="BJ56" s="560" t="s">
        <v>204</v>
      </c>
      <c r="BK56" s="560">
        <f>$F64</f>
        <v>87</v>
      </c>
      <c r="BL56" s="537"/>
      <c r="BP56" s="498"/>
      <c r="BQ56" s="501"/>
      <c r="BR56" s="498"/>
      <c r="BS56" s="498"/>
      <c r="BT56" s="509"/>
      <c r="BU56" s="509"/>
      <c r="BV56" s="509"/>
      <c r="BW56" s="509"/>
      <c r="BX56" s="537"/>
      <c r="BY56" s="560" t="s">
        <v>204</v>
      </c>
      <c r="BZ56" s="560">
        <f>$F64</f>
        <v>87</v>
      </c>
      <c r="CA56" s="537"/>
      <c r="CE56" s="498"/>
      <c r="CF56" s="501"/>
      <c r="CG56" s="498"/>
      <c r="CH56" s="498"/>
      <c r="CI56" s="509"/>
      <c r="CJ56" s="509"/>
      <c r="CK56" s="509"/>
      <c r="CL56" s="509"/>
      <c r="CM56" s="537"/>
      <c r="CN56" s="560" t="s">
        <v>204</v>
      </c>
      <c r="CO56" s="560">
        <f>$F64</f>
        <v>87</v>
      </c>
      <c r="CP56" s="537"/>
      <c r="CT56" s="498"/>
      <c r="CU56" s="501"/>
      <c r="CV56" s="498"/>
      <c r="CW56" s="498"/>
      <c r="CX56" s="509"/>
      <c r="CY56" s="509"/>
      <c r="CZ56" s="509"/>
      <c r="DA56" s="509"/>
      <c r="DB56" s="537"/>
      <c r="DC56" s="560" t="s">
        <v>204</v>
      </c>
      <c r="DD56" s="560">
        <f>$F64</f>
        <v>87</v>
      </c>
      <c r="DE56" s="537"/>
      <c r="DI56" s="498"/>
      <c r="DJ56" s="501"/>
      <c r="DK56" s="498"/>
    </row>
    <row r="57" ht="14.25" customHeight="1">
      <c r="A57" s="492" t="str">
        <f>"S "&amp;$AD52&amp;" - "&amp;TEXT(C62,"dd/mm")</f>
        <v>S 2 - 19/01</v>
      </c>
      <c r="B57" s="561" t="s">
        <v>205</v>
      </c>
      <c r="C57" s="562">
        <f>D54*(C56/100)</f>
        <v>0</v>
      </c>
      <c r="D57" s="562">
        <f>D54*(D56/100)</f>
        <v>0</v>
      </c>
      <c r="E57" s="562">
        <f>D54*(E56/100)</f>
        <v>0</v>
      </c>
      <c r="F57" s="550">
        <f>D54*(F56/200)</f>
        <v>0</v>
      </c>
      <c r="G57" s="699">
        <f>D54*(G56/200)</f>
        <v>0</v>
      </c>
      <c r="H57" s="563">
        <f t="shared" ref="H57:H59" si="34">SUM(C57:E57,F57*2,G57*2)</f>
        <v>0</v>
      </c>
      <c r="I57" s="498"/>
      <c r="J57" s="505"/>
      <c r="K57" s="498"/>
      <c r="L57" s="498"/>
      <c r="M57" s="498"/>
      <c r="N57" s="498"/>
      <c r="O57" s="499"/>
      <c r="P57" s="499"/>
      <c r="Q57" s="499"/>
      <c r="R57" s="498"/>
      <c r="S57" s="498"/>
      <c r="T57" s="499"/>
      <c r="U57" s="499"/>
      <c r="V57" s="499"/>
      <c r="W57" s="498"/>
      <c r="X57" s="501"/>
      <c r="Y57" s="498"/>
      <c r="Z57" s="498"/>
      <c r="AA57" s="509"/>
      <c r="AB57" s="509"/>
      <c r="AC57" s="509"/>
      <c r="AD57" s="509"/>
      <c r="AE57" s="498"/>
      <c r="AF57" s="516" t="s">
        <v>206</v>
      </c>
      <c r="AG57" s="546">
        <f>$G64</f>
        <v>53</v>
      </c>
      <c r="AL57" s="498"/>
      <c r="AM57" s="501"/>
      <c r="AN57" s="498"/>
      <c r="AO57" s="498"/>
      <c r="AP57" s="509"/>
      <c r="AQ57" s="509"/>
      <c r="AR57" s="509"/>
      <c r="AS57" s="509"/>
      <c r="AT57" s="498"/>
      <c r="AU57" s="516" t="s">
        <v>206</v>
      </c>
      <c r="AV57" s="546">
        <f>$G64</f>
        <v>53</v>
      </c>
      <c r="BA57" s="498"/>
      <c r="BB57" s="501"/>
      <c r="BC57" s="498"/>
      <c r="BD57" s="498"/>
      <c r="BE57" s="509"/>
      <c r="BF57" s="509"/>
      <c r="BG57" s="509"/>
      <c r="BH57" s="509"/>
      <c r="BI57" s="498"/>
      <c r="BJ57" s="516" t="s">
        <v>206</v>
      </c>
      <c r="BK57" s="546">
        <f>$G64</f>
        <v>53</v>
      </c>
      <c r="BP57" s="498"/>
      <c r="BQ57" s="501"/>
      <c r="BR57" s="498"/>
      <c r="BS57" s="498"/>
      <c r="BT57" s="509"/>
      <c r="BU57" s="509"/>
      <c r="BV57" s="509"/>
      <c r="BW57" s="509"/>
      <c r="BX57" s="498"/>
      <c r="BY57" s="516" t="s">
        <v>206</v>
      </c>
      <c r="BZ57" s="546">
        <f>$G64</f>
        <v>53</v>
      </c>
      <c r="CE57" s="498"/>
      <c r="CF57" s="501"/>
      <c r="CG57" s="498"/>
      <c r="CH57" s="498"/>
      <c r="CI57" s="509"/>
      <c r="CJ57" s="509"/>
      <c r="CK57" s="509"/>
      <c r="CL57" s="509"/>
      <c r="CM57" s="498"/>
      <c r="CN57" s="516" t="s">
        <v>206</v>
      </c>
      <c r="CO57" s="546">
        <f>$G64</f>
        <v>53</v>
      </c>
      <c r="CT57" s="498"/>
      <c r="CU57" s="501"/>
      <c r="CV57" s="498"/>
      <c r="CW57" s="498"/>
      <c r="CX57" s="509"/>
      <c r="CY57" s="509"/>
      <c r="CZ57" s="509"/>
      <c r="DA57" s="509"/>
      <c r="DB57" s="498"/>
      <c r="DC57" s="516" t="s">
        <v>206</v>
      </c>
      <c r="DD57" s="546">
        <f>$G64</f>
        <v>53</v>
      </c>
      <c r="DI57" s="498"/>
      <c r="DJ57" s="501"/>
      <c r="DK57" s="498"/>
    </row>
    <row r="58" ht="14.25" customHeight="1">
      <c r="A58" s="492" t="str">
        <f>"S "&amp;$AD52&amp;" - "&amp;TEXT(C62,"dd/mm")</f>
        <v>S 2 - 19/01</v>
      </c>
      <c r="B58" s="564" t="s">
        <v>207</v>
      </c>
      <c r="C58" s="565">
        <f>SUMIFS(C96:I96,C77:I77,"&lt;=0,6")+SUMIFS(C97:I97,C75:I75,"&lt;=0,6")+SUMIFS(C65:I65,C77:I77,"&lt;=0,6",C96:I96,0)</f>
        <v>40</v>
      </c>
      <c r="D58" s="565">
        <f>SUMIFS(C96:I96,C77:I77,"&gt;0,6",C77:I77,"&lt;=0,8")+SUMIFS(C97:I97,C75:I75,"&gt;0,6",C75:I75,"&lt;=0,8")+SUMIFS(C65:I65,C77:I77,"&gt;0,6",C77:I77,"&lt;=0,8",C96:I96,0)</f>
        <v>0</v>
      </c>
      <c r="E58" s="565">
        <f>SUMIFS(C96:I96,C77:I77,"&gt;0,8",C77:I77,"&lt;=0,9")+SUMIFS(C97:I97,C75:I75,"&gt;0,8",C75:I75,"&lt;=0,9")+SUMIFS(C65:I65,C77:I77,"&gt;0,8",C77:I77,"&lt;=0,9",C96:I96,0)</f>
        <v>15</v>
      </c>
      <c r="F58" s="565">
        <f>SUMIFS(C96:I96,C77:I77,"&gt;0,9",C77:I77,"&lt;=1")+SUMIFS(C97:I97,C75:I75,"&gt;0,9",C75:I75,"&lt;=1")+SUMIFS(C65:I65,C77:I77,"&gt;0,9",C77:I77,"&lt;=1",C96:I96,0)</f>
        <v>0</v>
      </c>
      <c r="G58" s="565">
        <f>SUMIFS(C96:I96,C77:I77,"&gt;1")+SUMIFS(C97:I97,C75:I75,"&gt;1")+SUMIFS(C65:I65,C77:I77,"&gt;1",C96:I96,0)</f>
        <v>0</v>
      </c>
      <c r="H58" s="563">
        <f t="shared" si="34"/>
        <v>55</v>
      </c>
      <c r="I58" s="498"/>
      <c r="J58" s="505"/>
      <c r="K58" s="566">
        <f>C62</f>
        <v>46041</v>
      </c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567"/>
      <c r="Z58" s="568">
        <f>K58+1</f>
        <v>46042</v>
      </c>
      <c r="AA58" s="155"/>
      <c r="AB58" s="155"/>
      <c r="AC58" s="155"/>
      <c r="AD58" s="155"/>
      <c r="AE58" s="155"/>
      <c r="AF58" s="155"/>
      <c r="AG58" s="155"/>
      <c r="AH58" s="155"/>
      <c r="AI58" s="155"/>
      <c r="AJ58" s="155"/>
      <c r="AK58" s="155"/>
      <c r="AL58" s="155"/>
      <c r="AM58" s="155"/>
      <c r="AN58" s="567"/>
      <c r="AO58" s="568">
        <f>Z58+1</f>
        <v>46043</v>
      </c>
      <c r="AP58" s="155"/>
      <c r="AQ58" s="155"/>
      <c r="AR58" s="155"/>
      <c r="AS58" s="155"/>
      <c r="AT58" s="155"/>
      <c r="AU58" s="155"/>
      <c r="AV58" s="155"/>
      <c r="AW58" s="155"/>
      <c r="AX58" s="155"/>
      <c r="AY58" s="155"/>
      <c r="AZ58" s="155"/>
      <c r="BA58" s="155"/>
      <c r="BB58" s="155"/>
      <c r="BC58" s="567"/>
      <c r="BD58" s="568">
        <f>AO58+1</f>
        <v>46044</v>
      </c>
      <c r="BE58" s="155"/>
      <c r="BF58" s="155"/>
      <c r="BG58" s="155"/>
      <c r="BH58" s="155"/>
      <c r="BI58" s="155"/>
      <c r="BJ58" s="155"/>
      <c r="BK58" s="155"/>
      <c r="BL58" s="155"/>
      <c r="BM58" s="155"/>
      <c r="BN58" s="155"/>
      <c r="BO58" s="155"/>
      <c r="BP58" s="155"/>
      <c r="BQ58" s="155"/>
      <c r="BR58" s="567"/>
      <c r="BS58" s="568">
        <f>BD58+1</f>
        <v>46045</v>
      </c>
      <c r="BT58" s="155"/>
      <c r="BU58" s="155"/>
      <c r="BV58" s="155"/>
      <c r="BW58" s="155"/>
      <c r="BX58" s="155"/>
      <c r="BY58" s="155"/>
      <c r="BZ58" s="155"/>
      <c r="CA58" s="155"/>
      <c r="CB58" s="155"/>
      <c r="CC58" s="155"/>
      <c r="CD58" s="155"/>
      <c r="CE58" s="155"/>
      <c r="CF58" s="155"/>
      <c r="CG58" s="567"/>
      <c r="CH58" s="568">
        <f>BS58+1</f>
        <v>46046</v>
      </c>
      <c r="CI58" s="155"/>
      <c r="CJ58" s="155"/>
      <c r="CK58" s="155"/>
      <c r="CL58" s="155"/>
      <c r="CM58" s="155"/>
      <c r="CN58" s="155"/>
      <c r="CO58" s="155"/>
      <c r="CP58" s="155"/>
      <c r="CQ58" s="155"/>
      <c r="CR58" s="155"/>
      <c r="CS58" s="155"/>
      <c r="CT58" s="155"/>
      <c r="CU58" s="155"/>
      <c r="CV58" s="567"/>
      <c r="CW58" s="568">
        <f>CH58+1</f>
        <v>46047</v>
      </c>
      <c r="CX58" s="155"/>
      <c r="CY58" s="155"/>
      <c r="CZ58" s="155"/>
      <c r="DA58" s="155"/>
      <c r="DB58" s="155"/>
      <c r="DC58" s="155"/>
      <c r="DD58" s="155"/>
      <c r="DE58" s="155"/>
      <c r="DF58" s="155"/>
      <c r="DG58" s="155"/>
      <c r="DH58" s="155"/>
      <c r="DI58" s="155"/>
      <c r="DJ58" s="155"/>
      <c r="DK58" s="567"/>
    </row>
    <row r="59" ht="14.25" customHeight="1">
      <c r="A59" s="492" t="str">
        <f>"S "&amp;$AD52&amp;" - "&amp;TEXT(C62,"dd/mm")</f>
        <v>S 2 - 19/01</v>
      </c>
      <c r="B59" s="534" t="s">
        <v>208</v>
      </c>
      <c r="C59" s="528">
        <f t="shared" ref="C59:G59" si="35">C57-C58</f>
        <v>-40</v>
      </c>
      <c r="D59" s="528">
        <f t="shared" si="35"/>
        <v>0</v>
      </c>
      <c r="E59" s="528">
        <f t="shared" si="35"/>
        <v>-15</v>
      </c>
      <c r="F59" s="528">
        <f t="shared" si="35"/>
        <v>0</v>
      </c>
      <c r="G59" s="528">
        <f t="shared" si="35"/>
        <v>0</v>
      </c>
      <c r="H59" s="563">
        <f t="shared" si="34"/>
        <v>-55</v>
      </c>
      <c r="I59" s="498"/>
      <c r="J59" s="505"/>
      <c r="K59" s="569" t="s">
        <v>209</v>
      </c>
      <c r="Y59" s="570"/>
      <c r="Z59" s="571" t="s">
        <v>210</v>
      </c>
      <c r="AN59" s="570"/>
      <c r="AO59" s="571" t="s">
        <v>211</v>
      </c>
      <c r="BC59" s="570"/>
      <c r="BD59" s="571" t="s">
        <v>212</v>
      </c>
      <c r="BR59" s="570"/>
      <c r="BS59" s="571" t="s">
        <v>213</v>
      </c>
      <c r="CG59" s="570"/>
      <c r="CH59" s="571" t="s">
        <v>214</v>
      </c>
      <c r="CV59" s="570"/>
      <c r="CW59" s="571" t="s">
        <v>215</v>
      </c>
      <c r="DK59" s="570"/>
    </row>
    <row r="60" ht="14.25" customHeight="1">
      <c r="A60" s="492" t="str">
        <f>"S "&amp;$AD52&amp;" - "&amp;TEXT(C62,"dd/mm")</f>
        <v>S 2 - 19/01</v>
      </c>
      <c r="B60" s="572" t="s">
        <v>216</v>
      </c>
      <c r="C60" s="573"/>
      <c r="D60" s="472"/>
      <c r="E60" s="553"/>
      <c r="F60" s="554"/>
      <c r="G60" s="472"/>
      <c r="H60" s="574"/>
      <c r="I60" s="498"/>
      <c r="J60" s="505"/>
      <c r="K60" s="575" t="s">
        <v>217</v>
      </c>
      <c r="N60" s="576">
        <f>C64</f>
        <v>62</v>
      </c>
      <c r="O60" s="577" t="s">
        <v>218</v>
      </c>
      <c r="Q60" s="575">
        <f>C65</f>
        <v>15</v>
      </c>
      <c r="S60" s="577" t="s">
        <v>219</v>
      </c>
      <c r="V60" s="578">
        <f>ROUNDUP((SUMPRODUCT(S66:S69,(U66:U69+V66:V69),R66:R69)+SUMPRODUCT(T66:T69,R66:R69)+SUMPRODUCT(S71:S90,(U71:U90+V71:V90),R71:R90)+SUMPRODUCT(T71:T90,R71:R90)+SUMPRODUCT(S92:S94,(U92:U94+V92:V94),R92:R94)+SUMPRODUCT(T92:T94,R92:R94))/60,0)</f>
        <v>37</v>
      </c>
      <c r="Y60" s="579"/>
      <c r="Z60" s="580" t="s">
        <v>217</v>
      </c>
      <c r="AC60" s="576">
        <f>D64</f>
        <v>62</v>
      </c>
      <c r="AD60" s="577" t="s">
        <v>218</v>
      </c>
      <c r="AF60" s="575">
        <f>D65</f>
        <v>15</v>
      </c>
      <c r="AH60" s="577" t="s">
        <v>219</v>
      </c>
      <c r="AK60" s="578">
        <f>ROUNDUP((SUMPRODUCT(AH66:AH69,(AJ66:AJ69+AK66:AK69),AG66:AG69)+SUMPRODUCT(AI66:AI69,AG66:AG69)+SUMPRODUCT(AH71:AH90,(AJ71:AJ90+AK71:AK90),AG71:AG90)+SUMPRODUCT(AI71:AI90,AG71:AG90)+SUMPRODUCT(AH92:AH94,(AJ92:AJ94+AK92:AK94),AG92:AG94)+SUMPRODUCT(AI92:AI94,AG92:AG94))/60,0)</f>
        <v>37</v>
      </c>
      <c r="AN60" s="579"/>
      <c r="AO60" s="580" t="s">
        <v>217</v>
      </c>
      <c r="AR60" s="576">
        <f>E64</f>
        <v>14</v>
      </c>
      <c r="AS60" s="577" t="s">
        <v>218</v>
      </c>
      <c r="AU60" s="575" t="str">
        <f>E65</f>
        <v/>
      </c>
      <c r="AW60" s="577" t="s">
        <v>219</v>
      </c>
      <c r="AZ60" s="578">
        <f>ROUNDUP((SUMPRODUCT(AW66:AW69,(AY66:AY69+AZ66:AZ69),AV66:AV69)+SUMPRODUCT(AX66:AX69,AV66:AV69)+SUMPRODUCT(AW71:AW90,(AY71:AY90+AZ71:AZ90),AV71:AV90)+SUMPRODUCT(AX71:AX90,AV71:AV90)+SUMPRODUCT(AW92:AW94,(AY92:AY94+AZ92:AZ94),AV92:AV94)+SUMPRODUCT(AX92:AX94,AV92:AV94))/60,0)</f>
        <v>4</v>
      </c>
      <c r="BC60" s="579"/>
      <c r="BD60" s="580" t="s">
        <v>217</v>
      </c>
      <c r="BG60" s="576">
        <f>F64</f>
        <v>87</v>
      </c>
      <c r="BH60" s="577" t="s">
        <v>218</v>
      </c>
      <c r="BJ60" s="575">
        <f>F65</f>
        <v>40</v>
      </c>
      <c r="BL60" s="577" t="s">
        <v>219</v>
      </c>
      <c r="BO60" s="578">
        <f>ROUNDUP((SUMPRODUCT(BL66:BL69,(BN66:BN69+BO66:BO69),BK66:BK69)+SUMPRODUCT(BM66:BM69,BK66:BK69)+SUMPRODUCT(BL71:BL90,(BN71:BN90+BO71:BO90),BK71:BK90)+SUMPRODUCT(BM71:BM90,BK71:BK90)+SUMPRODUCT(BL92:BL94,(BN92:BN94+BO92:BO94),BK92:BK94)+SUMPRODUCT(BM92:BM94,BK92:BK94))/60,0)</f>
        <v>37</v>
      </c>
      <c r="BR60" s="579"/>
      <c r="BS60" s="580" t="s">
        <v>217</v>
      </c>
      <c r="BV60" s="576">
        <f>G64</f>
        <v>53</v>
      </c>
      <c r="BW60" s="577" t="s">
        <v>218</v>
      </c>
      <c r="BY60" s="575">
        <f>G65</f>
        <v>10</v>
      </c>
      <c r="CA60" s="577" t="s">
        <v>219</v>
      </c>
      <c r="CD60" s="578">
        <f>ROUNDUP((SUMPRODUCT(CA66:CA69,(CC66:CC69+CD66:CD69),BZ66:BZ69)+SUMPRODUCT(CB66:CB69,BZ66:BZ69)+SUMPRODUCT(CA71:CA90,(CC71:CC90+CD71:CD90),BZ71:BZ90)+SUMPRODUCT(CB71:CB90,BZ71:BZ90)+SUMPRODUCT(CA92:CA94,(CC92:CC94+CD92:CD94),BZ92:BZ94)+SUMPRODUCT(CB92:CB94,BZ92:BZ94))/60,0)</f>
        <v>33</v>
      </c>
      <c r="CG60" s="579"/>
      <c r="CH60" s="580" t="s">
        <v>217</v>
      </c>
      <c r="CK60" s="576">
        <f>H64</f>
        <v>14</v>
      </c>
      <c r="CL60" s="577" t="s">
        <v>218</v>
      </c>
      <c r="CN60" s="575" t="str">
        <f>H65</f>
        <v/>
      </c>
      <c r="CP60" s="577" t="s">
        <v>219</v>
      </c>
      <c r="CS60" s="578">
        <f>ROUNDUP((SUMPRODUCT(CP66:CP69,(CR66:CR69+CS66:CS69),CO66:CO69)+SUMPRODUCT(CQ66:CQ69,CO66:CO69)+SUMPRODUCT(CP71:CP90,(CR71:CR90+CS71:CS90),CO71:CO90)+SUMPRODUCT(CQ71:CQ90,CO71:CO90)+SUMPRODUCT(CP92:CP94,(CR92:CR94+CS92:CS94),CO92:CO94)+SUMPRODUCT(CQ92:CQ94,CO92:CO94))/60,0)</f>
        <v>4</v>
      </c>
      <c r="CV60" s="579"/>
      <c r="CW60" s="580" t="s">
        <v>217</v>
      </c>
      <c r="CZ60" s="576">
        <f>I64</f>
        <v>0</v>
      </c>
      <c r="DA60" s="577" t="s">
        <v>218</v>
      </c>
      <c r="DC60" s="575" t="str">
        <f>I65</f>
        <v/>
      </c>
      <c r="DE60" s="577" t="s">
        <v>219</v>
      </c>
      <c r="DH60" s="578">
        <f>ROUNDUP((SUMPRODUCT(DE66:DE69,(DG66:DG69+DH66:DH69),DD66:DD69)+SUMPRODUCT(DF66:DF69,DD66:DD69)+SUMPRODUCT(DE71:DE90,(DG71:DG90+DH71:DH90),DD71:DD90)+SUMPRODUCT(DF71:DF90,DD71:DD90)+SUMPRODUCT(DE92:DE94,(DG92:DG94+DH92:DH94),DD92:DD94)+SUMPRODUCT(DF92:DF94,DD92:DD94))/60,0)</f>
        <v>0</v>
      </c>
      <c r="DK60" s="579"/>
    </row>
    <row r="61" ht="14.25" customHeight="1">
      <c r="A61" s="492" t="str">
        <f>"S "&amp;$AD52&amp;" - "&amp;TEXT(C62,"dd/mm")</f>
        <v>S 2 - 19/01</v>
      </c>
      <c r="B61" s="498"/>
      <c r="C61" s="498"/>
      <c r="D61" s="498"/>
      <c r="E61" s="498"/>
      <c r="F61" s="498"/>
      <c r="G61" s="498"/>
      <c r="H61" s="498"/>
      <c r="I61" s="498"/>
      <c r="J61" s="505"/>
      <c r="K61" s="700"/>
      <c r="L61" s="9"/>
      <c r="M61" s="9"/>
      <c r="N61" s="9"/>
      <c r="O61" s="9"/>
      <c r="P61" s="701" t="str">
        <f>IF($R$156="","Atualizar Macrociclo","Orientações Gerais")</f>
        <v>Orientações Gerais</v>
      </c>
      <c r="Q61" s="702"/>
      <c r="R61" s="9"/>
      <c r="S61" s="9"/>
      <c r="T61" s="9"/>
      <c r="U61" s="9"/>
      <c r="V61" s="9"/>
      <c r="W61" s="9"/>
      <c r="X61" s="9"/>
      <c r="Y61" s="632"/>
      <c r="Z61" s="702"/>
      <c r="AA61" s="9"/>
      <c r="AB61" s="9"/>
      <c r="AC61" s="9"/>
      <c r="AD61" s="9"/>
      <c r="AE61" s="701" t="str">
        <f>IF($R$156="","Atualizar Macrociclo","Orientações Gerais")</f>
        <v>Orientações Gerais</v>
      </c>
      <c r="AF61" s="702"/>
      <c r="AG61" s="9"/>
      <c r="AH61" s="9"/>
      <c r="AI61" s="9"/>
      <c r="AJ61" s="9"/>
      <c r="AK61" s="9"/>
      <c r="AL61" s="9"/>
      <c r="AM61" s="9"/>
      <c r="AN61" s="632"/>
      <c r="AO61" s="702"/>
      <c r="AP61" s="9"/>
      <c r="AQ61" s="9"/>
      <c r="AR61" s="9"/>
      <c r="AS61" s="9"/>
      <c r="AT61" s="701" t="str">
        <f>IF($R$156="","Atualizar Macrociclo","Orientações Gerais")</f>
        <v>Orientações Gerais</v>
      </c>
      <c r="AU61" s="702"/>
      <c r="AV61" s="9"/>
      <c r="AW61" s="9"/>
      <c r="AX61" s="9"/>
      <c r="AY61" s="9"/>
      <c r="AZ61" s="9"/>
      <c r="BA61" s="9"/>
      <c r="BB61" s="9"/>
      <c r="BC61" s="9"/>
      <c r="BD61" s="702"/>
      <c r="BE61" s="9"/>
      <c r="BF61" s="9"/>
      <c r="BG61" s="9"/>
      <c r="BH61" s="9"/>
      <c r="BI61" s="701" t="str">
        <f>IF($R$156="","Atualizar Macrociclo","Orientações Gerais")</f>
        <v>Orientações Gerais</v>
      </c>
      <c r="BJ61" s="702"/>
      <c r="BK61" s="9"/>
      <c r="BL61" s="9"/>
      <c r="BM61" s="9"/>
      <c r="BN61" s="9"/>
      <c r="BO61" s="9"/>
      <c r="BP61" s="9"/>
      <c r="BQ61" s="9"/>
      <c r="BR61" s="9"/>
      <c r="BS61" s="702"/>
      <c r="BT61" s="9"/>
      <c r="BU61" s="9"/>
      <c r="BV61" s="9"/>
      <c r="BW61" s="9"/>
      <c r="BX61" s="701" t="str">
        <f>IF($R$156="","Atualizar Macrociclo","Orientações Gerais")</f>
        <v>Orientações Gerais</v>
      </c>
      <c r="BY61" s="702"/>
      <c r="BZ61" s="9"/>
      <c r="CA61" s="9"/>
      <c r="CB61" s="9"/>
      <c r="CC61" s="9"/>
      <c r="CD61" s="9"/>
      <c r="CE61" s="9"/>
      <c r="CF61" s="9"/>
      <c r="CG61" s="9"/>
      <c r="CH61" s="702"/>
      <c r="CI61" s="9"/>
      <c r="CJ61" s="9"/>
      <c r="CK61" s="9"/>
      <c r="CL61" s="9"/>
      <c r="CM61" s="701" t="str">
        <f>IF($R$156="","Atualizar Macrociclo","Orientações Gerais")</f>
        <v>Orientações Gerais</v>
      </c>
      <c r="CN61" s="702"/>
      <c r="CO61" s="9"/>
      <c r="CP61" s="9"/>
      <c r="CQ61" s="9"/>
      <c r="CR61" s="9"/>
      <c r="CS61" s="9"/>
      <c r="CT61" s="9"/>
      <c r="CU61" s="9"/>
      <c r="CV61" s="9"/>
      <c r="CW61" s="702"/>
      <c r="CX61" s="9"/>
      <c r="CY61" s="9"/>
      <c r="CZ61" s="9"/>
      <c r="DA61" s="9"/>
      <c r="DB61" s="701" t="str">
        <f>IF($R$156="","Atualizar Macrociclo","Orientações Gerais")</f>
        <v>Orientações Gerais</v>
      </c>
      <c r="DC61" s="702"/>
      <c r="DD61" s="9"/>
      <c r="DE61" s="9"/>
      <c r="DF61" s="9"/>
      <c r="DG61" s="9"/>
      <c r="DH61" s="9"/>
      <c r="DI61" s="9"/>
      <c r="DJ61" s="9"/>
      <c r="DK61" s="632"/>
    </row>
    <row r="62" ht="14.25" customHeight="1">
      <c r="A62" s="492" t="str">
        <f>"S "&amp;$AD52&amp;" - "&amp;TEXT(C62,"dd/mm")</f>
        <v>S 2 - 19/01</v>
      </c>
      <c r="B62" s="537"/>
      <c r="C62" s="584">
        <f>HLOOKUP(F52,'Periodização Macrociclo'!$E$5:$BN$6,2,FALSE)</f>
        <v>46041</v>
      </c>
      <c r="D62" s="584">
        <f t="shared" ref="D62:I62" si="36">C62+1</f>
        <v>46042</v>
      </c>
      <c r="E62" s="584">
        <f t="shared" si="36"/>
        <v>46043</v>
      </c>
      <c r="F62" s="584">
        <f t="shared" si="36"/>
        <v>46044</v>
      </c>
      <c r="G62" s="584">
        <f t="shared" si="36"/>
        <v>46045</v>
      </c>
      <c r="H62" s="584">
        <f t="shared" si="36"/>
        <v>46046</v>
      </c>
      <c r="I62" s="585">
        <f t="shared" si="36"/>
        <v>46047</v>
      </c>
      <c r="J62" s="505"/>
      <c r="K62" s="586"/>
      <c r="Y62" s="587"/>
      <c r="Z62" s="586"/>
      <c r="AN62" s="587"/>
      <c r="AO62" s="586"/>
      <c r="BC62" s="587"/>
      <c r="BD62" s="586"/>
      <c r="BR62" s="587"/>
      <c r="BS62" s="586"/>
      <c r="CG62" s="587"/>
      <c r="CH62" s="586"/>
      <c r="CV62" s="587"/>
      <c r="CW62" s="586"/>
      <c r="DK62" s="588"/>
    </row>
    <row r="63" ht="14.25" customHeight="1">
      <c r="A63" s="492" t="str">
        <f>"S "&amp;$AD52&amp;" - "&amp;TEXT(C62,"dd/mm")</f>
        <v>S 2 - 19/01</v>
      </c>
      <c r="B63" s="537"/>
      <c r="C63" s="589" t="s">
        <v>220</v>
      </c>
      <c r="D63" s="589" t="s">
        <v>221</v>
      </c>
      <c r="E63" s="589" t="s">
        <v>222</v>
      </c>
      <c r="F63" s="589" t="s">
        <v>223</v>
      </c>
      <c r="G63" s="589" t="s">
        <v>224</v>
      </c>
      <c r="H63" s="589" t="s">
        <v>214</v>
      </c>
      <c r="I63" s="590" t="s">
        <v>215</v>
      </c>
      <c r="J63" s="505"/>
      <c r="K63" s="591"/>
      <c r="Y63" s="587"/>
      <c r="Z63" s="591"/>
      <c r="AN63" s="587"/>
      <c r="AO63" s="591"/>
      <c r="BC63" s="587"/>
      <c r="BD63" s="591"/>
      <c r="BR63" s="587"/>
      <c r="BS63" s="591"/>
      <c r="CG63" s="587"/>
      <c r="CH63" s="591"/>
      <c r="CV63" s="587"/>
      <c r="CW63" s="591"/>
      <c r="DK63" s="588"/>
    </row>
    <row r="64" ht="14.25" customHeight="1">
      <c r="A64" s="492" t="str">
        <f>"S "&amp;$AD52&amp;" - "&amp;TEXT(C62,"dd/mm")</f>
        <v>S 2 - 19/01</v>
      </c>
      <c r="B64" s="592" t="s">
        <v>217</v>
      </c>
      <c r="C64" s="541">
        <f>V60+C65+IF(V60+C65&gt;0,+10,0)</f>
        <v>62</v>
      </c>
      <c r="D64" s="541">
        <f>AK60+D65+IF(AK60+D65&gt;0,+10,0)</f>
        <v>62</v>
      </c>
      <c r="E64" s="541">
        <f>AZ60+E65+IF(AZ60+E65&gt;0,+10,0)</f>
        <v>14</v>
      </c>
      <c r="F64" s="541">
        <f>BO60+F65+IF(BO60+F65&gt;0,+10,0)</f>
        <v>87</v>
      </c>
      <c r="G64" s="541">
        <f>CD60+G65+IF(CD60+G65&gt;0,+10,0)</f>
        <v>53</v>
      </c>
      <c r="H64" s="541">
        <f>CS60+H65+IF(CS60+H65&gt;0,+10,0)</f>
        <v>14</v>
      </c>
      <c r="I64" s="593">
        <f>DH60+I65+IF(DH60+I65&gt;0,+10,0)</f>
        <v>0</v>
      </c>
      <c r="J64" s="505"/>
      <c r="K64" s="594" t="s">
        <v>225</v>
      </c>
      <c r="L64" s="595" t="s">
        <v>31</v>
      </c>
      <c r="Q64" s="596" t="s">
        <v>32</v>
      </c>
      <c r="R64" s="597" t="s">
        <v>226</v>
      </c>
      <c r="S64" s="597" t="s">
        <v>227</v>
      </c>
      <c r="T64" s="597" t="s">
        <v>35</v>
      </c>
      <c r="U64" s="597" t="s">
        <v>36</v>
      </c>
      <c r="V64" s="598" t="s">
        <v>37</v>
      </c>
      <c r="W64" s="598" t="s">
        <v>228</v>
      </c>
      <c r="X64" s="598" t="s">
        <v>229</v>
      </c>
      <c r="Y64" s="588"/>
      <c r="Z64" s="594" t="s">
        <v>225</v>
      </c>
      <c r="AA64" s="595" t="s">
        <v>31</v>
      </c>
      <c r="AF64" s="596" t="s">
        <v>32</v>
      </c>
      <c r="AG64" s="597" t="s">
        <v>226</v>
      </c>
      <c r="AH64" s="597" t="s">
        <v>227</v>
      </c>
      <c r="AI64" s="597" t="s">
        <v>35</v>
      </c>
      <c r="AJ64" s="597" t="s">
        <v>36</v>
      </c>
      <c r="AK64" s="598" t="s">
        <v>37</v>
      </c>
      <c r="AL64" s="598" t="s">
        <v>228</v>
      </c>
      <c r="AM64" s="598" t="s">
        <v>229</v>
      </c>
      <c r="AN64" s="588"/>
      <c r="AO64" s="594" t="s">
        <v>225</v>
      </c>
      <c r="AP64" s="595" t="s">
        <v>31</v>
      </c>
      <c r="AU64" s="596" t="s">
        <v>32</v>
      </c>
      <c r="AV64" s="597" t="s">
        <v>226</v>
      </c>
      <c r="AW64" s="597" t="s">
        <v>227</v>
      </c>
      <c r="AX64" s="597" t="s">
        <v>35</v>
      </c>
      <c r="AY64" s="597" t="s">
        <v>36</v>
      </c>
      <c r="AZ64" s="598" t="s">
        <v>37</v>
      </c>
      <c r="BA64" s="598" t="s">
        <v>228</v>
      </c>
      <c r="BB64" s="598" t="s">
        <v>229</v>
      </c>
      <c r="BC64" s="588"/>
      <c r="BD64" s="594" t="s">
        <v>225</v>
      </c>
      <c r="BE64" s="595" t="s">
        <v>31</v>
      </c>
      <c r="BJ64" s="596" t="s">
        <v>32</v>
      </c>
      <c r="BK64" s="597" t="s">
        <v>226</v>
      </c>
      <c r="BL64" s="597" t="s">
        <v>227</v>
      </c>
      <c r="BM64" s="597" t="s">
        <v>35</v>
      </c>
      <c r="BN64" s="597" t="s">
        <v>36</v>
      </c>
      <c r="BO64" s="598" t="s">
        <v>37</v>
      </c>
      <c r="BP64" s="598" t="s">
        <v>228</v>
      </c>
      <c r="BQ64" s="598" t="s">
        <v>229</v>
      </c>
      <c r="BR64" s="588"/>
      <c r="BS64" s="594" t="s">
        <v>225</v>
      </c>
      <c r="BT64" s="595" t="s">
        <v>31</v>
      </c>
      <c r="BY64" s="596" t="s">
        <v>32</v>
      </c>
      <c r="BZ64" s="597" t="s">
        <v>226</v>
      </c>
      <c r="CA64" s="597" t="s">
        <v>227</v>
      </c>
      <c r="CB64" s="597" t="s">
        <v>35</v>
      </c>
      <c r="CC64" s="597" t="s">
        <v>36</v>
      </c>
      <c r="CD64" s="598" t="s">
        <v>37</v>
      </c>
      <c r="CE64" s="598" t="s">
        <v>228</v>
      </c>
      <c r="CF64" s="598" t="s">
        <v>229</v>
      </c>
      <c r="CG64" s="588"/>
      <c r="CH64" s="594" t="s">
        <v>225</v>
      </c>
      <c r="CI64" s="595" t="s">
        <v>31</v>
      </c>
      <c r="CN64" s="596" t="s">
        <v>32</v>
      </c>
      <c r="CO64" s="597" t="s">
        <v>226</v>
      </c>
      <c r="CP64" s="597" t="s">
        <v>227</v>
      </c>
      <c r="CQ64" s="597" t="s">
        <v>35</v>
      </c>
      <c r="CR64" s="597" t="s">
        <v>36</v>
      </c>
      <c r="CS64" s="598" t="s">
        <v>37</v>
      </c>
      <c r="CT64" s="598" t="s">
        <v>228</v>
      </c>
      <c r="CU64" s="598" t="s">
        <v>229</v>
      </c>
      <c r="CV64" s="588"/>
      <c r="CW64" s="594" t="s">
        <v>225</v>
      </c>
      <c r="CX64" s="595" t="s">
        <v>31</v>
      </c>
      <c r="DC64" s="596" t="s">
        <v>32</v>
      </c>
      <c r="DD64" s="597" t="s">
        <v>226</v>
      </c>
      <c r="DE64" s="597" t="s">
        <v>227</v>
      </c>
      <c r="DF64" s="597" t="s">
        <v>35</v>
      </c>
      <c r="DG64" s="597" t="s">
        <v>36</v>
      </c>
      <c r="DH64" s="598" t="s">
        <v>37</v>
      </c>
      <c r="DI64" s="598" t="s">
        <v>228</v>
      </c>
      <c r="DJ64" s="598" t="s">
        <v>229</v>
      </c>
      <c r="DK64" s="588"/>
    </row>
    <row r="65" ht="14.25" customHeight="1">
      <c r="A65" s="492" t="str">
        <f>"S "&amp;$AD52&amp;" - "&amp;TEXT(C62,"dd/mm")</f>
        <v>S 2 - 19/01</v>
      </c>
      <c r="B65" s="592" t="s">
        <v>230</v>
      </c>
      <c r="C65" s="606">
        <v>15.0</v>
      </c>
      <c r="D65" s="606">
        <v>15.0</v>
      </c>
      <c r="E65" s="600"/>
      <c r="F65" s="599">
        <v>40.0</v>
      </c>
      <c r="G65" s="599">
        <v>10.0</v>
      </c>
      <c r="H65" s="601"/>
      <c r="I65" s="602"/>
      <c r="J65" s="505"/>
      <c r="K65" s="581"/>
      <c r="L65" s="603"/>
      <c r="M65" s="603"/>
      <c r="N65" s="603"/>
      <c r="O65" s="603"/>
      <c r="P65" s="603" t="s">
        <v>29</v>
      </c>
      <c r="Q65" s="581"/>
      <c r="R65" s="603"/>
      <c r="S65" s="603"/>
      <c r="T65" s="603"/>
      <c r="U65" s="603"/>
      <c r="V65" s="603"/>
      <c r="W65" s="603"/>
      <c r="X65" s="603"/>
      <c r="Y65" s="604"/>
      <c r="Z65" s="581"/>
      <c r="AA65" s="603"/>
      <c r="AB65" s="603"/>
      <c r="AC65" s="603"/>
      <c r="AD65" s="603"/>
      <c r="AE65" s="603" t="s">
        <v>29</v>
      </c>
      <c r="AF65" s="581"/>
      <c r="AG65" s="603"/>
      <c r="AH65" s="603"/>
      <c r="AI65" s="603"/>
      <c r="AJ65" s="603"/>
      <c r="AK65" s="603"/>
      <c r="AL65" s="603"/>
      <c r="AM65" s="603"/>
      <c r="AN65" s="604"/>
      <c r="AO65" s="581"/>
      <c r="AP65" s="603"/>
      <c r="AQ65" s="603"/>
      <c r="AR65" s="603"/>
      <c r="AS65" s="603"/>
      <c r="AT65" s="603" t="s">
        <v>29</v>
      </c>
      <c r="AU65" s="581"/>
      <c r="AV65" s="603"/>
      <c r="AW65" s="603"/>
      <c r="AX65" s="603"/>
      <c r="AY65" s="603"/>
      <c r="AZ65" s="603"/>
      <c r="BA65" s="603"/>
      <c r="BB65" s="603"/>
      <c r="BC65" s="605"/>
      <c r="BD65" s="581"/>
      <c r="BE65" s="603"/>
      <c r="BF65" s="603"/>
      <c r="BG65" s="603"/>
      <c r="BH65" s="603"/>
      <c r="BI65" s="603" t="s">
        <v>29</v>
      </c>
      <c r="BJ65" s="581"/>
      <c r="BK65" s="603"/>
      <c r="BL65" s="603"/>
      <c r="BM65" s="603"/>
      <c r="BN65" s="603"/>
      <c r="BO65" s="603"/>
      <c r="BP65" s="603"/>
      <c r="BQ65" s="603"/>
      <c r="BR65" s="605"/>
      <c r="BS65" s="581"/>
      <c r="BT65" s="603"/>
      <c r="BU65" s="603"/>
      <c r="BV65" s="603"/>
      <c r="BW65" s="603"/>
      <c r="BX65" s="603" t="s">
        <v>29</v>
      </c>
      <c r="BY65" s="581"/>
      <c r="BZ65" s="603"/>
      <c r="CA65" s="603"/>
      <c r="CB65" s="603"/>
      <c r="CC65" s="603"/>
      <c r="CD65" s="603"/>
      <c r="CE65" s="603"/>
      <c r="CF65" s="603"/>
      <c r="CG65" s="605"/>
      <c r="CH65" s="581"/>
      <c r="CI65" s="603"/>
      <c r="CJ65" s="603"/>
      <c r="CK65" s="603"/>
      <c r="CL65" s="603"/>
      <c r="CM65" s="603" t="s">
        <v>29</v>
      </c>
      <c r="CN65" s="581"/>
      <c r="CO65" s="603"/>
      <c r="CP65" s="603"/>
      <c r="CQ65" s="603"/>
      <c r="CR65" s="603"/>
      <c r="CS65" s="603"/>
      <c r="CT65" s="603"/>
      <c r="CU65" s="603"/>
      <c r="CV65" s="605"/>
      <c r="CW65" s="581"/>
      <c r="CX65" s="603"/>
      <c r="CY65" s="603"/>
      <c r="CZ65" s="603"/>
      <c r="DA65" s="603"/>
      <c r="DB65" s="603" t="s">
        <v>29</v>
      </c>
      <c r="DC65" s="581"/>
      <c r="DD65" s="603"/>
      <c r="DE65" s="603"/>
      <c r="DF65" s="603"/>
      <c r="DG65" s="603"/>
      <c r="DH65" s="603"/>
      <c r="DI65" s="603"/>
      <c r="DJ65" s="603"/>
      <c r="DK65" s="604"/>
    </row>
    <row r="66" ht="14.25" customHeight="1">
      <c r="A66" s="492" t="str">
        <f>"S "&amp;$AD52&amp;" - "&amp;TEXT(C62,"dd/mm")</f>
        <v>S 2 - 19/01</v>
      </c>
      <c r="B66" s="592" t="s">
        <v>231</v>
      </c>
      <c r="C66" s="606" t="s">
        <v>232</v>
      </c>
      <c r="D66" s="703" t="s">
        <v>233</v>
      </c>
      <c r="E66" s="600"/>
      <c r="F66" s="599" t="s">
        <v>232</v>
      </c>
      <c r="G66" s="599" t="s">
        <v>234</v>
      </c>
      <c r="H66" s="606" t="s">
        <v>235</v>
      </c>
      <c r="I66" s="607"/>
      <c r="J66" s="505"/>
      <c r="K66" s="608">
        <v>1.0</v>
      </c>
      <c r="L66" s="609" t="s">
        <v>240</v>
      </c>
      <c r="Q66" s="610" t="s">
        <v>237</v>
      </c>
      <c r="R66" s="611">
        <v>2.0</v>
      </c>
      <c r="S66" s="611">
        <v>10.0</v>
      </c>
      <c r="T66" s="611">
        <v>10.0</v>
      </c>
      <c r="U66" s="611">
        <v>1.0</v>
      </c>
      <c r="V66" s="611">
        <v>1.0</v>
      </c>
      <c r="W66" s="613">
        <f>IF(L66="","",OFFSET(Biblioteca!$G$2,MATCH(L66,Biblioteca!$A$3:$A$200,0),)*(1.05^(10-S66)))</f>
        <v>0</v>
      </c>
      <c r="X66" s="614"/>
      <c r="Y66" s="615"/>
      <c r="Z66" s="612">
        <v>1.0</v>
      </c>
      <c r="AA66" s="609" t="s">
        <v>238</v>
      </c>
      <c r="AF66" s="610" t="s">
        <v>237</v>
      </c>
      <c r="AG66" s="611">
        <v>2.0</v>
      </c>
      <c r="AH66" s="611">
        <v>10.0</v>
      </c>
      <c r="AI66" s="611">
        <v>10.0</v>
      </c>
      <c r="AJ66" s="611">
        <v>1.0</v>
      </c>
      <c r="AK66" s="611">
        <v>1.0</v>
      </c>
      <c r="AL66" s="613">
        <f>IF(AA66="","",OFFSET(Biblioteca!$G$2,MATCH(AA66,Biblioteca!$A$3:$A$200,0),)*(1.05^(10-AH66)))</f>
        <v>0</v>
      </c>
      <c r="AM66" s="614"/>
      <c r="AN66" s="615"/>
      <c r="AO66" s="612">
        <v>1.0</v>
      </c>
      <c r="AP66" s="609" t="s">
        <v>239</v>
      </c>
      <c r="AU66" s="610" t="s">
        <v>237</v>
      </c>
      <c r="AV66" s="611">
        <v>2.0</v>
      </c>
      <c r="AW66" s="611">
        <v>10.0</v>
      </c>
      <c r="AX66" s="611">
        <v>10.0</v>
      </c>
      <c r="AY66" s="611">
        <v>1.0</v>
      </c>
      <c r="AZ66" s="611">
        <v>1.0</v>
      </c>
      <c r="BA66" s="613">
        <f>IF(AP66="","",OFFSET(Biblioteca!$G$2,MATCH(AP66,Biblioteca!$A$3:$A$200,0),)*(1.05^(10-AW66)))</f>
        <v>0</v>
      </c>
      <c r="BB66" s="614"/>
      <c r="BC66" s="615"/>
      <c r="BD66" s="612">
        <v>1.0</v>
      </c>
      <c r="BE66" s="609" t="s">
        <v>236</v>
      </c>
      <c r="BJ66" s="610" t="s">
        <v>237</v>
      </c>
      <c r="BK66" s="611">
        <v>2.0</v>
      </c>
      <c r="BL66" s="611">
        <v>10.0</v>
      </c>
      <c r="BM66" s="611">
        <v>10.0</v>
      </c>
      <c r="BN66" s="611">
        <v>1.0</v>
      </c>
      <c r="BO66" s="611">
        <v>2.0</v>
      </c>
      <c r="BP66" s="613">
        <f>IF(BE66="","",OFFSET(Biblioteca!$G$2,MATCH(BE66,Biblioteca!$A$3:$A$200,0),)*(1.05^(10-BL66)))</f>
        <v>0</v>
      </c>
      <c r="BQ66" s="614"/>
      <c r="BR66" s="615"/>
      <c r="BS66" s="612">
        <v>1.0</v>
      </c>
      <c r="BT66" s="609" t="s">
        <v>240</v>
      </c>
      <c r="BY66" s="610" t="s">
        <v>237</v>
      </c>
      <c r="BZ66" s="611">
        <v>2.0</v>
      </c>
      <c r="CA66" s="611">
        <v>10.0</v>
      </c>
      <c r="CB66" s="611">
        <v>10.0</v>
      </c>
      <c r="CC66" s="611">
        <v>1.0</v>
      </c>
      <c r="CD66" s="611">
        <v>2.0</v>
      </c>
      <c r="CE66" s="613">
        <f>IF(BT66="","",OFFSET(Biblioteca!$G$2,MATCH(BT66,Biblioteca!$A$3:$A$200,0),)*(1.05^(10-CA66)))</f>
        <v>0</v>
      </c>
      <c r="CF66" s="614"/>
      <c r="CG66" s="615"/>
      <c r="CH66" s="612">
        <v>1.0</v>
      </c>
      <c r="CI66" s="609" t="s">
        <v>239</v>
      </c>
      <c r="CN66" s="610" t="s">
        <v>237</v>
      </c>
      <c r="CO66" s="611">
        <v>2.0</v>
      </c>
      <c r="CP66" s="611">
        <v>10.0</v>
      </c>
      <c r="CQ66" s="611">
        <v>10.0</v>
      </c>
      <c r="CR66" s="611">
        <v>1.0</v>
      </c>
      <c r="CS66" s="611">
        <v>1.0</v>
      </c>
      <c r="CT66" s="613">
        <f>IF(CI66="","",OFFSET(Biblioteca!$G$2,MATCH(CI66,Biblioteca!$A$3:$A$200,0),)*(1.05^(10-CP66)))</f>
        <v>0</v>
      </c>
      <c r="CU66" s="614"/>
      <c r="CV66" s="579"/>
      <c r="CW66" s="608">
        <v>1.0</v>
      </c>
      <c r="CX66" s="619"/>
      <c r="DC66" s="620"/>
      <c r="DD66" s="618"/>
      <c r="DE66" s="618"/>
      <c r="DF66" s="618"/>
      <c r="DG66" s="618"/>
      <c r="DH66" s="618"/>
      <c r="DI66" s="617" t="str">
        <f>IF(CX66="","",OFFSET(Biblioteca!$G$2,MATCH(CX66,Biblioteca!$A$3:$A$200,0),)*(1.05^(10-DE66)))</f>
        <v/>
      </c>
      <c r="DJ66" s="618"/>
      <c r="DK66" s="579"/>
    </row>
    <row r="67" ht="14.25" customHeight="1">
      <c r="A67" s="492" t="str">
        <f>"S "&amp;$AD52&amp;" - "&amp;TEXT(C62,"dd/mm")</f>
        <v>S 2 - 19/01</v>
      </c>
      <c r="B67" s="592" t="s">
        <v>15</v>
      </c>
      <c r="C67" s="606" t="s">
        <v>312</v>
      </c>
      <c r="D67" s="606" t="s">
        <v>312</v>
      </c>
      <c r="E67" s="600"/>
      <c r="F67" s="599" t="s">
        <v>243</v>
      </c>
      <c r="G67" s="599" t="s">
        <v>312</v>
      </c>
      <c r="H67" s="601"/>
      <c r="I67" s="600"/>
      <c r="J67" s="505"/>
      <c r="K67" s="608">
        <f t="shared" ref="K67:K69" si="37">IF(T66="",K66,K66+1)</f>
        <v>2</v>
      </c>
      <c r="L67" s="609" t="s">
        <v>313</v>
      </c>
      <c r="Q67" s="610" t="s">
        <v>237</v>
      </c>
      <c r="R67" s="611">
        <v>2.0</v>
      </c>
      <c r="S67" s="611">
        <v>10.0</v>
      </c>
      <c r="T67" s="611">
        <v>10.0</v>
      </c>
      <c r="U67" s="611">
        <v>1.0</v>
      </c>
      <c r="V67" s="611">
        <v>1.0</v>
      </c>
      <c r="W67" s="613">
        <f>IF(L67="","",OFFSET(Biblioteca!$G$2,MATCH(L67,Biblioteca!$A$3:$A$200,0),)*(1.05^(10-S67)))</f>
        <v>0</v>
      </c>
      <c r="X67" s="614"/>
      <c r="Y67" s="615"/>
      <c r="Z67" s="612">
        <f t="shared" ref="Z67:Z69" si="38">IF(AI66="",Z66,Z66+1)</f>
        <v>2</v>
      </c>
      <c r="AA67" s="609" t="s">
        <v>245</v>
      </c>
      <c r="AF67" s="610" t="s">
        <v>237</v>
      </c>
      <c r="AG67" s="611">
        <v>2.0</v>
      </c>
      <c r="AH67" s="611">
        <v>10.0</v>
      </c>
      <c r="AI67" s="611">
        <v>10.0</v>
      </c>
      <c r="AJ67" s="611">
        <v>1.0</v>
      </c>
      <c r="AK67" s="611">
        <v>1.0</v>
      </c>
      <c r="AL67" s="613">
        <f>IF(AA67="","",OFFSET(Biblioteca!$G$2,MATCH(AA67,Biblioteca!$A$3:$A$200,0),)*(1.05^(10-AH67)))</f>
        <v>0</v>
      </c>
      <c r="AM67" s="614"/>
      <c r="AN67" s="615"/>
      <c r="AO67" s="612">
        <f t="shared" ref="AO67:AO69" si="39">IF(AX66="",AO66,AO66+1)</f>
        <v>2</v>
      </c>
      <c r="AP67" s="609" t="s">
        <v>242</v>
      </c>
      <c r="AU67" s="610" t="s">
        <v>237</v>
      </c>
      <c r="AV67" s="611">
        <v>2.0</v>
      </c>
      <c r="AW67" s="611">
        <v>10.0</v>
      </c>
      <c r="AX67" s="611">
        <v>10.0</v>
      </c>
      <c r="AY67" s="611">
        <v>1.0</v>
      </c>
      <c r="AZ67" s="611">
        <v>1.0</v>
      </c>
      <c r="BA67" s="613">
        <f>IF(AP67="","",OFFSET(Biblioteca!$G$2,MATCH(AP67,Biblioteca!$A$3:$A$200,0),)*(1.05^(10-AW67)))</f>
        <v>0</v>
      </c>
      <c r="BB67" s="614"/>
      <c r="BC67" s="615"/>
      <c r="BD67" s="612">
        <f t="shared" ref="BD67:BD69" si="40">IF(BM66="",BD66,BD66+1)</f>
        <v>2</v>
      </c>
      <c r="BE67" s="609" t="s">
        <v>314</v>
      </c>
      <c r="BJ67" s="610" t="s">
        <v>237</v>
      </c>
      <c r="BK67" s="611">
        <v>2.0</v>
      </c>
      <c r="BL67" s="611">
        <v>10.0</v>
      </c>
      <c r="BM67" s="611">
        <v>10.0</v>
      </c>
      <c r="BN67" s="611">
        <v>1.0</v>
      </c>
      <c r="BO67" s="611">
        <v>2.0</v>
      </c>
      <c r="BP67" s="613">
        <f>IF(BE67="","",OFFSET(Biblioteca!$G$2,MATCH(BE67,Biblioteca!$A$3:$A$200,0),)*(1.05^(10-BL67)))</f>
        <v>0</v>
      </c>
      <c r="BQ67" s="614"/>
      <c r="BR67" s="615"/>
      <c r="BS67" s="612">
        <f t="shared" ref="BS67:BS69" si="41">IF(CB66="",BS66,BS66+1)</f>
        <v>2</v>
      </c>
      <c r="BT67" s="609" t="s">
        <v>314</v>
      </c>
      <c r="BY67" s="610" t="s">
        <v>237</v>
      </c>
      <c r="BZ67" s="611">
        <v>2.0</v>
      </c>
      <c r="CA67" s="611">
        <v>10.0</v>
      </c>
      <c r="CB67" s="611">
        <v>10.0</v>
      </c>
      <c r="CC67" s="611">
        <v>1.0</v>
      </c>
      <c r="CD67" s="611">
        <v>2.0</v>
      </c>
      <c r="CE67" s="613">
        <f>IF(BT67="","",OFFSET(Biblioteca!$G$2,MATCH(BT67,Biblioteca!$A$3:$A$200,0),)*(1.05^(10-CA67)))</f>
        <v>0</v>
      </c>
      <c r="CF67" s="614"/>
      <c r="CG67" s="615"/>
      <c r="CH67" s="612">
        <f t="shared" ref="CH67:CH69" si="42">IF(CQ66="",CH66,CH66+1)</f>
        <v>2</v>
      </c>
      <c r="CI67" s="609" t="s">
        <v>242</v>
      </c>
      <c r="CN67" s="610" t="s">
        <v>237</v>
      </c>
      <c r="CO67" s="611">
        <v>2.0</v>
      </c>
      <c r="CP67" s="611">
        <v>10.0</v>
      </c>
      <c r="CQ67" s="611">
        <v>10.0</v>
      </c>
      <c r="CR67" s="611">
        <v>1.0</v>
      </c>
      <c r="CS67" s="611">
        <v>1.0</v>
      </c>
      <c r="CT67" s="613">
        <f>IF(CI67="","",OFFSET(Biblioteca!$G$2,MATCH(CI67,Biblioteca!$A$3:$A$200,0),)*(1.05^(10-CP67)))</f>
        <v>0</v>
      </c>
      <c r="CU67" s="614"/>
      <c r="CV67" s="579"/>
      <c r="CW67" s="608">
        <f t="shared" ref="CW67:CW69" si="43">IF(DF66="",CW66,CW66+1)</f>
        <v>1</v>
      </c>
      <c r="CX67" s="619"/>
      <c r="DC67" s="620"/>
      <c r="DD67" s="618"/>
      <c r="DE67" s="618"/>
      <c r="DF67" s="618"/>
      <c r="DG67" s="618"/>
      <c r="DH67" s="618"/>
      <c r="DI67" s="617" t="str">
        <f>IF(CX67="","",OFFSET(Biblioteca!$G$2,MATCH(CX67,Biblioteca!$A$3:$A$200,0),)*(1.05^(10-DE67)))</f>
        <v/>
      </c>
      <c r="DJ67" s="618"/>
      <c r="DK67" s="579"/>
    </row>
    <row r="68" ht="14.25" customHeight="1">
      <c r="A68" s="492" t="str">
        <f>"S "&amp;$AD52&amp;" - "&amp;TEXT(C62,"dd/mm")</f>
        <v>S 2 - 19/01</v>
      </c>
      <c r="B68" s="592" t="s">
        <v>248</v>
      </c>
      <c r="C68" s="648">
        <v>0.85</v>
      </c>
      <c r="D68" s="623"/>
      <c r="E68" s="622"/>
      <c r="F68" s="621">
        <v>0.5</v>
      </c>
      <c r="G68" s="621"/>
      <c r="H68" s="623"/>
      <c r="I68" s="624"/>
      <c r="J68" s="505"/>
      <c r="K68" s="608">
        <f t="shared" si="37"/>
        <v>3</v>
      </c>
      <c r="L68" s="609" t="s">
        <v>249</v>
      </c>
      <c r="Q68" s="610" t="s">
        <v>237</v>
      </c>
      <c r="R68" s="611">
        <v>2.0</v>
      </c>
      <c r="S68" s="611">
        <v>10.0</v>
      </c>
      <c r="T68" s="611">
        <v>10.0</v>
      </c>
      <c r="U68" s="611">
        <v>1.0</v>
      </c>
      <c r="V68" s="611">
        <v>1.0</v>
      </c>
      <c r="W68" s="613">
        <f>IF(L68="","",OFFSET(Biblioteca!$G$2,MATCH(L68,Biblioteca!$A$3:$A$200,0),)*(1.05^(10-S68)))</f>
        <v>0</v>
      </c>
      <c r="X68" s="614"/>
      <c r="Y68" s="615"/>
      <c r="Z68" s="612">
        <f t="shared" si="38"/>
        <v>3</v>
      </c>
      <c r="AA68" s="609" t="s">
        <v>242</v>
      </c>
      <c r="AF68" s="610" t="s">
        <v>237</v>
      </c>
      <c r="AG68" s="611">
        <v>2.0</v>
      </c>
      <c r="AH68" s="611">
        <v>10.0</v>
      </c>
      <c r="AI68" s="611">
        <v>10.0</v>
      </c>
      <c r="AJ68" s="611">
        <v>1.0</v>
      </c>
      <c r="AK68" s="611">
        <v>1.0</v>
      </c>
      <c r="AL68" s="613">
        <f>IF(AA68="","",OFFSET(Biblioteca!$G$2,MATCH(AA68,Biblioteca!$A$3:$A$200,0),)*(1.05^(10-AH68)))</f>
        <v>0</v>
      </c>
      <c r="AM68" s="614"/>
      <c r="AN68" s="615"/>
      <c r="AO68" s="612">
        <f t="shared" si="39"/>
        <v>3</v>
      </c>
      <c r="AP68" s="609" t="s">
        <v>250</v>
      </c>
      <c r="AU68" s="610" t="s">
        <v>237</v>
      </c>
      <c r="AV68" s="611">
        <v>1.0</v>
      </c>
      <c r="AW68" s="611">
        <v>50.0</v>
      </c>
      <c r="AX68" s="625">
        <v>60.0</v>
      </c>
      <c r="AY68" s="611">
        <v>0.0</v>
      </c>
      <c r="AZ68" s="611">
        <v>1.0</v>
      </c>
      <c r="BA68" s="613">
        <f>IF(AP68="","",OFFSET(Biblioteca!$G$2,MATCH(AP68,Biblioteca!$A$3:$A$200,0),)*(1.05^(10-AW68)))</f>
        <v>0</v>
      </c>
      <c r="BB68" s="614"/>
      <c r="BC68" s="615"/>
      <c r="BD68" s="612">
        <f t="shared" si="40"/>
        <v>3</v>
      </c>
      <c r="BE68" s="609" t="s">
        <v>250</v>
      </c>
      <c r="BJ68" s="610" t="s">
        <v>237</v>
      </c>
      <c r="BK68" s="611">
        <v>1.0</v>
      </c>
      <c r="BL68" s="611">
        <v>50.0</v>
      </c>
      <c r="BM68" s="614"/>
      <c r="BN68" s="614"/>
      <c r="BO68" s="614"/>
      <c r="BP68" s="613">
        <f>IF(BE68="","",OFFSET(Biblioteca!$G$2,MATCH(BE68,Biblioteca!$A$3:$A$200,0),)*(1.05^(10-BL68)))</f>
        <v>0</v>
      </c>
      <c r="BQ68" s="614"/>
      <c r="BR68" s="615"/>
      <c r="BS68" s="612">
        <f t="shared" si="41"/>
        <v>3</v>
      </c>
      <c r="BT68" s="609" t="s">
        <v>250</v>
      </c>
      <c r="BY68" s="610" t="s">
        <v>237</v>
      </c>
      <c r="BZ68" s="611">
        <v>1.0</v>
      </c>
      <c r="CA68" s="611">
        <v>50.0</v>
      </c>
      <c r="CB68" s="614"/>
      <c r="CC68" s="614"/>
      <c r="CD68" s="614"/>
      <c r="CE68" s="613">
        <f>IF(BT68="","",OFFSET(Biblioteca!$G$2,MATCH(BT68,Biblioteca!$A$3:$A$200,0),)*(1.05^(10-CA68)))</f>
        <v>0</v>
      </c>
      <c r="CF68" s="614"/>
      <c r="CG68" s="615"/>
      <c r="CH68" s="612">
        <f t="shared" si="42"/>
        <v>3</v>
      </c>
      <c r="CI68" s="609" t="s">
        <v>250</v>
      </c>
      <c r="CN68" s="610" t="s">
        <v>237</v>
      </c>
      <c r="CO68" s="611">
        <v>1.0</v>
      </c>
      <c r="CP68" s="611">
        <v>50.0</v>
      </c>
      <c r="CQ68" s="625">
        <v>60.0</v>
      </c>
      <c r="CR68" s="611">
        <v>0.0</v>
      </c>
      <c r="CS68" s="611">
        <v>1.0</v>
      </c>
      <c r="CT68" s="613">
        <f>IF(CI68="","",OFFSET(Biblioteca!$G$2,MATCH(CI68,Biblioteca!$A$3:$A$200,0),)*(1.05^(10-CP68)))</f>
        <v>0</v>
      </c>
      <c r="CU68" s="614"/>
      <c r="CV68" s="588"/>
      <c r="CW68" s="608">
        <f t="shared" si="43"/>
        <v>1</v>
      </c>
      <c r="CX68" s="619"/>
      <c r="DC68" s="620"/>
      <c r="DD68" s="618"/>
      <c r="DE68" s="618"/>
      <c r="DF68" s="618"/>
      <c r="DG68" s="618"/>
      <c r="DH68" s="618"/>
      <c r="DI68" s="617" t="str">
        <f>IF(CX68="","",OFFSET(Biblioteca!$G$2,MATCH(CX68,Biblioteca!$A$3:$A$200,0),)*(1.05^(10-DE68)))</f>
        <v/>
      </c>
      <c r="DJ68" s="618"/>
      <c r="DK68" s="588"/>
    </row>
    <row r="69" ht="14.25" customHeight="1">
      <c r="A69" s="492" t="str">
        <f>"S "&amp;$AD52&amp;" - "&amp;TEXT(C62,"dd/mm")</f>
        <v>S 2 - 19/01</v>
      </c>
      <c r="B69" s="592" t="s">
        <v>254</v>
      </c>
      <c r="C69" s="648">
        <v>0.9</v>
      </c>
      <c r="D69" s="648">
        <v>1.2</v>
      </c>
      <c r="E69" s="622"/>
      <c r="F69" s="621">
        <v>0.6</v>
      </c>
      <c r="G69" s="621">
        <v>1.2</v>
      </c>
      <c r="H69" s="623"/>
      <c r="I69" s="624"/>
      <c r="J69" s="505"/>
      <c r="K69" s="608">
        <f t="shared" si="37"/>
        <v>4</v>
      </c>
      <c r="L69" s="609"/>
      <c r="Q69" s="609"/>
      <c r="R69" s="614"/>
      <c r="S69" s="614"/>
      <c r="T69" s="614"/>
      <c r="U69" s="614"/>
      <c r="V69" s="614"/>
      <c r="W69" s="626" t="str">
        <f>IF(L69="","",OFFSET(Biblioteca!$G$2,MATCH(L69,Biblioteca!$A$3:$A$200,0),)*(1.05^(10-S69)))</f>
        <v/>
      </c>
      <c r="X69" s="614"/>
      <c r="Y69" s="615"/>
      <c r="Z69" s="612">
        <f t="shared" si="38"/>
        <v>4</v>
      </c>
      <c r="AA69" s="609"/>
      <c r="AF69" s="609"/>
      <c r="AG69" s="614"/>
      <c r="AH69" s="614"/>
      <c r="AI69" s="614"/>
      <c r="AJ69" s="614"/>
      <c r="AK69" s="614"/>
      <c r="AL69" s="626" t="str">
        <f>IF(AA69="","",OFFSET(Biblioteca!$G$2,MATCH(AA69,Biblioteca!$A$3:$A$200,0),)*(1.05^(10-AH69)))</f>
        <v/>
      </c>
      <c r="AM69" s="614"/>
      <c r="AN69" s="615"/>
      <c r="AO69" s="612">
        <f t="shared" si="39"/>
        <v>4</v>
      </c>
      <c r="AP69" s="609"/>
      <c r="AU69" s="609"/>
      <c r="AV69" s="614"/>
      <c r="AW69" s="614"/>
      <c r="AX69" s="614"/>
      <c r="AY69" s="614"/>
      <c r="AZ69" s="614"/>
      <c r="BA69" s="626" t="str">
        <f>IF(AP69="","",OFFSET(Biblioteca!$G$2,MATCH(AP69,Biblioteca!$A$3:$A$200,0),)*(1.05^(10-AW69)))</f>
        <v/>
      </c>
      <c r="BB69" s="614"/>
      <c r="BC69" s="615"/>
      <c r="BD69" s="612">
        <f t="shared" si="40"/>
        <v>3</v>
      </c>
      <c r="BE69" s="609"/>
      <c r="BJ69" s="609"/>
      <c r="BK69" s="614"/>
      <c r="BL69" s="614"/>
      <c r="BM69" s="614"/>
      <c r="BN69" s="614"/>
      <c r="BO69" s="614"/>
      <c r="BP69" s="626" t="str">
        <f>IF(BE69="","",OFFSET(Biblioteca!$G$2,MATCH(BE69,Biblioteca!$A$3:$A$200,0),)*(1.05^(10-BL69)))</f>
        <v/>
      </c>
      <c r="BQ69" s="614"/>
      <c r="BR69" s="615"/>
      <c r="BS69" s="612">
        <f t="shared" si="41"/>
        <v>3</v>
      </c>
      <c r="BT69" s="609"/>
      <c r="BY69" s="609"/>
      <c r="BZ69" s="614"/>
      <c r="CA69" s="614"/>
      <c r="CB69" s="614"/>
      <c r="CC69" s="614"/>
      <c r="CD69" s="614"/>
      <c r="CE69" s="626" t="str">
        <f>IF(BT69="","",OFFSET(Biblioteca!$G$2,MATCH(BT69,Biblioteca!$A$3:$A$200,0),)*(1.05^(10-CA69)))</f>
        <v/>
      </c>
      <c r="CF69" s="614"/>
      <c r="CG69" s="615"/>
      <c r="CH69" s="612">
        <f t="shared" si="42"/>
        <v>4</v>
      </c>
      <c r="CI69" s="609"/>
      <c r="CN69" s="609"/>
      <c r="CO69" s="614"/>
      <c r="CP69" s="614"/>
      <c r="CQ69" s="614"/>
      <c r="CR69" s="614"/>
      <c r="CS69" s="614"/>
      <c r="CT69" s="626" t="str">
        <f>IF(CI69="","",OFFSET(Biblioteca!$G$2,MATCH(CI69,Biblioteca!$A$3:$A$200,0),)*(1.05^(10-CP69)))</f>
        <v/>
      </c>
      <c r="CU69" s="614"/>
      <c r="CV69" s="588"/>
      <c r="CW69" s="608">
        <f t="shared" si="43"/>
        <v>1</v>
      </c>
      <c r="CX69" s="619"/>
      <c r="DC69" s="620"/>
      <c r="DD69" s="618"/>
      <c r="DE69" s="618"/>
      <c r="DF69" s="618"/>
      <c r="DG69" s="618"/>
      <c r="DH69" s="618"/>
      <c r="DI69" s="617" t="str">
        <f>IF(CX69="","",OFFSET(Biblioteca!$G$2,MATCH(CX69,Biblioteca!$A$3:$A$200,0),)*(1.05^(10-DE69)))</f>
        <v/>
      </c>
      <c r="DJ69" s="618"/>
      <c r="DK69" s="588"/>
    </row>
    <row r="70" ht="14.25" customHeight="1">
      <c r="A70" s="492" t="str">
        <f>"S "&amp;$AD52&amp;" - "&amp;TEXT(C62,"dd/mm")</f>
        <v>S 2 - 19/01</v>
      </c>
      <c r="B70" s="592" t="s">
        <v>256</v>
      </c>
      <c r="C70" s="601"/>
      <c r="D70" s="623"/>
      <c r="E70" s="600"/>
      <c r="F70" s="601"/>
      <c r="G70" s="601"/>
      <c r="H70" s="601"/>
      <c r="I70" s="607"/>
      <c r="J70" s="505"/>
      <c r="K70" s="627"/>
      <c r="L70" s="9"/>
      <c r="M70" s="628" t="s">
        <v>257</v>
      </c>
      <c r="N70" s="9"/>
      <c r="O70" s="629"/>
      <c r="P70" s="630"/>
      <c r="Q70" s="630"/>
      <c r="R70" s="630"/>
      <c r="S70" s="631" t="str">
        <f>OFFSET($B66,0,WEEKDAY(K58,2))&amp;" "&amp;OFFSET($B71,0,WEEKDAY(K58,2))&amp;"x"&amp;OFFSET($B70,0,WEEKDAY(K58,2))</f>
        <v>Esteira 5x</v>
      </c>
      <c r="T70" s="630"/>
      <c r="U70" s="630"/>
      <c r="V70" s="630"/>
      <c r="W70" s="630"/>
      <c r="X70" s="630"/>
      <c r="Y70" s="632"/>
      <c r="Z70" s="9"/>
      <c r="AA70" s="9"/>
      <c r="AB70" s="628" t="s">
        <v>257</v>
      </c>
      <c r="AC70" s="9"/>
      <c r="AD70" s="629"/>
      <c r="AE70" s="630"/>
      <c r="AF70" s="630"/>
      <c r="AG70" s="630"/>
      <c r="AH70" s="631" t="str">
        <f>OFFSET($B66,0,WEEKDAY(Z58,2))&amp;" "&amp;OFFSET($B71,0,WEEKDAY(Z58,2))&amp;"x"&amp;OFFSET($B70,0,WEEKDAY(Z58,2))</f>
        <v>Bicicleta 5x</v>
      </c>
      <c r="AI70" s="630"/>
      <c r="AJ70" s="630"/>
      <c r="AK70" s="630"/>
      <c r="AL70" s="630"/>
      <c r="AM70" s="630"/>
      <c r="AN70" s="632"/>
      <c r="AO70" s="9"/>
      <c r="AP70" s="627"/>
      <c r="AQ70" s="633" t="s">
        <v>257</v>
      </c>
      <c r="AR70" s="627"/>
      <c r="AS70" s="634"/>
      <c r="AT70" s="635"/>
      <c r="AU70" s="635"/>
      <c r="AV70" s="635"/>
      <c r="AW70" s="635" t="str">
        <f>OFFSET($B66,0,WEEKDAY(AO58,2))&amp;" "&amp;OFFSET($B71,0,WEEKDAY(AO58,2))&amp;"x"&amp;OFFSET($B70,0,WEEKDAY(AO58,2))</f>
        <v> x</v>
      </c>
      <c r="AX70" s="635"/>
      <c r="AY70" s="635"/>
      <c r="AZ70" s="635"/>
      <c r="BA70" s="630"/>
      <c r="BB70" s="630"/>
      <c r="BC70" s="632"/>
      <c r="BD70" s="9"/>
      <c r="BE70" s="9"/>
      <c r="BF70" s="628" t="s">
        <v>257</v>
      </c>
      <c r="BG70" s="9"/>
      <c r="BH70" s="629"/>
      <c r="BI70" s="630"/>
      <c r="BJ70" s="630"/>
      <c r="BK70" s="630"/>
      <c r="BL70" s="631" t="str">
        <f>OFFSET($B66,0,WEEKDAY(BD58,2))&amp;" "&amp;OFFSET($B71,0,WEEKDAY(BD58,2))&amp;"x"&amp;OFFSET($B70,0,WEEKDAY(BD58,2))</f>
        <v>Esteira 1x</v>
      </c>
      <c r="BM70" s="630"/>
      <c r="BN70" s="630"/>
      <c r="BO70" s="630"/>
      <c r="BP70" s="630"/>
      <c r="BQ70" s="630"/>
      <c r="BR70" s="632"/>
      <c r="BS70" s="9"/>
      <c r="BT70" s="9"/>
      <c r="BU70" s="628" t="s">
        <v>257</v>
      </c>
      <c r="BV70" s="9"/>
      <c r="BW70" s="629"/>
      <c r="BX70" s="630"/>
      <c r="BY70" s="630"/>
      <c r="BZ70" s="630"/>
      <c r="CA70" s="631" t="str">
        <f>OFFSET($B66,0,WEEKDAY(BS58,2))&amp;" "&amp;OFFSET($B71,0,WEEKDAY(BS58,2))&amp;"x"&amp;OFFSET($B70,0,WEEKDAY(BS58,2))</f>
        <v>Corda 2x</v>
      </c>
      <c r="CB70" s="630"/>
      <c r="CC70" s="630"/>
      <c r="CD70" s="630"/>
      <c r="CE70" s="630"/>
      <c r="CF70" s="630"/>
      <c r="CG70" s="632"/>
      <c r="CH70" s="9"/>
      <c r="CI70" s="627"/>
      <c r="CJ70" s="633" t="s">
        <v>257</v>
      </c>
      <c r="CK70" s="627"/>
      <c r="CL70" s="634"/>
      <c r="CM70" s="635"/>
      <c r="CN70" s="635"/>
      <c r="CO70" s="635"/>
      <c r="CP70" s="635" t="str">
        <f>OFFSET($B66,0,WEEKDAY(CH58,2))&amp;" "&amp;OFFSET($B71,0,WEEKDAY(CH58,2))&amp;"x"&amp;OFFSET($B70,0,WEEKDAY(CH58,2))</f>
        <v>Pista x</v>
      </c>
      <c r="CQ70" s="635"/>
      <c r="CR70" s="635"/>
      <c r="CS70" s="635"/>
      <c r="CT70" s="630"/>
      <c r="CU70" s="630"/>
      <c r="CV70" s="604"/>
      <c r="CW70" s="627"/>
      <c r="CX70" s="627"/>
      <c r="CY70" s="633" t="s">
        <v>257</v>
      </c>
      <c r="CZ70" s="627"/>
      <c r="DA70" s="634"/>
      <c r="DB70" s="635"/>
      <c r="DC70" s="635"/>
      <c r="DD70" s="635"/>
      <c r="DE70" s="635" t="str">
        <f>OFFSET($B66,0,WEEKDAY(CW58,2))&amp;" "&amp;OFFSET($B71,0,WEEKDAY(CW58,2))&amp;"x"&amp;OFFSET($B70,0,WEEKDAY(CW58,2))</f>
        <v> x</v>
      </c>
      <c r="DF70" s="635"/>
      <c r="DG70" s="635"/>
      <c r="DH70" s="635"/>
      <c r="DI70" s="635"/>
      <c r="DJ70" s="635"/>
      <c r="DK70" s="604"/>
    </row>
    <row r="71" ht="14.25" customHeight="1">
      <c r="A71" s="492" t="str">
        <f>"S "&amp;$AD52&amp;" - "&amp;TEXT(C62,"dd/mm")</f>
        <v>S 2 - 19/01</v>
      </c>
      <c r="B71" s="592" t="s">
        <v>258</v>
      </c>
      <c r="C71" s="704">
        <v>5.0</v>
      </c>
      <c r="D71" s="704">
        <v>5.0</v>
      </c>
      <c r="E71" s="637"/>
      <c r="F71" s="636">
        <v>1.0</v>
      </c>
      <c r="G71" s="636">
        <v>2.0</v>
      </c>
      <c r="H71" s="638"/>
      <c r="I71" s="637"/>
      <c r="J71" s="505"/>
      <c r="K71" s="608">
        <v>1.0</v>
      </c>
      <c r="L71" s="609" t="s">
        <v>232</v>
      </c>
      <c r="Q71" s="609"/>
      <c r="R71" s="614"/>
      <c r="S71" s="614"/>
      <c r="T71" s="611">
        <v>60.0</v>
      </c>
      <c r="U71" s="614"/>
      <c r="V71" s="614"/>
      <c r="W71" s="639">
        <f>IF(L71="","",OFFSET(Biblioteca!$G$2,MATCH(L71,Biblioteca!$A$3:$A$200,0),)*(1.05^(10-S71)))</f>
        <v>0</v>
      </c>
      <c r="X71" s="640"/>
      <c r="Y71" s="632"/>
      <c r="Z71" s="641">
        <v>1.0</v>
      </c>
      <c r="AA71" s="609" t="s">
        <v>233</v>
      </c>
      <c r="AF71" s="609"/>
      <c r="AG71" s="614"/>
      <c r="AH71" s="614"/>
      <c r="AI71" s="611">
        <v>60.0</v>
      </c>
      <c r="AJ71" s="614"/>
      <c r="AK71" s="614"/>
      <c r="AL71" s="639">
        <f>IF(AA71="","",OFFSET(Biblioteca!$G$2,MATCH(AA71,Biblioteca!$A$3:$A$200,0),)*(1.05^(10-AH71)))</f>
        <v>0</v>
      </c>
      <c r="AM71" s="640"/>
      <c r="AN71" s="632"/>
      <c r="AO71" s="641">
        <v>1.0</v>
      </c>
      <c r="AP71" s="642" t="s">
        <v>235</v>
      </c>
      <c r="AU71" s="610"/>
      <c r="AV71" s="625"/>
      <c r="AW71" s="625"/>
      <c r="AX71" s="625"/>
      <c r="AY71" s="611"/>
      <c r="AZ71" s="611"/>
      <c r="BA71" s="639">
        <f>IF(AP71="","",OFFSET(Biblioteca!$G$2,MATCH(AP71,Biblioteca!$A$3:$A$200,0),)*(1.05^(10-AW71)))</f>
        <v>0</v>
      </c>
      <c r="BB71" s="640"/>
      <c r="BC71" s="632"/>
      <c r="BD71" s="641">
        <v>1.0</v>
      </c>
      <c r="BE71" s="645" t="s">
        <v>315</v>
      </c>
      <c r="BJ71" s="705" t="s">
        <v>260</v>
      </c>
      <c r="BK71" s="644">
        <v>3.0</v>
      </c>
      <c r="BL71" s="644">
        <v>10.0</v>
      </c>
      <c r="BM71" s="640"/>
      <c r="BN71" s="644">
        <v>1.0</v>
      </c>
      <c r="BO71" s="644">
        <v>2.0</v>
      </c>
      <c r="BP71" s="639">
        <f>IF(BE71="","",OFFSET(Biblioteca!$G$2,MATCH(BE71,Biblioteca!$A$3:$A$200,0),)*(1.05^(10-BL71)))</f>
        <v>0</v>
      </c>
      <c r="BQ71" s="640"/>
      <c r="BR71" s="632"/>
      <c r="BS71" s="641">
        <v>1.0</v>
      </c>
      <c r="BT71" s="642" t="s">
        <v>234</v>
      </c>
      <c r="BY71" s="609"/>
      <c r="BZ71" s="614"/>
      <c r="CA71" s="614"/>
      <c r="CB71" s="611">
        <v>60.0</v>
      </c>
      <c r="CC71" s="614"/>
      <c r="CD71" s="614"/>
      <c r="CE71" s="639">
        <f>IF(BT71="","",OFFSET(Biblioteca!$G$2,MATCH(BT71,Biblioteca!$A$3:$A$200,0),)*(1.05^(10-CA71)))</f>
        <v>0</v>
      </c>
      <c r="CF71" s="640"/>
      <c r="CG71" s="632"/>
      <c r="CH71" s="641">
        <v>1.0</v>
      </c>
      <c r="CI71" s="642" t="s">
        <v>235</v>
      </c>
      <c r="CN71" s="610"/>
      <c r="CO71" s="625"/>
      <c r="CP71" s="625"/>
      <c r="CQ71" s="625"/>
      <c r="CR71" s="611"/>
      <c r="CS71" s="611"/>
      <c r="CT71" s="639">
        <f>IF(CI71="","",OFFSET(Biblioteca!$G$2,MATCH(CI71,Biblioteca!$A$3:$A$200,0),)*(1.05^(10-CP71)))</f>
        <v>0</v>
      </c>
      <c r="CU71" s="640"/>
      <c r="CV71" s="579"/>
      <c r="CW71" s="608">
        <v>1.0</v>
      </c>
      <c r="CX71" s="609"/>
      <c r="DC71" s="610"/>
      <c r="DD71" s="625"/>
      <c r="DE71" s="625"/>
      <c r="DF71" s="625"/>
      <c r="DG71" s="611"/>
      <c r="DH71" s="611"/>
      <c r="DI71" s="617" t="str">
        <f>IF(CX71="","",OFFSET(Biblioteca!$G$2,MATCH(CX71,Biblioteca!$A$3:$A$200,0),)*(1.05^(10-DE71)))</f>
        <v/>
      </c>
      <c r="DJ71" s="618"/>
      <c r="DK71" s="579"/>
    </row>
    <row r="72" ht="14.25" customHeight="1">
      <c r="A72" s="492" t="str">
        <f>"S "&amp;$AD52&amp;" - "&amp;TEXT(C62,"dd/mm")</f>
        <v>S 2 - 19/01</v>
      </c>
      <c r="B72" s="592" t="s">
        <v>263</v>
      </c>
      <c r="C72" s="606">
        <v>1.0</v>
      </c>
      <c r="D72" s="606">
        <v>1.0</v>
      </c>
      <c r="E72" s="600"/>
      <c r="F72" s="606"/>
      <c r="G72" s="599">
        <v>1.0</v>
      </c>
      <c r="H72" s="601"/>
      <c r="I72" s="600"/>
      <c r="J72" s="505"/>
      <c r="K72" s="608">
        <f t="shared" ref="K72:K90" si="44">IF(T71="",K71,K71+1)</f>
        <v>2</v>
      </c>
      <c r="L72" s="645" t="s">
        <v>278</v>
      </c>
      <c r="Q72" s="705" t="s">
        <v>260</v>
      </c>
      <c r="R72" s="644">
        <v>3.0</v>
      </c>
      <c r="S72" s="644">
        <v>12.0</v>
      </c>
      <c r="T72" s="640"/>
      <c r="U72" s="644">
        <v>1.0</v>
      </c>
      <c r="V72" s="644">
        <v>2.0</v>
      </c>
      <c r="W72" s="639">
        <f>IF(L72="","",OFFSET(Biblioteca!$G$2,MATCH(L72,Biblioteca!$A$3:$A$200,0),)*(1.05^(10-S72)))</f>
        <v>54.42176871</v>
      </c>
      <c r="X72" s="640"/>
      <c r="Y72" s="632"/>
      <c r="Z72" s="641">
        <f t="shared" ref="Z72:Z90" si="45">IF(AI71="",Z71,Z71+1)</f>
        <v>2</v>
      </c>
      <c r="AA72" s="645" t="s">
        <v>259</v>
      </c>
      <c r="AF72" s="705" t="s">
        <v>260</v>
      </c>
      <c r="AG72" s="644">
        <v>3.0</v>
      </c>
      <c r="AH72" s="644">
        <v>12.0</v>
      </c>
      <c r="AI72" s="640"/>
      <c r="AJ72" s="644">
        <v>1.0</v>
      </c>
      <c r="AK72" s="644">
        <v>2.0</v>
      </c>
      <c r="AL72" s="639">
        <f>IF(AA72="","",OFFSET(Biblioteca!$G$2,MATCH(AA72,Biblioteca!$A$3:$A$200,0),)*(1.05^(10-AH72)))</f>
        <v>81.63265306</v>
      </c>
      <c r="AM72" s="640"/>
      <c r="AN72" s="632"/>
      <c r="AO72" s="641">
        <f t="shared" ref="AO72:AO90" si="46">IF(AX71="",AO71,AO71+1)</f>
        <v>1</v>
      </c>
      <c r="AP72" s="619"/>
      <c r="AU72" s="620"/>
      <c r="AV72" s="618"/>
      <c r="AW72" s="618"/>
      <c r="AX72" s="618"/>
      <c r="AY72" s="618"/>
      <c r="AZ72" s="618"/>
      <c r="BA72" s="639" t="str">
        <f>IF(AP72="","",OFFSET(Biblioteca!$G$2,MATCH(AP72,Biblioteca!$A$3:$A$200,0),)*(1.05^(10-AW72)))</f>
        <v/>
      </c>
      <c r="BB72" s="640"/>
      <c r="BC72" s="632"/>
      <c r="BD72" s="641">
        <f t="shared" ref="BD72:BD90" si="47">IF(BM71="",BD71,BD71+1)</f>
        <v>1</v>
      </c>
      <c r="BE72" s="645" t="s">
        <v>305</v>
      </c>
      <c r="BJ72" s="705" t="s">
        <v>260</v>
      </c>
      <c r="BK72" s="611">
        <v>3.0</v>
      </c>
      <c r="BL72" s="611">
        <v>12.0</v>
      </c>
      <c r="BM72" s="611">
        <v>60.0</v>
      </c>
      <c r="BN72" s="611">
        <v>1.0</v>
      </c>
      <c r="BO72" s="611">
        <v>2.0</v>
      </c>
      <c r="BP72" s="639">
        <f>IF(BE72="","",OFFSET(Biblioteca!$G$2,MATCH(BE72,Biblioteca!$A$3:$A$200,0),)*(1.05^(10-BL72)))</f>
        <v>10</v>
      </c>
      <c r="BQ72" s="640"/>
      <c r="BR72" s="632"/>
      <c r="BS72" s="641">
        <f t="shared" ref="BS72:BS90" si="48">IF(CB71="",BS71,BS71+1)</f>
        <v>2</v>
      </c>
      <c r="BT72" s="645" t="s">
        <v>265</v>
      </c>
      <c r="BY72" s="705" t="s">
        <v>260</v>
      </c>
      <c r="BZ72" s="644">
        <v>3.0</v>
      </c>
      <c r="CA72" s="644">
        <v>12.0</v>
      </c>
      <c r="CB72" s="640"/>
      <c r="CC72" s="644">
        <v>1.0</v>
      </c>
      <c r="CD72" s="644">
        <v>2.0</v>
      </c>
      <c r="CE72" s="639">
        <f>IF(BT72="","",OFFSET(Biblioteca!$G$2,MATCH(BT72,Biblioteca!$A$3:$A$200,0),)*(1.05^(10-CA72)))</f>
        <v>70.74829932</v>
      </c>
      <c r="CF72" s="640"/>
      <c r="CG72" s="632"/>
      <c r="CH72" s="641">
        <f t="shared" ref="CH72:CH90" si="49">IF(CQ71="",CH71,CH71+1)</f>
        <v>1</v>
      </c>
      <c r="CI72" s="619"/>
      <c r="CN72" s="620"/>
      <c r="CO72" s="618"/>
      <c r="CP72" s="618"/>
      <c r="CQ72" s="618"/>
      <c r="CR72" s="618"/>
      <c r="CS72" s="618"/>
      <c r="CT72" s="639" t="str">
        <f>IF(CI72="","",OFFSET(Biblioteca!$G$2,MATCH(CI72,Biblioteca!$A$3:$A$200,0),)*(1.05^(10-CP72)))</f>
        <v/>
      </c>
      <c r="CU72" s="640"/>
      <c r="CV72" s="579"/>
      <c r="CW72" s="608">
        <f t="shared" ref="CW72:CW90" si="50">IF(DF71="",CW71,CW71+1)</f>
        <v>1</v>
      </c>
      <c r="CX72" s="619"/>
      <c r="DC72" s="620"/>
      <c r="DD72" s="618"/>
      <c r="DE72" s="618"/>
      <c r="DF72" s="618"/>
      <c r="DG72" s="618"/>
      <c r="DH72" s="618"/>
      <c r="DI72" s="617" t="str">
        <f>IF(CX72="","",OFFSET(Biblioteca!$G$2,MATCH(CX72,Biblioteca!$A$3:$A$200,0),)*(1.05^(10-DE72)))</f>
        <v/>
      </c>
      <c r="DJ72" s="618"/>
      <c r="DK72" s="579"/>
    </row>
    <row r="73" ht="14.25" customHeight="1">
      <c r="A73" s="492" t="str">
        <f>"S "&amp;$AD52&amp;" - "&amp;TEXT(C62,"dd/mm")</f>
        <v>S 2 - 19/01</v>
      </c>
      <c r="B73" s="592" t="s">
        <v>267</v>
      </c>
      <c r="C73" s="606">
        <v>180.0</v>
      </c>
      <c r="D73" s="606">
        <v>180.0</v>
      </c>
      <c r="E73" s="600"/>
      <c r="F73" s="599"/>
      <c r="G73" s="599">
        <v>300.0</v>
      </c>
      <c r="H73" s="601"/>
      <c r="I73" s="600"/>
      <c r="J73" s="505"/>
      <c r="K73" s="608">
        <f t="shared" si="44"/>
        <v>2</v>
      </c>
      <c r="L73" s="609" t="s">
        <v>277</v>
      </c>
      <c r="Q73" s="705" t="s">
        <v>260</v>
      </c>
      <c r="R73" s="611">
        <v>3.0</v>
      </c>
      <c r="S73" s="611">
        <v>12.0</v>
      </c>
      <c r="T73" s="611">
        <v>60.0</v>
      </c>
      <c r="U73" s="611">
        <v>1.0</v>
      </c>
      <c r="V73" s="611">
        <v>2.0</v>
      </c>
      <c r="W73" s="639">
        <f>IF(L73="","",OFFSET(Biblioteca!$G$2,MATCH(L73,Biblioteca!$A$3:$A$200,0),)*(1.05^(10-S73)))</f>
        <v>61.67800454</v>
      </c>
      <c r="X73" s="640"/>
      <c r="Y73" s="632"/>
      <c r="Z73" s="641">
        <f t="shared" si="45"/>
        <v>2</v>
      </c>
      <c r="AA73" s="609" t="s">
        <v>261</v>
      </c>
      <c r="AF73" s="705" t="s">
        <v>260</v>
      </c>
      <c r="AG73" s="611">
        <v>3.0</v>
      </c>
      <c r="AH73" s="611">
        <v>12.0</v>
      </c>
      <c r="AI73" s="611">
        <v>60.0</v>
      </c>
      <c r="AJ73" s="611">
        <v>1.0</v>
      </c>
      <c r="AK73" s="611">
        <v>2.0</v>
      </c>
      <c r="AL73" s="639">
        <f>IF(AA73="","",OFFSET(Biblioteca!$G$2,MATCH(AA73,Biblioteca!$A$3:$A$200,0),)*(1.05^(10-AH73)))</f>
        <v>90.70294785</v>
      </c>
      <c r="AM73" s="640"/>
      <c r="AN73" s="632"/>
      <c r="AO73" s="641">
        <f t="shared" si="46"/>
        <v>1</v>
      </c>
      <c r="AP73" s="619"/>
      <c r="AU73" s="620"/>
      <c r="AV73" s="618"/>
      <c r="AW73" s="618"/>
      <c r="AX73" s="618"/>
      <c r="AY73" s="618"/>
      <c r="AZ73" s="618"/>
      <c r="BA73" s="639" t="str">
        <f>IF(AP73="","",OFFSET(Biblioteca!$G$2,MATCH(AP73,Biblioteca!$A$3:$A$200,0),)*(1.05^(10-AW73)))</f>
        <v/>
      </c>
      <c r="BB73" s="640"/>
      <c r="BC73" s="632"/>
      <c r="BD73" s="641">
        <f t="shared" si="47"/>
        <v>2</v>
      </c>
      <c r="BE73" s="645" t="s">
        <v>288</v>
      </c>
      <c r="BJ73" s="705" t="s">
        <v>260</v>
      </c>
      <c r="BK73" s="644">
        <v>3.0</v>
      </c>
      <c r="BL73" s="644">
        <v>12.0</v>
      </c>
      <c r="BM73" s="640"/>
      <c r="BN73" s="644">
        <v>1.0</v>
      </c>
      <c r="BO73" s="644">
        <v>2.0</v>
      </c>
      <c r="BP73" s="639">
        <f>IF(BE73="","",OFFSET(Biblioteca!$G$2,MATCH(BE73,Biblioteca!$A$3:$A$200,0),)*(1.05^(10-BL73)))</f>
        <v>7.33055625</v>
      </c>
      <c r="BQ73" s="640"/>
      <c r="BR73" s="632"/>
      <c r="BS73" s="641">
        <f t="shared" si="48"/>
        <v>2</v>
      </c>
      <c r="BT73" s="645" t="s">
        <v>282</v>
      </c>
      <c r="BY73" s="705" t="s">
        <v>260</v>
      </c>
      <c r="BZ73" s="611">
        <v>3.0</v>
      </c>
      <c r="CA73" s="611">
        <v>12.0</v>
      </c>
      <c r="CB73" s="611">
        <v>60.0</v>
      </c>
      <c r="CC73" s="611">
        <v>1.0</v>
      </c>
      <c r="CD73" s="611">
        <v>2.0</v>
      </c>
      <c r="CE73" s="639">
        <f>IF(BT73="","",OFFSET(Biblioteca!$G$2,MATCH(BT73,Biblioteca!$A$3:$A$200,0),)*(1.05^(10-CA73)))</f>
        <v>70.74829932</v>
      </c>
      <c r="CF73" s="640"/>
      <c r="CG73" s="632"/>
      <c r="CH73" s="641">
        <f t="shared" si="49"/>
        <v>1</v>
      </c>
      <c r="CI73" s="619"/>
      <c r="CN73" s="620"/>
      <c r="CO73" s="618"/>
      <c r="CP73" s="618"/>
      <c r="CQ73" s="618"/>
      <c r="CR73" s="618"/>
      <c r="CS73" s="618"/>
      <c r="CT73" s="639" t="str">
        <f>IF(CI73="","",OFFSET(Biblioteca!$G$2,MATCH(CI73,Biblioteca!$A$3:$A$200,0),)*(1.05^(10-CP73)))</f>
        <v/>
      </c>
      <c r="CU73" s="640"/>
      <c r="CV73" s="579"/>
      <c r="CW73" s="608">
        <f t="shared" si="50"/>
        <v>1</v>
      </c>
      <c r="CX73" s="619"/>
      <c r="DC73" s="620"/>
      <c r="DD73" s="618"/>
      <c r="DE73" s="618"/>
      <c r="DF73" s="618"/>
      <c r="DG73" s="618"/>
      <c r="DH73" s="618"/>
      <c r="DI73" s="617" t="str">
        <f>IF(CX73="","",OFFSET(Biblioteca!$G$2,MATCH(CX73,Biblioteca!$A$3:$A$200,0),)*(1.05^(10-DE73)))</f>
        <v/>
      </c>
      <c r="DJ73" s="618"/>
      <c r="DK73" s="579"/>
    </row>
    <row r="74" ht="14.25" customHeight="1">
      <c r="A74" s="492" t="str">
        <f>"S "&amp;$AD52&amp;" - "&amp;TEXT(C62,"dd/mm")</f>
        <v>S 2 - 19/01</v>
      </c>
      <c r="B74" s="647" t="s">
        <v>272</v>
      </c>
      <c r="C74" s="601"/>
      <c r="D74" s="601"/>
      <c r="E74" s="600"/>
      <c r="F74" s="600"/>
      <c r="G74" s="606"/>
      <c r="H74" s="601"/>
      <c r="I74" s="600"/>
      <c r="J74" s="505"/>
      <c r="K74" s="608">
        <f t="shared" si="44"/>
        <v>3</v>
      </c>
      <c r="L74" s="609" t="s">
        <v>232</v>
      </c>
      <c r="Q74" s="609"/>
      <c r="R74" s="614"/>
      <c r="S74" s="614"/>
      <c r="T74" s="611">
        <v>60.0</v>
      </c>
      <c r="U74" s="614"/>
      <c r="V74" s="614"/>
      <c r="W74" s="639">
        <f>IF(L74="","",OFFSET(Biblioteca!$G$2,MATCH(L74,Biblioteca!$A$3:$A$200,0),)*(1.05^(10-S74)))</f>
        <v>0</v>
      </c>
      <c r="X74" s="640"/>
      <c r="Y74" s="632"/>
      <c r="Z74" s="641">
        <f t="shared" si="45"/>
        <v>3</v>
      </c>
      <c r="AA74" s="609" t="s">
        <v>233</v>
      </c>
      <c r="AF74" s="609"/>
      <c r="AG74" s="614"/>
      <c r="AH74" s="614"/>
      <c r="AI74" s="611">
        <v>60.0</v>
      </c>
      <c r="AJ74" s="614"/>
      <c r="AK74" s="614"/>
      <c r="AL74" s="639">
        <f>IF(AA74="","",OFFSET(Biblioteca!$G$2,MATCH(AA74,Biblioteca!$A$3:$A$200,0),)*(1.05^(10-AH74)))</f>
        <v>0</v>
      </c>
      <c r="AM74" s="640"/>
      <c r="AN74" s="632"/>
      <c r="AO74" s="641">
        <f t="shared" si="46"/>
        <v>1</v>
      </c>
      <c r="AP74" s="609"/>
      <c r="AU74" s="610"/>
      <c r="AV74" s="644"/>
      <c r="AW74" s="644"/>
      <c r="AX74" s="644"/>
      <c r="AY74" s="644"/>
      <c r="AZ74" s="644"/>
      <c r="BA74" s="639" t="str">
        <f>IF(AP74="","",OFFSET(Biblioteca!$G$2,MATCH(AP74,Biblioteca!$A$3:$A$200,0),)*(1.05^(10-AW74)))</f>
        <v/>
      </c>
      <c r="BB74" s="640"/>
      <c r="BC74" s="632"/>
      <c r="BD74" s="641">
        <f t="shared" si="47"/>
        <v>2</v>
      </c>
      <c r="BE74" s="645" t="s">
        <v>297</v>
      </c>
      <c r="BJ74" s="705" t="s">
        <v>260</v>
      </c>
      <c r="BK74" s="611">
        <v>3.0</v>
      </c>
      <c r="BL74" s="611">
        <v>12.0</v>
      </c>
      <c r="BM74" s="611">
        <v>60.0</v>
      </c>
      <c r="BN74" s="611">
        <v>1.0</v>
      </c>
      <c r="BO74" s="611">
        <v>2.0</v>
      </c>
      <c r="BP74" s="639">
        <f>IF(BE74="","",OFFSET(Biblioteca!$G$2,MATCH(BE74,Biblioteca!$A$3:$A$200,0),)*(1.05^(10-BL74)))</f>
        <v>6.397864257</v>
      </c>
      <c r="BQ74" s="640"/>
      <c r="BR74" s="632"/>
      <c r="BS74" s="641">
        <f t="shared" si="48"/>
        <v>3</v>
      </c>
      <c r="BT74" s="645" t="s">
        <v>270</v>
      </c>
      <c r="BY74" s="705" t="s">
        <v>260</v>
      </c>
      <c r="BZ74" s="644">
        <v>3.0</v>
      </c>
      <c r="CA74" s="644">
        <v>8.0</v>
      </c>
      <c r="CB74" s="640"/>
      <c r="CC74" s="644">
        <v>1.0</v>
      </c>
      <c r="CD74" s="644">
        <v>2.0</v>
      </c>
      <c r="CE74" s="639">
        <f>IF(BT74="","",OFFSET(Biblioteca!$G$2,MATCH(BT74,Biblioteca!$A$3:$A$200,0),)*(1.05^(10-CA74)))</f>
        <v>0</v>
      </c>
      <c r="CF74" s="640"/>
      <c r="CG74" s="632"/>
      <c r="CH74" s="641">
        <f t="shared" si="49"/>
        <v>1</v>
      </c>
      <c r="CI74" s="609"/>
      <c r="CN74" s="610"/>
      <c r="CO74" s="644"/>
      <c r="CP74" s="644"/>
      <c r="CQ74" s="644"/>
      <c r="CR74" s="644"/>
      <c r="CS74" s="644"/>
      <c r="CT74" s="639" t="str">
        <f>IF(CI74="","",OFFSET(Biblioteca!$G$2,MATCH(CI74,Biblioteca!$A$3:$A$200,0),)*(1.05^(10-CP74)))</f>
        <v/>
      </c>
      <c r="CU74" s="640"/>
      <c r="CV74" s="588"/>
      <c r="CW74" s="608">
        <f t="shared" si="50"/>
        <v>1</v>
      </c>
      <c r="CX74" s="619"/>
      <c r="DC74" s="620"/>
      <c r="DD74" s="618"/>
      <c r="DE74" s="618"/>
      <c r="DF74" s="618"/>
      <c r="DG74" s="618"/>
      <c r="DH74" s="618"/>
      <c r="DI74" s="617" t="str">
        <f>IF(CX74="","",OFFSET(Biblioteca!$G$2,MATCH(CX74,Biblioteca!$A$3:$A$200,0),)*(1.05^(10-DE74)))</f>
        <v/>
      </c>
      <c r="DJ74" s="618"/>
      <c r="DK74" s="588"/>
    </row>
    <row r="75" ht="14.25" customHeight="1">
      <c r="A75" s="492" t="str">
        <f>"S "&amp;$AD52&amp;" - "&amp;TEXT(C62,"dd/mm")</f>
        <v>S 2 - 19/01</v>
      </c>
      <c r="B75" s="592" t="s">
        <v>276</v>
      </c>
      <c r="C75" s="623"/>
      <c r="D75" s="623"/>
      <c r="E75" s="622"/>
      <c r="F75" s="624"/>
      <c r="G75" s="648"/>
      <c r="H75" s="623"/>
      <c r="I75" s="624"/>
      <c r="J75" s="505"/>
      <c r="K75" s="608">
        <f t="shared" si="44"/>
        <v>4</v>
      </c>
      <c r="L75" s="645" t="s">
        <v>286</v>
      </c>
      <c r="Q75" s="705" t="s">
        <v>260</v>
      </c>
      <c r="R75" s="644">
        <v>3.0</v>
      </c>
      <c r="S75" s="644">
        <v>12.0</v>
      </c>
      <c r="T75" s="640"/>
      <c r="U75" s="644">
        <v>1.0</v>
      </c>
      <c r="V75" s="644">
        <v>2.0</v>
      </c>
      <c r="W75" s="639">
        <f>IF(L75="","",OFFSET(Biblioteca!$G$2,MATCH(L75,Biblioteca!$A$3:$A$200,0),)*(1.05^(10-S75)))</f>
        <v>45.35147392</v>
      </c>
      <c r="X75" s="640"/>
      <c r="Y75" s="632"/>
      <c r="Z75" s="641">
        <f t="shared" si="45"/>
        <v>4</v>
      </c>
      <c r="AA75" s="645" t="s">
        <v>266</v>
      </c>
      <c r="AF75" s="705" t="s">
        <v>260</v>
      </c>
      <c r="AG75" s="644">
        <v>3.0</v>
      </c>
      <c r="AH75" s="644">
        <v>12.0</v>
      </c>
      <c r="AI75" s="640"/>
      <c r="AJ75" s="644">
        <v>1.0</v>
      </c>
      <c r="AK75" s="644">
        <v>2.0</v>
      </c>
      <c r="AL75" s="639">
        <f>IF(AA75="","",OFFSET(Biblioteca!$G$2,MATCH(AA75,Biblioteca!$A$3:$A$200,0),)*(1.05^(10-AH75)))</f>
        <v>100</v>
      </c>
      <c r="AM75" s="640"/>
      <c r="AN75" s="632"/>
      <c r="AO75" s="641">
        <f t="shared" si="46"/>
        <v>1</v>
      </c>
      <c r="AP75" s="609"/>
      <c r="AU75" s="610"/>
      <c r="AV75" s="611"/>
      <c r="AW75" s="611"/>
      <c r="AX75" s="614"/>
      <c r="AY75" s="611"/>
      <c r="AZ75" s="644"/>
      <c r="BA75" s="639" t="str">
        <f>IF(AP75="","",OFFSET(Biblioteca!$G$2,MATCH(AP75,Biblioteca!$A$3:$A$200,0),)*(1.05^(10-AW75)))</f>
        <v/>
      </c>
      <c r="BB75" s="640"/>
      <c r="BC75" s="632"/>
      <c r="BD75" s="641">
        <f t="shared" si="47"/>
        <v>3</v>
      </c>
      <c r="BE75" s="645" t="s">
        <v>294</v>
      </c>
      <c r="BJ75" s="705" t="s">
        <v>260</v>
      </c>
      <c r="BK75" s="644">
        <v>3.0</v>
      </c>
      <c r="BL75" s="644">
        <v>12.0</v>
      </c>
      <c r="BM75" s="640"/>
      <c r="BN75" s="644">
        <v>1.0</v>
      </c>
      <c r="BO75" s="644">
        <v>2.0</v>
      </c>
      <c r="BP75" s="639">
        <f>IF(BE75="","",OFFSET(Biblioteca!$G$2,MATCH(BE75,Biblioteca!$A$3:$A$200,0),)*(1.05^(10-BL75)))</f>
        <v>7.6</v>
      </c>
      <c r="BQ75" s="640"/>
      <c r="BR75" s="632"/>
      <c r="BS75" s="641">
        <f t="shared" si="48"/>
        <v>3</v>
      </c>
      <c r="BT75" s="645" t="s">
        <v>271</v>
      </c>
      <c r="BY75" s="705" t="s">
        <v>260</v>
      </c>
      <c r="BZ75" s="611">
        <v>3.0</v>
      </c>
      <c r="CA75" s="611">
        <v>12.0</v>
      </c>
      <c r="CB75" s="611">
        <v>60.0</v>
      </c>
      <c r="CC75" s="611">
        <v>1.0</v>
      </c>
      <c r="CD75" s="611">
        <v>2.0</v>
      </c>
      <c r="CE75" s="639">
        <f>IF(BT75="","",OFFSET(Biblioteca!$G$2,MATCH(BT75,Biblioteca!$A$3:$A$200,0),)*(1.05^(10-CA75)))</f>
        <v>14</v>
      </c>
      <c r="CF75" s="640"/>
      <c r="CG75" s="632"/>
      <c r="CH75" s="641">
        <f t="shared" si="49"/>
        <v>1</v>
      </c>
      <c r="CI75" s="609"/>
      <c r="CN75" s="610"/>
      <c r="CO75" s="611"/>
      <c r="CP75" s="611"/>
      <c r="CQ75" s="614"/>
      <c r="CR75" s="611"/>
      <c r="CS75" s="644"/>
      <c r="CT75" s="639" t="str">
        <f>IF(CI75="","",OFFSET(Biblioteca!$G$2,MATCH(CI75,Biblioteca!$A$3:$A$200,0),)*(1.05^(10-CP75)))</f>
        <v/>
      </c>
      <c r="CU75" s="640"/>
      <c r="CV75" s="579"/>
      <c r="CW75" s="608">
        <f t="shared" si="50"/>
        <v>1</v>
      </c>
      <c r="CX75" s="619"/>
      <c r="DC75" s="620"/>
      <c r="DD75" s="618"/>
      <c r="DE75" s="618"/>
      <c r="DF75" s="618"/>
      <c r="DG75" s="618"/>
      <c r="DH75" s="618"/>
      <c r="DI75" s="617" t="str">
        <f>IF(CX75="","",OFFSET(Biblioteca!$G$2,MATCH(CX75,Biblioteca!$A$3:$A$200,0),)*(1.05^(10-DE75)))</f>
        <v/>
      </c>
      <c r="DJ75" s="618"/>
      <c r="DK75" s="579"/>
    </row>
    <row r="76" ht="14.25" customHeight="1">
      <c r="A76" s="492" t="str">
        <f>"S "&amp;$AD52&amp;" - "&amp;TEXT(C62,"dd/mm")</f>
        <v>S 2 - 19/01</v>
      </c>
      <c r="B76" s="647" t="s">
        <v>280</v>
      </c>
      <c r="C76" s="649">
        <f t="shared" ref="C76:I76" si="51">IF(OR(C67="IEXT",C67="IINT"),C96+C97,"")</f>
        <v>15</v>
      </c>
      <c r="D76" s="649">
        <f t="shared" si="51"/>
        <v>15</v>
      </c>
      <c r="E76" s="649" t="str">
        <f t="shared" si="51"/>
        <v/>
      </c>
      <c r="F76" s="649" t="str">
        <f t="shared" si="51"/>
        <v/>
      </c>
      <c r="G76" s="650">
        <f t="shared" si="51"/>
        <v>10</v>
      </c>
      <c r="H76" s="651" t="str">
        <f t="shared" si="51"/>
        <v/>
      </c>
      <c r="I76" s="649" t="str">
        <f t="shared" si="51"/>
        <v/>
      </c>
      <c r="J76" s="505"/>
      <c r="K76" s="608">
        <f t="shared" si="44"/>
        <v>4</v>
      </c>
      <c r="L76" s="609" t="s">
        <v>285</v>
      </c>
      <c r="Q76" s="705" t="s">
        <v>260</v>
      </c>
      <c r="R76" s="611">
        <v>3.0</v>
      </c>
      <c r="S76" s="611">
        <v>12.0</v>
      </c>
      <c r="T76" s="611">
        <v>60.0</v>
      </c>
      <c r="U76" s="611">
        <v>1.0</v>
      </c>
      <c r="V76" s="611">
        <v>2.0</v>
      </c>
      <c r="W76" s="639">
        <f>IF(L76="","",OFFSET(Biblioteca!$G$2,MATCH(L76,Biblioteca!$A$3:$A$200,0),)*(1.05^(10-S76)))</f>
        <v>8.55</v>
      </c>
      <c r="X76" s="640"/>
      <c r="Y76" s="632"/>
      <c r="Z76" s="641">
        <f t="shared" si="45"/>
        <v>4</v>
      </c>
      <c r="AA76" s="609" t="s">
        <v>269</v>
      </c>
      <c r="AF76" s="705" t="s">
        <v>260</v>
      </c>
      <c r="AG76" s="611">
        <v>3.0</v>
      </c>
      <c r="AH76" s="611">
        <v>12.0</v>
      </c>
      <c r="AI76" s="611">
        <v>60.0</v>
      </c>
      <c r="AJ76" s="611">
        <v>1.0</v>
      </c>
      <c r="AK76" s="611">
        <v>2.0</v>
      </c>
      <c r="AL76" s="639">
        <f>IF(AA76="","",OFFSET(Biblioteca!$G$2,MATCH(AA76,Biblioteca!$A$3:$A$200,0),)*(1.05^(10-AH76)))</f>
        <v>4.535147392</v>
      </c>
      <c r="AM76" s="640"/>
      <c r="AN76" s="632"/>
      <c r="AO76" s="641">
        <f t="shared" si="46"/>
        <v>1</v>
      </c>
      <c r="AP76" s="609"/>
      <c r="AU76" s="610"/>
      <c r="AV76" s="644"/>
      <c r="AW76" s="644"/>
      <c r="AX76" s="644"/>
      <c r="AY76" s="644"/>
      <c r="AZ76" s="644"/>
      <c r="BA76" s="639" t="str">
        <f>IF(AP76="","",OFFSET(Biblioteca!$G$2,MATCH(AP76,Biblioteca!$A$3:$A$200,0),)*(1.05^(10-AW76)))</f>
        <v/>
      </c>
      <c r="BB76" s="640"/>
      <c r="BC76" s="632"/>
      <c r="BD76" s="641">
        <f t="shared" si="47"/>
        <v>3</v>
      </c>
      <c r="BE76" s="645" t="s">
        <v>316</v>
      </c>
      <c r="BJ76" s="705" t="s">
        <v>260</v>
      </c>
      <c r="BK76" s="611">
        <v>3.0</v>
      </c>
      <c r="BL76" s="611">
        <v>12.0</v>
      </c>
      <c r="BM76" s="611">
        <v>60.0</v>
      </c>
      <c r="BN76" s="611">
        <v>1.0</v>
      </c>
      <c r="BO76" s="611">
        <v>2.0</v>
      </c>
      <c r="BP76" s="639">
        <f>IF(BE76="","",OFFSET(Biblioteca!$G$2,MATCH(BE76,Biblioteca!$A$3:$A$200,0),)*(1.05^(10-BL76)))</f>
        <v>18.14058957</v>
      </c>
      <c r="BQ76" s="640"/>
      <c r="BR76" s="632"/>
      <c r="BS76" s="641">
        <f t="shared" si="48"/>
        <v>4</v>
      </c>
      <c r="BT76" s="645" t="s">
        <v>317</v>
      </c>
      <c r="BY76" s="705" t="s">
        <v>260</v>
      </c>
      <c r="BZ76" s="644">
        <v>3.0</v>
      </c>
      <c r="CA76" s="644">
        <v>8.0</v>
      </c>
      <c r="CB76" s="640"/>
      <c r="CC76" s="644">
        <v>1.0</v>
      </c>
      <c r="CD76" s="644">
        <v>2.0</v>
      </c>
      <c r="CE76" s="639">
        <f>IF(BT76="","",OFFSET(Biblioteca!$G$2,MATCH(BT76,Biblioteca!$A$3:$A$200,0),)*(1.05^(10-CA76)))</f>
        <v>0</v>
      </c>
      <c r="CF76" s="640"/>
      <c r="CG76" s="632"/>
      <c r="CH76" s="641">
        <f t="shared" si="49"/>
        <v>1</v>
      </c>
      <c r="CI76" s="609"/>
      <c r="CN76" s="610"/>
      <c r="CO76" s="644"/>
      <c r="CP76" s="644"/>
      <c r="CQ76" s="644"/>
      <c r="CR76" s="644"/>
      <c r="CS76" s="644"/>
      <c r="CT76" s="639" t="str">
        <f>IF(CI76="","",OFFSET(Biblioteca!$G$2,MATCH(CI76,Biblioteca!$A$3:$A$200,0),)*(1.05^(10-CP76)))</f>
        <v/>
      </c>
      <c r="CU76" s="640"/>
      <c r="CV76" s="579"/>
      <c r="CW76" s="608">
        <f t="shared" si="50"/>
        <v>1</v>
      </c>
      <c r="CX76" s="619"/>
      <c r="DC76" s="620"/>
      <c r="DD76" s="618"/>
      <c r="DE76" s="618"/>
      <c r="DF76" s="618"/>
      <c r="DG76" s="618"/>
      <c r="DH76" s="618"/>
      <c r="DI76" s="617" t="str">
        <f>IF(CX76="","",OFFSET(Biblioteca!$G$2,MATCH(CX76,Biblioteca!$A$3:$A$200,0),)*(1.05^(10-DE76)))</f>
        <v/>
      </c>
      <c r="DJ76" s="618"/>
      <c r="DK76" s="579"/>
    </row>
    <row r="77" ht="14.25" customHeight="1">
      <c r="A77" s="492" t="str">
        <f>"S "&amp;$AD52&amp;" - "&amp;TEXT(C62,"dd/mm")</f>
        <v>S 2 - 19/01</v>
      </c>
      <c r="B77" s="592" t="s">
        <v>284</v>
      </c>
      <c r="C77" s="652">
        <f t="shared" ref="C77:F77" si="52">IF(C68="","",(C68+C69)/2)</f>
        <v>0.875</v>
      </c>
      <c r="D77" s="652" t="str">
        <f t="shared" si="52"/>
        <v/>
      </c>
      <c r="E77" s="652" t="str">
        <f t="shared" si="52"/>
        <v/>
      </c>
      <c r="F77" s="652">
        <f t="shared" si="52"/>
        <v>0.55</v>
      </c>
      <c r="G77" s="653" t="str">
        <f t="shared" ref="G77:H77" si="53">IF(G68="","",(G68+G69)/2)</f>
        <v/>
      </c>
      <c r="H77" s="654" t="str">
        <f t="shared" si="53"/>
        <v/>
      </c>
      <c r="I77" s="652" t="str">
        <f>IF(I68="","",(I68+I69)/2)</f>
        <v/>
      </c>
      <c r="J77" s="505"/>
      <c r="K77" s="608">
        <f t="shared" si="44"/>
        <v>5</v>
      </c>
      <c r="L77" s="609" t="s">
        <v>232</v>
      </c>
      <c r="Q77" s="609"/>
      <c r="R77" s="614"/>
      <c r="S77" s="614"/>
      <c r="T77" s="611">
        <v>60.0</v>
      </c>
      <c r="U77" s="614"/>
      <c r="V77" s="614"/>
      <c r="W77" s="639">
        <f>IF(L77="","",OFFSET(Biblioteca!$G$2,MATCH(L77,Biblioteca!$A$3:$A$200,0),)*(1.05^(10-S77)))</f>
        <v>0</v>
      </c>
      <c r="X77" s="640"/>
      <c r="Y77" s="632"/>
      <c r="Z77" s="641">
        <f t="shared" si="45"/>
        <v>5</v>
      </c>
      <c r="AA77" s="609" t="s">
        <v>233</v>
      </c>
      <c r="AF77" s="609"/>
      <c r="AG77" s="614"/>
      <c r="AH77" s="614"/>
      <c r="AI77" s="611">
        <v>60.0</v>
      </c>
      <c r="AJ77" s="614"/>
      <c r="AK77" s="614"/>
      <c r="AL77" s="639">
        <f>IF(AA77="","",OFFSET(Biblioteca!$G$2,MATCH(AA77,Biblioteca!$A$3:$A$200,0),)*(1.05^(10-AH77)))</f>
        <v>0</v>
      </c>
      <c r="AM77" s="640"/>
      <c r="AN77" s="632"/>
      <c r="AO77" s="641">
        <f t="shared" si="46"/>
        <v>1</v>
      </c>
      <c r="AP77" s="609"/>
      <c r="AU77" s="610"/>
      <c r="AV77" s="611"/>
      <c r="AW77" s="611"/>
      <c r="AX77" s="614"/>
      <c r="AY77" s="611"/>
      <c r="AZ77" s="644"/>
      <c r="BA77" s="639" t="str">
        <f>IF(AP77="","",OFFSET(Biblioteca!$G$2,MATCH(AP77,Biblioteca!$A$3:$A$200,0),)*(1.05^(10-AW77)))</f>
        <v/>
      </c>
      <c r="BB77" s="640"/>
      <c r="BC77" s="632"/>
      <c r="BD77" s="641">
        <f t="shared" si="47"/>
        <v>4</v>
      </c>
      <c r="BE77" s="645" t="s">
        <v>318</v>
      </c>
      <c r="BJ77" s="705" t="s">
        <v>260</v>
      </c>
      <c r="BK77" s="644">
        <v>3.0</v>
      </c>
      <c r="BL77" s="644">
        <v>12.0</v>
      </c>
      <c r="BM77" s="640"/>
      <c r="BN77" s="644">
        <v>1.0</v>
      </c>
      <c r="BO77" s="644">
        <v>2.0</v>
      </c>
      <c r="BP77" s="639">
        <f>IF(BE77="","",OFFSET(Biblioteca!$G$2,MATCH(BE77,Biblioteca!$A$3:$A$200,0),)*(1.05^(10-BL77)))</f>
        <v>2</v>
      </c>
      <c r="BQ77" s="640"/>
      <c r="BR77" s="632"/>
      <c r="BS77" s="641">
        <f t="shared" si="48"/>
        <v>4</v>
      </c>
      <c r="BT77" s="645" t="s">
        <v>275</v>
      </c>
      <c r="BY77" s="705" t="s">
        <v>260</v>
      </c>
      <c r="BZ77" s="611">
        <v>3.0</v>
      </c>
      <c r="CA77" s="611">
        <v>12.0</v>
      </c>
      <c r="CB77" s="611">
        <v>60.0</v>
      </c>
      <c r="CC77" s="611">
        <v>1.0</v>
      </c>
      <c r="CD77" s="611">
        <v>2.0</v>
      </c>
      <c r="CE77" s="639">
        <f>IF(BT77="","",OFFSET(Biblioteca!$G$2,MATCH(BT77,Biblioteca!$A$3:$A$200,0),)*(1.05^(10-CA77)))</f>
        <v>14</v>
      </c>
      <c r="CF77" s="640"/>
      <c r="CG77" s="632"/>
      <c r="CH77" s="641">
        <f t="shared" si="49"/>
        <v>1</v>
      </c>
      <c r="CI77" s="609"/>
      <c r="CN77" s="610"/>
      <c r="CO77" s="611"/>
      <c r="CP77" s="611"/>
      <c r="CQ77" s="614"/>
      <c r="CR77" s="611"/>
      <c r="CS77" s="644"/>
      <c r="CT77" s="639" t="str">
        <f>IF(CI77="","",OFFSET(Biblioteca!$G$2,MATCH(CI77,Biblioteca!$A$3:$A$200,0),)*(1.05^(10-CP77)))</f>
        <v/>
      </c>
      <c r="CU77" s="640"/>
      <c r="CV77" s="579"/>
      <c r="CW77" s="608">
        <f t="shared" si="50"/>
        <v>1</v>
      </c>
      <c r="CX77" s="619"/>
      <c r="DC77" s="620"/>
      <c r="DD77" s="618"/>
      <c r="DE77" s="618"/>
      <c r="DF77" s="618"/>
      <c r="DG77" s="618"/>
      <c r="DH77" s="618"/>
      <c r="DI77" s="617" t="str">
        <f>IF(CX77="","",OFFSET(Biblioteca!$G$2,MATCH(CX77,Biblioteca!$A$3:$A$200,0),)*(1.05^(10-DE77)))</f>
        <v/>
      </c>
      <c r="DJ77" s="618"/>
      <c r="DK77" s="579"/>
    </row>
    <row r="78" ht="14.25" customHeight="1">
      <c r="A78" s="492" t="str">
        <f>"S "&amp;$AD52&amp;" - "&amp;TEXT(C62,"dd/mm")</f>
        <v>S 2 - 19/01</v>
      </c>
      <c r="B78" s="592" t="s">
        <v>289</v>
      </c>
      <c r="C78" s="541" t="str">
        <f>IF(C69="","",VLOOKUP(C68,'Dados de Base'!$D$10:$G$20,2,FALSE)&amp;" - "&amp;VLOOKUP(C69,'Dados de Base'!$D$10:$G$20,2,TRUE))</f>
        <v>142,95 - 148,3</v>
      </c>
      <c r="D78" s="541" t="str">
        <f>IF(D69="","",VLOOKUP(D68,'Dados de Base'!$D$10:$G$20,2,FALSE)&amp;" - "&amp;VLOOKUP(D69,'Dados de Base'!$D$10:$G$20,2,FALSE))</f>
        <v>#N/A</v>
      </c>
      <c r="E78" s="541" t="str">
        <f>IF(E69="","",VLOOKUP(E68,'Dados de Base'!$D$10:$G$20,2,FALSE)&amp;" - "&amp;VLOOKUP(E69,'Dados de Base'!$D$10:$G$20,2,FALSE))</f>
        <v/>
      </c>
      <c r="F78" s="541" t="str">
        <f>IF(F69="","",VLOOKUP(F68,'Dados de Base'!$D$10:$G$20,2,FALSE)&amp;" - "&amp;VLOOKUP(F69,'Dados de Base'!$D$10:$G$20,2,FALSE))</f>
        <v>105,5 - 116,2</v>
      </c>
      <c r="G78" s="655" t="str">
        <f>IF(G69="","",VLOOKUP(G68,'Dados de Base'!$D$10:$G$20,2,FALSE)&amp;" - "&amp;VLOOKUP(G69,'Dados de Base'!$D$10:$G$20,2,FALSE))</f>
        <v>#N/A</v>
      </c>
      <c r="H78" s="656" t="str">
        <f>IF(H69="","",VLOOKUP(H68,'Dados de Base'!$D$10:$G$20,2,FALSE)&amp;" - "&amp;VLOOKUP(H69,'Dados de Base'!$D$10:$G$20,2,FALSE))</f>
        <v/>
      </c>
      <c r="I78" s="593" t="str">
        <f>IF(I69="","",VLOOKUP(I68,'Dados de Base'!$D$10:$G$20,2,FALSE)&amp;" - "&amp;VLOOKUP(I69,'Dados de Base'!$D$10:$G$20,2,FALSE))</f>
        <v/>
      </c>
      <c r="J78" s="505"/>
      <c r="K78" s="608">
        <f t="shared" si="44"/>
        <v>6</v>
      </c>
      <c r="L78" s="645" t="s">
        <v>292</v>
      </c>
      <c r="Q78" s="705" t="s">
        <v>260</v>
      </c>
      <c r="R78" s="644">
        <v>3.0</v>
      </c>
      <c r="S78" s="644">
        <v>12.0</v>
      </c>
      <c r="T78" s="640"/>
      <c r="U78" s="644">
        <v>1.0</v>
      </c>
      <c r="V78" s="644">
        <v>2.0</v>
      </c>
      <c r="W78" s="639">
        <f>IF(L78="","",OFFSET(Biblioteca!$G$2,MATCH(L78,Biblioteca!$A$3:$A$200,0),)*(1.05^(10-S78)))</f>
        <v>7.256235828</v>
      </c>
      <c r="X78" s="640"/>
      <c r="Y78" s="632"/>
      <c r="Z78" s="641">
        <f t="shared" si="45"/>
        <v>6</v>
      </c>
      <c r="AA78" s="645" t="s">
        <v>268</v>
      </c>
      <c r="AF78" s="705" t="s">
        <v>260</v>
      </c>
      <c r="AG78" s="644">
        <v>3.0</v>
      </c>
      <c r="AH78" s="644">
        <v>12.0</v>
      </c>
      <c r="AI78" s="640"/>
      <c r="AJ78" s="644">
        <v>1.0</v>
      </c>
      <c r="AK78" s="644">
        <v>2.0</v>
      </c>
      <c r="AL78" s="639">
        <f>IF(AA78="","",OFFSET(Biblioteca!$G$2,MATCH(AA78,Biblioteca!$A$3:$A$200,0),)*(1.05^(10-AH78)))</f>
        <v>154.1950113</v>
      </c>
      <c r="AM78" s="640"/>
      <c r="AN78" s="632"/>
      <c r="AO78" s="641">
        <f t="shared" si="46"/>
        <v>1</v>
      </c>
      <c r="AP78" s="645"/>
      <c r="AU78" s="610"/>
      <c r="AV78" s="644"/>
      <c r="AW78" s="644"/>
      <c r="AX78" s="644"/>
      <c r="AY78" s="644"/>
      <c r="AZ78" s="644"/>
      <c r="BA78" s="639" t="str">
        <f>IF(AP78="","",OFFSET(Biblioteca!$G$2,MATCH(AP78,Biblioteca!$A$3:$A$200,0),)*(1.05^(10-AW78)))</f>
        <v/>
      </c>
      <c r="BB78" s="640"/>
      <c r="BC78" s="632"/>
      <c r="BD78" s="641">
        <f t="shared" si="47"/>
        <v>4</v>
      </c>
      <c r="BE78" s="645" t="s">
        <v>319</v>
      </c>
      <c r="BJ78" s="705" t="s">
        <v>260</v>
      </c>
      <c r="BK78" s="611">
        <v>3.0</v>
      </c>
      <c r="BL78" s="611">
        <v>12.0</v>
      </c>
      <c r="BM78" s="611">
        <v>60.0</v>
      </c>
      <c r="BN78" s="611">
        <v>1.0</v>
      </c>
      <c r="BO78" s="611">
        <v>2.0</v>
      </c>
      <c r="BP78" s="639">
        <f>IF(BE78="","",OFFSET(Biblioteca!$G$2,MATCH(BE78,Biblioteca!$A$3:$A$200,0),)*(1.05^(10-BL78)))</f>
        <v>9.070294785</v>
      </c>
      <c r="BQ78" s="640"/>
      <c r="BR78" s="632"/>
      <c r="BS78" s="641">
        <f t="shared" si="48"/>
        <v>5</v>
      </c>
      <c r="BT78" s="645" t="s">
        <v>320</v>
      </c>
      <c r="BY78" s="705" t="s">
        <v>260</v>
      </c>
      <c r="BZ78" s="644">
        <v>3.0</v>
      </c>
      <c r="CA78" s="644">
        <v>10.0</v>
      </c>
      <c r="CB78" s="640"/>
      <c r="CC78" s="644">
        <v>1.0</v>
      </c>
      <c r="CD78" s="644">
        <v>2.0</v>
      </c>
      <c r="CE78" s="639">
        <f>IF(BT78="","",OFFSET(Biblioteca!$G$2,MATCH(BT78,Biblioteca!$A$3:$A$200,0),)*(1.05^(10-CA78)))</f>
        <v>0</v>
      </c>
      <c r="CF78" s="640"/>
      <c r="CG78" s="632"/>
      <c r="CH78" s="641">
        <f t="shared" si="49"/>
        <v>1</v>
      </c>
      <c r="CI78" s="645"/>
      <c r="CN78" s="610"/>
      <c r="CO78" s="644"/>
      <c r="CP78" s="644"/>
      <c r="CQ78" s="644"/>
      <c r="CR78" s="644"/>
      <c r="CS78" s="644"/>
      <c r="CT78" s="639" t="str">
        <f>IF(CI78="","",OFFSET(Biblioteca!$G$2,MATCH(CI78,Biblioteca!$A$3:$A$200,0),)*(1.05^(10-CP78)))</f>
        <v/>
      </c>
      <c r="CU78" s="640"/>
      <c r="CV78" s="579"/>
      <c r="CW78" s="608">
        <f t="shared" si="50"/>
        <v>1</v>
      </c>
      <c r="CX78" s="619"/>
      <c r="DC78" s="620"/>
      <c r="DD78" s="618"/>
      <c r="DE78" s="618"/>
      <c r="DF78" s="618"/>
      <c r="DG78" s="618"/>
      <c r="DH78" s="618"/>
      <c r="DI78" s="617" t="str">
        <f>IF(CX78="","",OFFSET(Biblioteca!$G$2,MATCH(CX78,Biblioteca!$A$3:$A$200,0),)*(1.05^(10-DE78)))</f>
        <v/>
      </c>
      <c r="DJ78" s="618"/>
      <c r="DK78" s="579"/>
    </row>
    <row r="79" ht="14.25" customHeight="1">
      <c r="A79" s="492" t="str">
        <f>"S "&amp;$AD52&amp;" - "&amp;TEXT(C62,"dd/mm")</f>
        <v>S 2 - 19/01</v>
      </c>
      <c r="B79" s="592" t="s">
        <v>293</v>
      </c>
      <c r="C79" s="541" t="str">
        <f>IF(C69="","",VLOOKUP(C68,'Dados de Base'!$D$10:$G$20,4,FALSE)&amp;" - "&amp;VLOOKUP(C69,'Dados de Base'!$D$10:$G$20,4,TRUE))</f>
        <v>15,4 - 16,4</v>
      </c>
      <c r="D79" s="541" t="str">
        <f>IF(D69="","",VLOOKUP(D68,'Dados de Base'!$D$10:$G$20,4,FALSE)&amp;" - "&amp;VLOOKUP(D69,'Dados de Base'!$D$10:$G$20,4,FALSE))</f>
        <v>#N/A</v>
      </c>
      <c r="E79" s="541" t="str">
        <f>IF(E69="","",VLOOKUP(E68,'Dados de Base'!$D$10:$G$20,4,FALSE)&amp;" - "&amp;VLOOKUP(E69,'Dados de Base'!$D$10:$G$20,4,FALSE))</f>
        <v/>
      </c>
      <c r="F79" s="541" t="str">
        <f>IF(F69="","",VLOOKUP(F68,'Dados de Base'!$D$10:$G$20,4,FALSE)&amp;" - "&amp;VLOOKUP(F69,'Dados de Base'!$D$10:$G$20,4,FALSE))</f>
        <v>8,5 - 10,9</v>
      </c>
      <c r="G79" s="655" t="str">
        <f>IF(G69="","",VLOOKUP(G68,'Dados de Base'!$D$10:$G$20,4,FALSE)&amp;" - "&amp;VLOOKUP(G69,'Dados de Base'!$D$10:$G$20,4,FALSE))</f>
        <v>#N/A</v>
      </c>
      <c r="H79" s="656" t="str">
        <f>IF(H69="","",VLOOKUP(H68,'Dados de Base'!$D$10:$G$20,4,FALSE)&amp;" - "&amp;VLOOKUP(H69,'Dados de Base'!$D$10:$G$20,4,FALSE))</f>
        <v/>
      </c>
      <c r="I79" s="593" t="str">
        <f>IF(I69="","",VLOOKUP(I68,'Dados de Base'!$D$10:$G$20,4,FALSE)&amp;" - "&amp;VLOOKUP(I69,'Dados de Base'!$D$10:$G$20,4,FALSE))</f>
        <v/>
      </c>
      <c r="J79" s="505"/>
      <c r="K79" s="608">
        <f t="shared" si="44"/>
        <v>6</v>
      </c>
      <c r="L79" s="609" t="s">
        <v>299</v>
      </c>
      <c r="Q79" s="705" t="s">
        <v>260</v>
      </c>
      <c r="R79" s="611">
        <v>3.0</v>
      </c>
      <c r="S79" s="611">
        <v>12.0</v>
      </c>
      <c r="T79" s="611">
        <v>60.0</v>
      </c>
      <c r="U79" s="611">
        <v>1.0</v>
      </c>
      <c r="V79" s="611">
        <v>2.0</v>
      </c>
      <c r="W79" s="639">
        <f>IF(L79="","",OFFSET(Biblioteca!$G$2,MATCH(L79,Biblioteca!$A$3:$A$200,0),)*(1.05^(10-S79)))</f>
        <v>18.14058957</v>
      </c>
      <c r="X79" s="640"/>
      <c r="Y79" s="632"/>
      <c r="Z79" s="641">
        <f t="shared" si="45"/>
        <v>6</v>
      </c>
      <c r="AA79" s="609" t="s">
        <v>273</v>
      </c>
      <c r="AF79" s="705" t="s">
        <v>260</v>
      </c>
      <c r="AG79" s="611">
        <v>3.0</v>
      </c>
      <c r="AH79" s="611">
        <v>12.0</v>
      </c>
      <c r="AI79" s="611">
        <v>60.0</v>
      </c>
      <c r="AJ79" s="611">
        <v>1.0</v>
      </c>
      <c r="AK79" s="611">
        <v>2.0</v>
      </c>
      <c r="AL79" s="639">
        <f>IF(AA79="","",OFFSET(Biblioteca!$G$2,MATCH(AA79,Biblioteca!$A$3:$A$200,0),)*(1.05^(10-AH79)))</f>
        <v>200</v>
      </c>
      <c r="AM79" s="640"/>
      <c r="AN79" s="632"/>
      <c r="AO79" s="641">
        <f t="shared" si="46"/>
        <v>1</v>
      </c>
      <c r="AP79" s="645"/>
      <c r="AU79" s="610"/>
      <c r="AV79" s="611"/>
      <c r="AW79" s="611"/>
      <c r="AX79" s="614"/>
      <c r="AY79" s="611"/>
      <c r="AZ79" s="644"/>
      <c r="BA79" s="639" t="str">
        <f>IF(AP79="","",OFFSET(Biblioteca!$G$2,MATCH(AP79,Biblioteca!$A$3:$A$200,0),)*(1.05^(10-AW79)))</f>
        <v/>
      </c>
      <c r="BB79" s="640"/>
      <c r="BC79" s="632"/>
      <c r="BD79" s="641">
        <f t="shared" si="47"/>
        <v>5</v>
      </c>
      <c r="BE79" s="645" t="s">
        <v>321</v>
      </c>
      <c r="BJ79" s="705" t="s">
        <v>322</v>
      </c>
      <c r="BK79" s="644">
        <v>3.0</v>
      </c>
      <c r="BL79" s="644">
        <v>20.0</v>
      </c>
      <c r="BM79" s="640"/>
      <c r="BN79" s="644">
        <v>1.0</v>
      </c>
      <c r="BO79" s="644">
        <v>1.0</v>
      </c>
      <c r="BP79" s="639">
        <f>IF(BE79="","",OFFSET(Biblioteca!$G$2,MATCH(BE79,Biblioteca!$A$3:$A$200,0),)*(1.05^(10-BL79)))</f>
        <v>0</v>
      </c>
      <c r="BQ79" s="640"/>
      <c r="BR79" s="632"/>
      <c r="BS79" s="641">
        <f t="shared" si="48"/>
        <v>5</v>
      </c>
      <c r="BT79" s="645" t="s">
        <v>323</v>
      </c>
      <c r="BY79" s="705" t="s">
        <v>260</v>
      </c>
      <c r="BZ79" s="611">
        <v>3.0</v>
      </c>
      <c r="CA79" s="611">
        <v>10.0</v>
      </c>
      <c r="CB79" s="611">
        <v>60.0</v>
      </c>
      <c r="CC79" s="611">
        <v>1.0</v>
      </c>
      <c r="CD79" s="611">
        <v>2.0</v>
      </c>
      <c r="CE79" s="639">
        <f>IF(BT79="","",OFFSET(Biblioteca!$G$2,MATCH(BT79,Biblioteca!$A$3:$A$200,0),)*(1.05^(10-CA79)))</f>
        <v>0</v>
      </c>
      <c r="CF79" s="640"/>
      <c r="CG79" s="632"/>
      <c r="CH79" s="641">
        <f t="shared" si="49"/>
        <v>1</v>
      </c>
      <c r="CI79" s="645"/>
      <c r="CN79" s="610"/>
      <c r="CO79" s="611"/>
      <c r="CP79" s="611"/>
      <c r="CQ79" s="614"/>
      <c r="CR79" s="611"/>
      <c r="CS79" s="644"/>
      <c r="CT79" s="639" t="str">
        <f>IF(CI79="","",OFFSET(Biblioteca!$G$2,MATCH(CI79,Biblioteca!$A$3:$A$200,0),)*(1.05^(10-CP79)))</f>
        <v/>
      </c>
      <c r="CU79" s="640"/>
      <c r="CV79" s="588"/>
      <c r="CW79" s="608">
        <f t="shared" si="50"/>
        <v>1</v>
      </c>
      <c r="CX79" s="619"/>
      <c r="DC79" s="620"/>
      <c r="DD79" s="618"/>
      <c r="DE79" s="618"/>
      <c r="DF79" s="618"/>
      <c r="DG79" s="618"/>
      <c r="DH79" s="618"/>
      <c r="DI79" s="617" t="str">
        <f>IF(CX79="","",OFFSET(Biblioteca!$G$2,MATCH(CX79,Biblioteca!$A$3:$A$200,0),)*(1.05^(10-DE79)))</f>
        <v/>
      </c>
      <c r="DJ79" s="618"/>
      <c r="DK79" s="588"/>
    </row>
    <row r="80">
      <c r="A80" s="492" t="str">
        <f>"S "&amp;$AD52&amp;" - "&amp;TEXT(C62,"dd/mm")</f>
        <v>S 2 - 19/01</v>
      </c>
      <c r="B80" s="592" t="s">
        <v>298</v>
      </c>
      <c r="C80" s="657" t="str">
        <f>IFS(C67="","",OR(C67="CEXT",C67="CINT"),"Mantenha "&amp;(C65/C71)-3&amp;"-"&amp;(C65/C71)&amp;"min em intensidade constante com frequência cardíaca entre "&amp;C78&amp;" bpm ("&amp;C68*100&amp;" - "&amp;C69*100&amp;"% VO2Máx"&amp;IF(C66="Esteira", " -&gt; "&amp;C79&amp;"km/h",IF(C66="Pista", " -&gt; "&amp;C79&amp;"km/h "&amp;"Pace de "&amp;C82&amp;"min/km",""))&amp;")",OR(C67="IEXT",C67="IINT"),C72&amp;"x ("&amp;IF(C73&gt;=60,INT(C73/60)&amp;"m ","")&amp;IF((C73/60)-INT(C73/60)&gt;0,((C73/60)-INT(C73/60))*60&amp;"s ","")&amp;IF(C69=1.2,"all out","a "&amp;C78&amp;" bpm"&amp;IF(C66="Esteira", "-&gt; "&amp;C79&amp;"km/h",IF(C66="Pista", " -&gt; "&amp;C79&amp;"km/h "&amp;"Pace de "&amp;C82&amp;"min/km","")))&amp;IF(C74=0,""," + "&amp;IF(C74/60&gt;=1,INT(C74/60)&amp;"m ","")&amp;IF((C74/60)-INT(C74/60)&gt;0,((C74/60)-INT(C74/60))*60&amp;"s ","")&amp;IFS(C75=0," repouso",C75&lt;0.5," leve",TRUE," a "&amp;VLOOKUP(C75,'Dados de Base'!$D$10:$G$20,2,FALSE)&amp;" bpm"&amp;IF(C66="Esteira", "-&gt; "&amp;VLOOKUP(C75,'Dados de Base'!$D$10:$G$20,4,FALSE)&amp;"km/h",IF(C66="Pista", " -&gt; "&amp;C79&amp;"km/h "&amp;"Pace de "&amp;C82&amp;"min/km",""))))&amp;")")&amp;C81</f>
        <v>1x (3m a 142,95 - 148,3 bpm-&gt; 15,4 - 16,4km/h)</v>
      </c>
      <c r="D80" s="657" t="str">
        <f>IFS(D67="","",OR(D67="CEXT",D67="CINT"),"Mantenha "&amp;(D65/D71)-3&amp;"-"&amp;(D65/D71)&amp;"min em intensidade constante com frequência cardíaca entre "&amp;D78&amp;" bpm ("&amp;D68*100&amp;" - "&amp;D69*100&amp;"% VO2Máx"&amp;IF(D66="Esteira", " -&gt; "&amp;D79&amp;"km/h",IF(D66="Pista", " -&gt; "&amp;D79&amp;"km/h "&amp;"Pace de "&amp;D82&amp;"min/km",""))&amp;")",OR(D67="IEXT",D67="IINT"),D72&amp;"x ("&amp;IF(D73&gt;=60,INT(D73/60)&amp;"m ","")&amp;IF((D73/60)-INT(D73/60)&gt;0,((D73/60)-INT(D73/60))*60&amp;"s ","")&amp;IF(D69=1.2,"all out","a "&amp;D78&amp;" bpm"&amp;IF(D66="Esteira", "-&gt; "&amp;D79&amp;"km/h",IF(D66="Pista", " -&gt; "&amp;D79&amp;"km/h "&amp;"Pace de "&amp;D82&amp;"min/km","")))&amp;IF(D74=0,""," + "&amp;IF(D74/60&gt;=1,INT(D74/60)&amp;"m ","")&amp;IF((D74/60)-INT(D74/60)&gt;0,((D74/60)-INT(D74/60))*60&amp;"s ","")&amp;IFS(D75=0," repouso",D75&lt;0.5," leve",TRUE," a "&amp;VLOOKUP(D75,'Dados de Base'!$D$10:$G$20,2,FALSE)&amp;" bpm"&amp;IF(D66="Esteira", "-&gt; "&amp;VLOOKUP(D75,'Dados de Base'!$D$10:$G$20,4,FALSE)&amp;"km/h",IF(D66="Pista", " -&gt; "&amp;D79&amp;"km/h "&amp;"Pace de "&amp;D82&amp;"min/km",""))))&amp;")")&amp;D81</f>
        <v>1x (3m all out)</v>
      </c>
      <c r="E80" s="657" t="str">
        <f>IFS(E67="","",OR(E67="CEXT",E67="CINT"),"Mantenha "&amp;(E65/E71)-3&amp;"-"&amp;(E65/E71)&amp;"min em intensidade constante com frequência cardíaca entre "&amp;E78&amp;" bpm ("&amp;E68*100&amp;" - "&amp;E69*100&amp;"% VO2Máx"&amp;IF(E66="Esteira", " -&gt; "&amp;E79&amp;"km/h",IF(E66="Pista", " -&gt; "&amp;E79&amp;"km/h "&amp;"Pace de "&amp;E82&amp;"min/km",""))&amp;")",OR(E67="IEXT",E67="IINT"),E72&amp;"x ("&amp;IF(E73&gt;=60,INT(E73/60)&amp;"m ","")&amp;IF((E73/60)-INT(E73/60)&gt;0,((E73/60)-INT(E73/60))*60&amp;"s ","")&amp;IF(E69=1.2,"all out","a "&amp;E78&amp;" bpm"&amp;IF(E66="Esteira", "-&gt; "&amp;E79&amp;"km/h",IF(E66="Pista", " -&gt; "&amp;E79&amp;"km/h "&amp;"Pace de "&amp;E82&amp;"min/km","")))&amp;IF(E74=0,""," + "&amp;IF(E74/60&gt;=1,INT(E74/60)&amp;"m ","")&amp;IF((E74/60)-INT(E74/60)&gt;0,((E74/60)-INT(E74/60))*60&amp;"s ","")&amp;IFS(E75=0," repouso",E75&lt;0.5," leve",TRUE," a "&amp;VLOOKUP(E75,'Dados de Base'!$D$10:$G$20,2,FALSE)&amp;" bpm"&amp;IF(E66="Esteira", "-&gt; "&amp;VLOOKUP(E75,'Dados de Base'!$D$10:$G$20,4,FALSE)&amp;"km/h",IF(E66="Pista", " -&gt; "&amp;E79&amp;"km/h "&amp;"Pace de "&amp;E82&amp;"min/km",""))))&amp;")")&amp;E81</f>
        <v>- Correr 15 km no menor tempo possível.
</v>
      </c>
      <c r="F80" s="657" t="str">
        <f>IFS(F67="","",OR(F67="CEXT",F67="CINT"),"Mantenha "&amp;(F65/F71)-3&amp;"-"&amp;(F65/F71)&amp;"min em intensidade constante com frequência cardíaca entre "&amp;F78&amp;" bpm ("&amp;F68*100&amp;" - "&amp;F69*100&amp;"% VO2Máx"&amp;IF(F66="Esteira", " -&gt; "&amp;F79&amp;"km/h",IF(F66="Pista", " -&gt; "&amp;F79&amp;"km/h "&amp;"Pace de "&amp;F82&amp;"min/km",""))&amp;")",OR(F67="IEXT",F67="IINT"),F72&amp;"x ("&amp;IF(F73&gt;=60,INT(F73/60)&amp;"m ","")&amp;IF((F73/60)-INT(F73/60)&gt;0,((F73/60)-INT(F73/60))*60&amp;"s ","")&amp;IF(F69=1.2,"all out","a "&amp;F78&amp;" bpm"&amp;IF(F66="Esteira", "-&gt; "&amp;F79&amp;"km/h",IF(F66="Pista", " -&gt; "&amp;F79&amp;"km/h "&amp;"Pace de "&amp;F82&amp;"min/km","")))&amp;IF(F74=0,""," + "&amp;IF(F74/60&gt;=1,INT(F74/60)&amp;"m ","")&amp;IF((F74/60)-INT(F74/60)&gt;0,((F74/60)-INT(F74/60))*60&amp;"s ","")&amp;IFS(F75=0," repouso",F75&lt;0.5," leve",TRUE," a "&amp;VLOOKUP(F75,'Dados de Base'!$D$10:$G$20,2,FALSE)&amp;" bpm"&amp;IF(F66="Esteira", "-&gt; "&amp;VLOOKUP(F75,'Dados de Base'!$D$10:$G$20,4,FALSE)&amp;"km/h",IF(F66="Pista", " -&gt; "&amp;F79&amp;"km/h "&amp;"Pace de "&amp;F82&amp;"min/km",""))))&amp;")")&amp;F81</f>
        <v>Mantenha 37-40min em intensidade constante com frequência cardíaca entre 105,5 - 116,2 bpm (50 - 60% VO2Máx -&gt; 8,5 - 10,9km/h)</v>
      </c>
      <c r="G80" s="658" t="str">
        <f>IFS(G67="","",OR(G67="CEXT",G67="CINT"),"Mantenha "&amp;(G65/G71)-3&amp;"-"&amp;(G65/G71)&amp;"min em intensidade constante com frequência cardíaca entre "&amp;G78&amp;" bpm ("&amp;G68*100&amp;" - "&amp;G69*100&amp;"% VO2Máx"&amp;IF(G66="Esteira", " -&gt; "&amp;G79&amp;"km/h",IF(G66="Pista", " -&gt; "&amp;G79&amp;"km/h "&amp;"Pace de "&amp;G82&amp;"min/km",""))&amp;")",OR(G67="IEXT",G67="IINT"),G72&amp;"x ("&amp;IF(G73&gt;=60,INT(G73/60)&amp;"m ","")&amp;IF((G73/60)-INT(G73/60)&gt;0,((G73/60)-INT(G73/60))*60&amp;"s ","")&amp;IF(G69=1.2,"all out","a "&amp;G78&amp;" bpm"&amp;IF(G66="Esteira", "-&gt; "&amp;G79&amp;"km/h",IF(G66="Pista", " -&gt; "&amp;G79&amp;"km/h "&amp;"Pace de "&amp;G82&amp;"min/km","")))&amp;IF(G74=0,""," + "&amp;IF(G74/60&gt;=1,INT(G74/60)&amp;"m ","")&amp;IF((G74/60)-INT(G74/60)&gt;0,((G74/60)-INT(G74/60))*60&amp;"s ","")&amp;IFS(G75=0," repouso",G75&lt;0.5," leve",TRUE," a "&amp;VLOOKUP(G75,'Dados de Base'!$D$10:$G$20,2,FALSE)&amp;" bpm"&amp;IF(G66="Esteira", "-&gt; "&amp;VLOOKUP(G75,'Dados de Base'!$D$10:$G$20,4,FALSE)&amp;"km/h",IF(G66="Pista", " -&gt; "&amp;G79&amp;"km/h "&amp;"Pace de "&amp;G82&amp;"min/km",""))))&amp;")")&amp;G81</f>
        <v>1x (5m all out)</v>
      </c>
      <c r="H80" s="658" t="str">
        <f>IFS(H67="","",OR(H67="CEXT",H67="CINT"),"Mantenha "&amp;(H65/H71)-3&amp;"-"&amp;(H65/H71)&amp;"min em intensidade constante com frequência cardíaca entre "&amp;H78&amp;" bpm ("&amp;H68*100&amp;" - "&amp;H69*100&amp;"% VO2Máx"&amp;IF(H66="Esteira", " -&gt; "&amp;H79&amp;"km/h",IF(H66="Pista", " -&gt; "&amp;H79&amp;"km/h "&amp;"Pace de "&amp;H82&amp;"min/km",""))&amp;")",OR(H67="IEXT",H67="IINT"),H72&amp;"x ("&amp;IF(H73&gt;=60,INT(H73/60)&amp;"m ","")&amp;IF((H73/60)-INT(H73/60)&gt;0,((H73/60)-INT(H73/60))*60&amp;"s ","")&amp;IF(H69=1.2,"all out","a "&amp;H78&amp;" bpm"&amp;IF(H66="Esteira", "-&gt; "&amp;H79&amp;"km/h",IF(H66="Pista", " -&gt; "&amp;H79&amp;"km/h "&amp;"Pace de "&amp;H82&amp;"min/km","")))&amp;IF(H74=0,""," + "&amp;IF(H74/60&gt;=1,INT(H74/60)&amp;"m ","")&amp;IF((H74/60)-INT(H74/60)&gt;0,((H74/60)-INT(H74/60))*60&amp;"s ","")&amp;IFS(H75=0," repouso",H75&lt;0.5," leve",TRUE," a "&amp;VLOOKUP(H75,'Dados de Base'!$D$10:$G$20,2,FALSE)&amp;" bpm"&amp;IF(H66="Esteira", "-&gt; "&amp;VLOOKUP(H75,'Dados de Base'!$D$10:$G$20,4,FALSE)&amp;"km/h",IF(H66="Pista", " -&gt; "&amp;H79&amp;"km/h "&amp;"Pace de "&amp;H82&amp;"min/km",""))))&amp;")")&amp;H81</f>
        <v>***TRAJETO***
- 2 km à 11,0km/h;
- 16km à 12,5 km/h;
- 2 km All out </v>
      </c>
      <c r="I80" s="657" t="str">
        <f>IFS(I67="","",OR(I67="CEXT",I67="CINT"),"Mantenha "&amp;(I65/I71)-3&amp;"-"&amp;(I65/I71)&amp;"min em intensidade constante com frequência cardíaca entre "&amp;I78&amp;" bpm ("&amp;I68*100&amp;" - "&amp;I69*100&amp;"% VO2Máx"&amp;IF(I66="Esteira", " -&gt; "&amp;I79&amp;"km/h",IF(I66="Pista", " -&gt; "&amp;I79&amp;"km/h "&amp;"Pace de "&amp;I82&amp;"min/km",""))&amp;")",OR(I67="IEXT",I67="IINT"),I72&amp;"x ("&amp;IF(I73&gt;=60,INT(I73/60)&amp;"m ","")&amp;IF((I73/60)-INT(I73/60)&gt;0,((I73/60)-INT(I73/60))*60&amp;"s ","")&amp;IF(I69=1.2,"all out","a "&amp;I78&amp;" bpm"&amp;IF(I66="Esteira", "-&gt; "&amp;I79&amp;"km/h",IF(I66="Pista", " -&gt; "&amp;I79&amp;"km/h "&amp;"Pace de "&amp;I82&amp;"min/km","")))&amp;IF(I74=0,""," + "&amp;IF(I74/60&gt;=1,INT(I74/60)&amp;"m ","")&amp;IF((I74/60)-INT(I74/60)&gt;0,((I74/60)-INT(I74/60))*60&amp;"s ","")&amp;IFS(I75=0," repouso",I75&lt;0.5," leve",TRUE," a "&amp;VLOOKUP(I75,'Dados de Base'!$D$10:$G$20,2,FALSE)&amp;" bpm"&amp;IF(I66="Esteira", "-&gt; "&amp;VLOOKUP(I75,'Dados de Base'!$D$10:$G$20,4,FALSE)&amp;"km/h",IF(I66="Pista", " -&gt; "&amp;I79&amp;"km/h "&amp;"Pace de "&amp;I82&amp;"min/km",""))))&amp;")")&amp;I81</f>
        <v/>
      </c>
      <c r="J80" s="659"/>
      <c r="K80" s="608">
        <f t="shared" si="44"/>
        <v>7</v>
      </c>
      <c r="L80" s="609" t="s">
        <v>232</v>
      </c>
      <c r="Q80" s="609"/>
      <c r="R80" s="614"/>
      <c r="S80" s="614"/>
      <c r="T80" s="611">
        <v>60.0</v>
      </c>
      <c r="U80" s="614"/>
      <c r="V80" s="614"/>
      <c r="W80" s="639">
        <f>IF(L80="","",OFFSET(Biblioteca!$G$2,MATCH(L80,Biblioteca!$A$3:$A$200,0),)*(1.05^(10-S80)))</f>
        <v>0</v>
      </c>
      <c r="X80" s="640"/>
      <c r="Y80" s="632"/>
      <c r="Z80" s="641">
        <f t="shared" si="45"/>
        <v>7</v>
      </c>
      <c r="AA80" s="609" t="s">
        <v>233</v>
      </c>
      <c r="AF80" s="609"/>
      <c r="AG80" s="614"/>
      <c r="AH80" s="614"/>
      <c r="AI80" s="611">
        <v>60.0</v>
      </c>
      <c r="AJ80" s="614"/>
      <c r="AK80" s="614"/>
      <c r="AL80" s="639">
        <f>IF(AA80="","",OFFSET(Biblioteca!$G$2,MATCH(AA80,Biblioteca!$A$3:$A$200,0),)*(1.05^(10-AH80)))</f>
        <v>0</v>
      </c>
      <c r="AM80" s="640"/>
      <c r="AN80" s="632"/>
      <c r="AO80" s="641">
        <f t="shared" si="46"/>
        <v>1</v>
      </c>
      <c r="AP80" s="645"/>
      <c r="AU80" s="610"/>
      <c r="AV80" s="644"/>
      <c r="AW80" s="644"/>
      <c r="AX80" s="644"/>
      <c r="AY80" s="644"/>
      <c r="AZ80" s="644"/>
      <c r="BA80" s="639" t="str">
        <f>IF(AP80="","",OFFSET(Biblioteca!$G$2,MATCH(AP80,Biblioteca!$A$3:$A$200,0),)*(1.05^(10-AW80)))</f>
        <v/>
      </c>
      <c r="BB80" s="640"/>
      <c r="BC80" s="632"/>
      <c r="BD80" s="641">
        <f t="shared" si="47"/>
        <v>5</v>
      </c>
      <c r="BE80" s="645" t="s">
        <v>324</v>
      </c>
      <c r="BJ80" s="705" t="s">
        <v>322</v>
      </c>
      <c r="BK80" s="644">
        <v>3.0</v>
      </c>
      <c r="BL80" s="644">
        <v>15.0</v>
      </c>
      <c r="BM80" s="640"/>
      <c r="BN80" s="644">
        <v>1.0</v>
      </c>
      <c r="BO80" s="644">
        <v>1.0</v>
      </c>
      <c r="BP80" s="639">
        <f>IF(BE80="","",OFFSET(Biblioteca!$G$2,MATCH(BE80,Biblioteca!$A$3:$A$200,0),)*(1.05^(10-BL80)))</f>
        <v>0</v>
      </c>
      <c r="BQ80" s="640"/>
      <c r="BR80" s="632"/>
      <c r="BS80" s="641">
        <f t="shared" si="48"/>
        <v>6</v>
      </c>
      <c r="BT80" s="645" t="s">
        <v>325</v>
      </c>
      <c r="BY80" s="705" t="s">
        <v>260</v>
      </c>
      <c r="BZ80" s="644">
        <v>3.0</v>
      </c>
      <c r="CA80" s="644">
        <v>15.0</v>
      </c>
      <c r="CB80" s="640"/>
      <c r="CC80" s="644">
        <v>1.0</v>
      </c>
      <c r="CD80" s="644">
        <v>1.0</v>
      </c>
      <c r="CE80" s="639">
        <f>IF(BT80="","",OFFSET(Biblioteca!$G$2,MATCH(BT80,Biblioteca!$A$3:$A$200,0),)*(1.05^(10-CA80)))</f>
        <v>0</v>
      </c>
      <c r="CF80" s="640"/>
      <c r="CG80" s="632"/>
      <c r="CH80" s="641">
        <f t="shared" si="49"/>
        <v>1</v>
      </c>
      <c r="CI80" s="645"/>
      <c r="CN80" s="610"/>
      <c r="CO80" s="644"/>
      <c r="CP80" s="644"/>
      <c r="CQ80" s="644"/>
      <c r="CR80" s="644"/>
      <c r="CS80" s="644"/>
      <c r="CT80" s="639" t="str">
        <f>IF(CI80="","",OFFSET(Biblioteca!$G$2,MATCH(CI80,Biblioteca!$A$3:$A$200,0),)*(1.05^(10-CP80)))</f>
        <v/>
      </c>
      <c r="CU80" s="640"/>
      <c r="CV80" s="579"/>
      <c r="CW80" s="608">
        <f t="shared" si="50"/>
        <v>1</v>
      </c>
      <c r="CX80" s="619"/>
      <c r="DC80" s="620"/>
      <c r="DD80" s="618"/>
      <c r="DE80" s="618"/>
      <c r="DF80" s="618"/>
      <c r="DG80" s="618"/>
      <c r="DH80" s="618"/>
      <c r="DI80" s="617" t="str">
        <f>IF(CX80="","",OFFSET(Biblioteca!$G$2,MATCH(CX80,Biblioteca!$A$3:$A$200,0),)*(1.05^(10-DE80)))</f>
        <v/>
      </c>
      <c r="DJ80" s="618"/>
      <c r="DK80" s="579"/>
    </row>
    <row r="81" ht="96.0" customHeight="1">
      <c r="A81" s="492" t="str">
        <f>"S "&amp;$AD52&amp;" - "&amp;TEXT(C62,"dd/mm")</f>
        <v>S 2 - 19/01</v>
      </c>
      <c r="B81" s="647" t="s">
        <v>302</v>
      </c>
      <c r="C81" s="660"/>
      <c r="D81" s="661"/>
      <c r="E81" s="662" t="s">
        <v>303</v>
      </c>
      <c r="F81" s="660"/>
      <c r="G81" s="601"/>
      <c r="H81" s="662" t="s">
        <v>326</v>
      </c>
      <c r="I81" s="600"/>
      <c r="J81" s="505"/>
      <c r="K81" s="608">
        <f t="shared" si="44"/>
        <v>8</v>
      </c>
      <c r="L81" s="645" t="s">
        <v>283</v>
      </c>
      <c r="Q81" s="705" t="s">
        <v>260</v>
      </c>
      <c r="R81" s="644">
        <v>3.0</v>
      </c>
      <c r="S81" s="644">
        <v>12.0</v>
      </c>
      <c r="T81" s="640"/>
      <c r="U81" s="644">
        <v>1.0</v>
      </c>
      <c r="V81" s="644">
        <v>2.0</v>
      </c>
      <c r="W81" s="639">
        <f>IF(L81="","",OFFSET(Biblioteca!$G$2,MATCH(L81,Biblioteca!$A$3:$A$200,0),)*(1.05^(10-S81)))</f>
        <v>7.256235828</v>
      </c>
      <c r="X81" s="640"/>
      <c r="Y81" s="632"/>
      <c r="Z81" s="641">
        <f t="shared" si="45"/>
        <v>8</v>
      </c>
      <c r="AA81" s="645" t="s">
        <v>327</v>
      </c>
      <c r="AF81" s="705" t="s">
        <v>260</v>
      </c>
      <c r="AG81" s="644">
        <v>3.0</v>
      </c>
      <c r="AH81" s="644">
        <v>12.0</v>
      </c>
      <c r="AI81" s="640"/>
      <c r="AJ81" s="644">
        <v>1.0</v>
      </c>
      <c r="AK81" s="644">
        <v>2.0</v>
      </c>
      <c r="AL81" s="639">
        <f>IF(AA81="","",OFFSET(Biblioteca!$G$2,MATCH(AA81,Biblioteca!$A$3:$A$200,0),)*(1.05^(10-AH81)))</f>
        <v>32.65306122</v>
      </c>
      <c r="AM81" s="640"/>
      <c r="AN81" s="632"/>
      <c r="AO81" s="641">
        <f t="shared" si="46"/>
        <v>1</v>
      </c>
      <c r="AP81" s="664"/>
      <c r="AU81" s="664"/>
      <c r="AV81" s="640"/>
      <c r="AW81" s="640"/>
      <c r="AX81" s="640"/>
      <c r="AY81" s="640"/>
      <c r="AZ81" s="640"/>
      <c r="BA81" s="639" t="str">
        <f>IF(AP81="","",OFFSET(Biblioteca!$G$2,MATCH(AP81,Biblioteca!$A$3:$A$200,0),)*(1.05^(10-AW81)))</f>
        <v/>
      </c>
      <c r="BB81" s="640"/>
      <c r="BC81" s="632"/>
      <c r="BD81" s="641">
        <f t="shared" si="47"/>
        <v>5</v>
      </c>
      <c r="BE81" s="645" t="s">
        <v>328</v>
      </c>
      <c r="BJ81" s="705" t="s">
        <v>322</v>
      </c>
      <c r="BK81" s="611">
        <v>3.0</v>
      </c>
      <c r="BL81" s="611">
        <v>15.0</v>
      </c>
      <c r="BM81" s="611">
        <v>60.0</v>
      </c>
      <c r="BN81" s="611">
        <v>1.0</v>
      </c>
      <c r="BO81" s="611">
        <v>1.0</v>
      </c>
      <c r="BP81" s="639">
        <f>IF(BE81="","",OFFSET(Biblioteca!$G$2,MATCH(BE81,Biblioteca!$A$3:$A$200,0),)*(1.05^(10-BL81)))</f>
        <v>0</v>
      </c>
      <c r="BQ81" s="640"/>
      <c r="BR81" s="632"/>
      <c r="BS81" s="641">
        <f t="shared" si="48"/>
        <v>6</v>
      </c>
      <c r="BT81" s="609" t="s">
        <v>329</v>
      </c>
      <c r="BY81" s="705" t="s">
        <v>260</v>
      </c>
      <c r="BZ81" s="611">
        <v>3.0</v>
      </c>
      <c r="CA81" s="611">
        <v>15.0</v>
      </c>
      <c r="CB81" s="611">
        <v>45.0</v>
      </c>
      <c r="CC81" s="611">
        <v>1.0</v>
      </c>
      <c r="CD81" s="611">
        <v>1.0</v>
      </c>
      <c r="CE81" s="639">
        <f>IF(BT81="","",OFFSET(Biblioteca!$G$2,MATCH(BT81,Biblioteca!$A$3:$A$200,0),)*(1.05^(10-CA81)))</f>
        <v>0</v>
      </c>
      <c r="CF81" s="640"/>
      <c r="CG81" s="632"/>
      <c r="CH81" s="641">
        <f t="shared" si="49"/>
        <v>1</v>
      </c>
      <c r="CI81" s="664"/>
      <c r="CN81" s="664"/>
      <c r="CO81" s="640"/>
      <c r="CP81" s="640"/>
      <c r="CQ81" s="640"/>
      <c r="CR81" s="640"/>
      <c r="CS81" s="640"/>
      <c r="CT81" s="639" t="str">
        <f>IF(CI81="","",OFFSET(Biblioteca!$G$2,MATCH(CI81,Biblioteca!$A$3:$A$200,0),)*(1.05^(10-CP81)))</f>
        <v/>
      </c>
      <c r="CU81" s="640"/>
      <c r="CV81" s="588"/>
      <c r="CW81" s="608">
        <f t="shared" si="50"/>
        <v>1</v>
      </c>
      <c r="CX81" s="619"/>
      <c r="DC81" s="620"/>
      <c r="DD81" s="618"/>
      <c r="DE81" s="618"/>
      <c r="DF81" s="618"/>
      <c r="DG81" s="618"/>
      <c r="DH81" s="618"/>
      <c r="DI81" s="617" t="str">
        <f>IF(CX81="","",OFFSET(Biblioteca!$G$2,MATCH(CX81,Biblioteca!$A$3:$A$200,0),)*(1.05^(10-DE81)))</f>
        <v/>
      </c>
      <c r="DJ81" s="618"/>
      <c r="DK81" s="588"/>
    </row>
    <row r="82" ht="14.25" customHeight="1">
      <c r="A82" s="492" t="str">
        <f>"S "&amp;$AD52&amp;" - "&amp;TEXT(C62,"dd/mm")</f>
        <v>S 2 - 19/01</v>
      </c>
      <c r="B82" s="666" t="s">
        <v>306</v>
      </c>
      <c r="C82" s="667" t="str">
        <f>IF(C69="","",ROUND(VLOOKUP(C68,'Dados de Base'!$D$10:$H$20,5,FALSE),1)&amp;" - "&amp;ROUND(VLOOKUP(C69,'Dados de Base'!$D$10:$H$20,5,TRUE),1))</f>
        <v>3,9 - 3,7</v>
      </c>
      <c r="D82" s="667" t="str">
        <f>IF(D69="","",ROUND(VLOOKUP(D68,'Dados de Base'!$D$10:$H$20,5,FALSE),1)&amp;" - "&amp;ROUND(VLOOKUP(D69,'Dados de Base'!$D$10:$H$20,5,TRUE),1))</f>
        <v>#N/A</v>
      </c>
      <c r="E82" s="667" t="str">
        <f>IF(E69="","",ROUND(VLOOKUP(E68,'Dados de Base'!$D$10:$H$20,5,FALSE),1)&amp;" - "&amp;ROUND(VLOOKUP(E69,'Dados de Base'!$D$10:$H$20,5,TRUE),1))</f>
        <v/>
      </c>
      <c r="F82" s="667" t="str">
        <f>IF(F69="","",ROUND(VLOOKUP(F68,'Dados de Base'!$D$10:$H$20,5,FALSE),1)&amp;" - "&amp;ROUND(VLOOKUP(F69,'Dados de Base'!$D$10:$H$20,5,TRUE),1))</f>
        <v>7,1 - 5,5</v>
      </c>
      <c r="G82" s="667" t="str">
        <f>IF(G69="","",ROUND(VLOOKUP(G68,'Dados de Base'!$D$10:$H$20,5,FALSE),1)&amp;" - "&amp;ROUND(VLOOKUP(G69,'Dados de Base'!$D$10:$H$20,5,TRUE),1))</f>
        <v>#N/A</v>
      </c>
      <c r="H82" s="667" t="str">
        <f>IF(H69="","",ROUND(VLOOKUP(H68,'Dados de Base'!$D$10:$H$20,5,FALSE),1)&amp;" - "&amp;ROUND(VLOOKUP(H69,'Dados de Base'!$D$10:$H$20,5,TRUE),1))</f>
        <v/>
      </c>
      <c r="I82" s="667" t="str">
        <f>IF(I69="","",ROUND(VLOOKUP(I68,'Dados de Base'!$D$10:$H$20,5,FALSE),1)&amp;" - "&amp;ROUND(VLOOKUP(I69,'Dados de Base'!$D$10:$H$20,5,TRUE),1))</f>
        <v/>
      </c>
      <c r="J82" s="505"/>
      <c r="K82" s="608">
        <f t="shared" si="44"/>
        <v>8</v>
      </c>
      <c r="L82" s="609" t="s">
        <v>300</v>
      </c>
      <c r="Q82" s="705" t="s">
        <v>260</v>
      </c>
      <c r="R82" s="611">
        <v>3.0</v>
      </c>
      <c r="S82" s="611">
        <v>12.0</v>
      </c>
      <c r="T82" s="611">
        <v>60.0</v>
      </c>
      <c r="U82" s="611">
        <v>1.0</v>
      </c>
      <c r="V82" s="611">
        <v>2.0</v>
      </c>
      <c r="W82" s="639">
        <f>IF(L82="","",OFFSET(Biblioteca!$G$2,MATCH(L82,Biblioteca!$A$3:$A$200,0),)*(1.05^(10-S82)))</f>
        <v>6.893424036</v>
      </c>
      <c r="X82" s="640"/>
      <c r="Y82" s="632"/>
      <c r="Z82" s="641">
        <f t="shared" si="45"/>
        <v>8</v>
      </c>
      <c r="AA82" s="609" t="s">
        <v>330</v>
      </c>
      <c r="AF82" s="705" t="s">
        <v>260</v>
      </c>
      <c r="AG82" s="611">
        <v>3.0</v>
      </c>
      <c r="AH82" s="611">
        <v>12.0</v>
      </c>
      <c r="AI82" s="611">
        <v>60.0</v>
      </c>
      <c r="AJ82" s="611">
        <v>1.0</v>
      </c>
      <c r="AK82" s="611">
        <v>2.0</v>
      </c>
      <c r="AL82" s="639">
        <f>IF(AA82="","",OFFSET(Biblioteca!$G$2,MATCH(AA82,Biblioteca!$A$3:$A$200,0),)*(1.05^(10-AH82)))</f>
        <v>136.0544218</v>
      </c>
      <c r="AM82" s="640"/>
      <c r="AN82" s="632"/>
      <c r="AO82" s="641">
        <f t="shared" si="46"/>
        <v>1</v>
      </c>
      <c r="AP82" s="664"/>
      <c r="AU82" s="664"/>
      <c r="AV82" s="640"/>
      <c r="AW82" s="640"/>
      <c r="AX82" s="640"/>
      <c r="AY82" s="640"/>
      <c r="AZ82" s="640"/>
      <c r="BA82" s="639" t="str">
        <f>IF(AP82="","",OFFSET(Biblioteca!$G$2,MATCH(AP82,Biblioteca!$A$3:$A$200,0),)*(1.05^(10-AW82)))</f>
        <v/>
      </c>
      <c r="BB82" s="640"/>
      <c r="BC82" s="632"/>
      <c r="BD82" s="641">
        <f t="shared" si="47"/>
        <v>6</v>
      </c>
      <c r="BE82" s="609" t="s">
        <v>232</v>
      </c>
      <c r="BJ82" s="609"/>
      <c r="BK82" s="614"/>
      <c r="BL82" s="614"/>
      <c r="BM82" s="611">
        <v>60.0</v>
      </c>
      <c r="BN82" s="640"/>
      <c r="BO82" s="640"/>
      <c r="BP82" s="639">
        <f>IF(BE82="","",OFFSET(Biblioteca!$G$2,MATCH(BE82,Biblioteca!$A$3:$A$200,0),)*(1.05^(10-BL82)))</f>
        <v>0</v>
      </c>
      <c r="BQ82" s="640"/>
      <c r="BR82" s="632"/>
      <c r="BS82" s="641">
        <f t="shared" si="48"/>
        <v>7</v>
      </c>
      <c r="BT82" s="642" t="s">
        <v>234</v>
      </c>
      <c r="BY82" s="609"/>
      <c r="BZ82" s="614"/>
      <c r="CA82" s="614"/>
      <c r="CB82" s="611">
        <v>60.0</v>
      </c>
      <c r="CC82" s="640"/>
      <c r="CD82" s="640"/>
      <c r="CE82" s="665">
        <f>IF(BT82="","",OFFSET(Biblioteca!$G$2,MATCH(BT82,Biblioteca!$A$3:$A$200,0),)*(1.05^(10-CA82)))</f>
        <v>0</v>
      </c>
      <c r="CF82" s="640"/>
      <c r="CG82" s="632"/>
      <c r="CH82" s="641">
        <f t="shared" si="49"/>
        <v>1</v>
      </c>
      <c r="CI82" s="664"/>
      <c r="CN82" s="664"/>
      <c r="CO82" s="640"/>
      <c r="CP82" s="640"/>
      <c r="CQ82" s="640"/>
      <c r="CR82" s="640"/>
      <c r="CS82" s="640"/>
      <c r="CT82" s="665" t="str">
        <f>IF(CI82="","",OFFSET(Biblioteca!$G$2,MATCH(CI82,Biblioteca!$A$3:$A$200,0),)*(1.05^(10-CP82)))</f>
        <v/>
      </c>
      <c r="CU82" s="640"/>
      <c r="CV82" s="579"/>
      <c r="CW82" s="608">
        <f t="shared" si="50"/>
        <v>1</v>
      </c>
      <c r="CX82" s="619"/>
      <c r="DC82" s="620"/>
      <c r="DD82" s="618"/>
      <c r="DE82" s="618"/>
      <c r="DF82" s="618"/>
      <c r="DG82" s="618"/>
      <c r="DH82" s="618"/>
      <c r="DI82" s="617" t="str">
        <f>IF(CX82="","",OFFSET(Biblioteca!$G$2,MATCH(CX82,Biblioteca!$A$3:$A$200,0),)*(1.05^(10-DE82)))</f>
        <v/>
      </c>
      <c r="DJ82" s="618"/>
      <c r="DK82" s="579"/>
    </row>
    <row r="83" ht="14.25" customHeight="1">
      <c r="A83" s="492" t="str">
        <f>"S "&amp;$AD52&amp;" - "&amp;TEXT(C62,"dd/mm")</f>
        <v>S 2 - 19/01</v>
      </c>
      <c r="B83" s="592" t="s">
        <v>307</v>
      </c>
      <c r="C83" s="668" t="str">
        <f>'Anotações gerais'!$B$3</f>
        <v/>
      </c>
      <c r="D83" s="60"/>
      <c r="E83" s="60"/>
      <c r="F83" s="60"/>
      <c r="G83" s="60"/>
      <c r="H83" s="61"/>
      <c r="I83" s="669"/>
      <c r="J83" s="505"/>
      <c r="K83" s="608">
        <f t="shared" si="44"/>
        <v>9</v>
      </c>
      <c r="L83" s="609" t="s">
        <v>232</v>
      </c>
      <c r="Q83" s="609"/>
      <c r="R83" s="614"/>
      <c r="S83" s="614"/>
      <c r="T83" s="611">
        <v>60.0</v>
      </c>
      <c r="U83" s="614"/>
      <c r="V83" s="614"/>
      <c r="W83" s="639">
        <f>IF(L83="","",OFFSET(Biblioteca!$G$2,MATCH(L83,Biblioteca!$A$3:$A$200,0),)*(1.05^(10-S83)))</f>
        <v>0</v>
      </c>
      <c r="X83" s="640"/>
      <c r="Y83" s="632"/>
      <c r="Z83" s="641">
        <f t="shared" si="45"/>
        <v>9</v>
      </c>
      <c r="AA83" s="609" t="s">
        <v>233</v>
      </c>
      <c r="AF83" s="609"/>
      <c r="AG83" s="614"/>
      <c r="AH83" s="614"/>
      <c r="AI83" s="611">
        <v>60.0</v>
      </c>
      <c r="AJ83" s="614"/>
      <c r="AK83" s="614"/>
      <c r="AL83" s="639">
        <f>IF(AA83="","",OFFSET(Biblioteca!$G$2,MATCH(AA83,Biblioteca!$A$3:$A$200,0),)*(1.05^(10-AH83)))</f>
        <v>0</v>
      </c>
      <c r="AM83" s="640"/>
      <c r="AN83" s="632"/>
      <c r="AO83" s="641">
        <f t="shared" si="46"/>
        <v>1</v>
      </c>
      <c r="AP83" s="619"/>
      <c r="AU83" s="620"/>
      <c r="AV83" s="618"/>
      <c r="AW83" s="618"/>
      <c r="AX83" s="618"/>
      <c r="AY83" s="618"/>
      <c r="AZ83" s="618"/>
      <c r="BA83" s="639" t="str">
        <f>IF(AP83="","",OFFSET(Biblioteca!$G$2,MATCH(AP83,Biblioteca!$A$3:$A$200,0),)*(1.05^(10-AW83)))</f>
        <v/>
      </c>
      <c r="BB83" s="640"/>
      <c r="BC83" s="632"/>
      <c r="BD83" s="641">
        <f t="shared" si="47"/>
        <v>7</v>
      </c>
      <c r="BE83" s="664"/>
      <c r="BJ83" s="664"/>
      <c r="BK83" s="640"/>
      <c r="BL83" s="640"/>
      <c r="BM83" s="640"/>
      <c r="BN83" s="640"/>
      <c r="BO83" s="640"/>
      <c r="BP83" s="639" t="str">
        <f>IF(BE83="","",OFFSET(Biblioteca!$G$2,MATCH(BE83,Biblioteca!$A$3:$A$200,0),)*(1.05^(10-BL83)))</f>
        <v/>
      </c>
      <c r="BQ83" s="640"/>
      <c r="BR83" s="632"/>
      <c r="BS83" s="641">
        <f t="shared" si="48"/>
        <v>8</v>
      </c>
      <c r="BT83" s="664"/>
      <c r="BY83" s="664"/>
      <c r="BZ83" s="640"/>
      <c r="CA83" s="640"/>
      <c r="CB83" s="640"/>
      <c r="CC83" s="640"/>
      <c r="CD83" s="640"/>
      <c r="CE83" s="665" t="str">
        <f>IF(BT83="","",OFFSET(Biblioteca!$G$2,MATCH(BT83,Biblioteca!$A$3:$A$200,0),)*(1.05^(10-CA83)))</f>
        <v/>
      </c>
      <c r="CF83" s="640"/>
      <c r="CG83" s="632"/>
      <c r="CH83" s="641">
        <f t="shared" si="49"/>
        <v>1</v>
      </c>
      <c r="CI83" s="619"/>
      <c r="CN83" s="620"/>
      <c r="CO83" s="618"/>
      <c r="CP83" s="618"/>
      <c r="CQ83" s="618"/>
      <c r="CR83" s="618"/>
      <c r="CS83" s="618"/>
      <c r="CT83" s="665" t="str">
        <f>IF(CI83="","",OFFSET(Biblioteca!$G$2,MATCH(CI83,Biblioteca!$A$3:$A$200,0),)*(1.05^(10-CP83)))</f>
        <v/>
      </c>
      <c r="CU83" s="640"/>
      <c r="CV83" s="579"/>
      <c r="CW83" s="608">
        <f t="shared" si="50"/>
        <v>1</v>
      </c>
      <c r="CX83" s="619"/>
      <c r="DC83" s="620"/>
      <c r="DD83" s="618"/>
      <c r="DE83" s="618"/>
      <c r="DF83" s="618"/>
      <c r="DG83" s="618"/>
      <c r="DH83" s="618"/>
      <c r="DI83" s="617" t="str">
        <f>IF(CX83="","",OFFSET(Biblioteca!$G$2,MATCH(CX83,Biblioteca!$A$3:$A$200,0),)*(1.05^(10-DE83)))</f>
        <v/>
      </c>
      <c r="DJ83" s="618"/>
      <c r="DK83" s="579"/>
    </row>
    <row r="84" ht="14.25" customHeight="1">
      <c r="A84" s="492" t="str">
        <f>"S "&amp;$AD52&amp;" - "&amp;TEXT(C62,"dd/mm")</f>
        <v>S 2 - 19/01</v>
      </c>
      <c r="B84" s="592" t="s">
        <v>308</v>
      </c>
      <c r="C84" s="668" t="str">
        <f>OFFSET('Periodização Macrociclo'!$D$8,0,MATCH(C52,'Periodização Macrociclo'!$D$4:$BP$4,0))</f>
        <v>Força</v>
      </c>
      <c r="D84" s="60"/>
      <c r="E84" s="60"/>
      <c r="F84" s="60"/>
      <c r="G84" s="60"/>
      <c r="H84" s="61"/>
      <c r="I84" s="669"/>
      <c r="J84" s="505"/>
      <c r="K84" s="608">
        <f t="shared" si="44"/>
        <v>10</v>
      </c>
      <c r="L84" s="645" t="s">
        <v>331</v>
      </c>
      <c r="Q84" s="705" t="s">
        <v>260</v>
      </c>
      <c r="R84" s="644">
        <v>3.0</v>
      </c>
      <c r="S84" s="644">
        <v>15.0</v>
      </c>
      <c r="T84" s="640"/>
      <c r="U84" s="644">
        <v>1.0</v>
      </c>
      <c r="V84" s="644">
        <v>2.0</v>
      </c>
      <c r="W84" s="639">
        <f>IF(L84="","",OFFSET(Biblioteca!$G$2,MATCH(L84,Biblioteca!$A$3:$A$200,0),)*(1.05^(10-S84)))</f>
        <v>0</v>
      </c>
      <c r="X84" s="640"/>
      <c r="Y84" s="632"/>
      <c r="Z84" s="641">
        <f t="shared" si="45"/>
        <v>10</v>
      </c>
      <c r="AA84" s="645" t="s">
        <v>291</v>
      </c>
      <c r="AF84" s="705" t="s">
        <v>260</v>
      </c>
      <c r="AG84" s="644">
        <v>3.0</v>
      </c>
      <c r="AH84" s="644">
        <v>15.0</v>
      </c>
      <c r="AI84" s="640"/>
      <c r="AJ84" s="644">
        <v>1.0</v>
      </c>
      <c r="AK84" s="644">
        <v>2.0</v>
      </c>
      <c r="AL84" s="639">
        <f>IF(AA84="","",OFFSET(Biblioteca!$G$2,MATCH(AA84,Biblioteca!$A$3:$A$200,0),)*(1.05^(10-AH84)))</f>
        <v>0</v>
      </c>
      <c r="AM84" s="640"/>
      <c r="AN84" s="632"/>
      <c r="AO84" s="641">
        <f t="shared" si="46"/>
        <v>1</v>
      </c>
      <c r="AP84" s="619"/>
      <c r="AU84" s="620"/>
      <c r="AV84" s="618"/>
      <c r="AW84" s="618"/>
      <c r="AX84" s="618"/>
      <c r="AY84" s="618"/>
      <c r="AZ84" s="618"/>
      <c r="BA84" s="665" t="str">
        <f>IF(AP84="","",OFFSET(Biblioteca!$G$2,MATCH(AP84,Biblioteca!$A$3:$A$200,0),)*(1.05^(10-AW84)))</f>
        <v/>
      </c>
      <c r="BB84" s="640"/>
      <c r="BC84" s="632"/>
      <c r="BD84" s="641">
        <f t="shared" si="47"/>
        <v>7</v>
      </c>
      <c r="BE84" s="664"/>
      <c r="BJ84" s="664"/>
      <c r="BK84" s="640"/>
      <c r="BL84" s="640"/>
      <c r="BM84" s="640"/>
      <c r="BN84" s="640"/>
      <c r="BO84" s="640"/>
      <c r="BP84" s="665" t="str">
        <f>IF(BE84="","",OFFSET(Biblioteca!$G$2,MATCH(BE84,Biblioteca!$A$3:$A$200,0),)*(1.05^(10-BL84)))</f>
        <v/>
      </c>
      <c r="BQ84" s="640"/>
      <c r="BR84" s="632"/>
      <c r="BS84" s="641">
        <f t="shared" si="48"/>
        <v>8</v>
      </c>
      <c r="BT84" s="664"/>
      <c r="BY84" s="664"/>
      <c r="BZ84" s="640"/>
      <c r="CA84" s="640"/>
      <c r="CB84" s="640"/>
      <c r="CC84" s="640"/>
      <c r="CD84" s="640"/>
      <c r="CE84" s="665" t="str">
        <f>IF(BT84="","",OFFSET(Biblioteca!$G$2,MATCH(BT84,Biblioteca!$A$3:$A$200,0),)*(1.05^(10-CA84)))</f>
        <v/>
      </c>
      <c r="CF84" s="640"/>
      <c r="CG84" s="632"/>
      <c r="CH84" s="641">
        <f t="shared" si="49"/>
        <v>1</v>
      </c>
      <c r="CI84" s="619"/>
      <c r="CN84" s="620"/>
      <c r="CO84" s="618"/>
      <c r="CP84" s="618"/>
      <c r="CQ84" s="618"/>
      <c r="CR84" s="618"/>
      <c r="CS84" s="618"/>
      <c r="CT84" s="665" t="str">
        <f>IF(CI84="","",OFFSET(Biblioteca!$G$2,MATCH(CI84,Biblioteca!$A$3:$A$200,0),)*(1.05^(10-CP84)))</f>
        <v/>
      </c>
      <c r="CU84" s="640"/>
      <c r="CV84" s="579"/>
      <c r="CW84" s="608">
        <f t="shared" si="50"/>
        <v>1</v>
      </c>
      <c r="CX84" s="619"/>
      <c r="DC84" s="620"/>
      <c r="DD84" s="618"/>
      <c r="DE84" s="618"/>
      <c r="DF84" s="618"/>
      <c r="DG84" s="618"/>
      <c r="DH84" s="618"/>
      <c r="DI84" s="617" t="str">
        <f>IF(CX84="","",OFFSET(Biblioteca!$G$2,MATCH(CX84,Biblioteca!$A$3:$A$200,0),)*(1.05^(10-DE84)))</f>
        <v/>
      </c>
      <c r="DJ84" s="618"/>
      <c r="DK84" s="579"/>
    </row>
    <row r="85" ht="14.25" customHeight="1">
      <c r="A85" s="492" t="str">
        <f>"S "&amp;$AD52&amp;" - "&amp;TEXT(C62,"dd/mm")</f>
        <v>S 2 - 19/01</v>
      </c>
      <c r="B85" s="647" t="s">
        <v>309</v>
      </c>
      <c r="C85" s="668" t="str">
        <f>'Anotações gerais'!$B$5</f>
        <v/>
      </c>
      <c r="D85" s="60"/>
      <c r="E85" s="60"/>
      <c r="F85" s="60"/>
      <c r="G85" s="60"/>
      <c r="H85" s="61"/>
      <c r="I85" s="669"/>
      <c r="J85" s="505"/>
      <c r="K85" s="608">
        <f t="shared" si="44"/>
        <v>10</v>
      </c>
      <c r="L85" s="609" t="s">
        <v>332</v>
      </c>
      <c r="Q85" s="705" t="s">
        <v>260</v>
      </c>
      <c r="R85" s="611">
        <v>3.0</v>
      </c>
      <c r="S85" s="611">
        <v>15.0</v>
      </c>
      <c r="T85" s="611">
        <v>60.0</v>
      </c>
      <c r="U85" s="611">
        <v>1.0</v>
      </c>
      <c r="V85" s="611">
        <v>2.0</v>
      </c>
      <c r="W85" s="639">
        <f>IF(L85="","",OFFSET(Biblioteca!$G$2,MATCH(L85,Biblioteca!$A$3:$A$200,0),)*(1.05^(10-S85)))</f>
        <v>0</v>
      </c>
      <c r="X85" s="640"/>
      <c r="Y85" s="632"/>
      <c r="Z85" s="641">
        <f t="shared" si="45"/>
        <v>10</v>
      </c>
      <c r="AA85" s="609" t="s">
        <v>281</v>
      </c>
      <c r="AF85" s="705" t="s">
        <v>260</v>
      </c>
      <c r="AG85" s="611">
        <v>3.0</v>
      </c>
      <c r="AH85" s="611">
        <v>10.0</v>
      </c>
      <c r="AI85" s="611">
        <v>60.0</v>
      </c>
      <c r="AJ85" s="611">
        <v>1.0</v>
      </c>
      <c r="AK85" s="611">
        <v>2.0</v>
      </c>
      <c r="AL85" s="639">
        <f>IF(AA85="","",OFFSET(Biblioteca!$G$2,MATCH(AA85,Biblioteca!$A$3:$A$200,0),)*(1.05^(10-AH85)))</f>
        <v>4</v>
      </c>
      <c r="AM85" s="640"/>
      <c r="AN85" s="632"/>
      <c r="AO85" s="641">
        <f t="shared" si="46"/>
        <v>1</v>
      </c>
      <c r="AP85" s="619"/>
      <c r="AU85" s="620"/>
      <c r="AV85" s="618"/>
      <c r="AW85" s="618"/>
      <c r="AX85" s="618"/>
      <c r="AY85" s="618"/>
      <c r="AZ85" s="618"/>
      <c r="BA85" s="665" t="str">
        <f>IF(AP85="","",OFFSET(Biblioteca!$G$2,MATCH(AP85,Biblioteca!$A$3:$A$200,0),)*(1.05^(10-AW85)))</f>
        <v/>
      </c>
      <c r="BB85" s="640"/>
      <c r="BC85" s="632"/>
      <c r="BD85" s="641">
        <f t="shared" si="47"/>
        <v>7</v>
      </c>
      <c r="BE85" s="664"/>
      <c r="BJ85" s="664"/>
      <c r="BK85" s="640"/>
      <c r="BL85" s="640"/>
      <c r="BM85" s="640"/>
      <c r="BN85" s="640"/>
      <c r="BO85" s="640"/>
      <c r="BP85" s="665" t="str">
        <f>IF(BE85="","",OFFSET(Biblioteca!$G$2,MATCH(BE85,Biblioteca!$A$3:$A$200,0),)*(1.05^(10-BL85)))</f>
        <v/>
      </c>
      <c r="BQ85" s="640"/>
      <c r="BR85" s="632"/>
      <c r="BS85" s="641">
        <f t="shared" si="48"/>
        <v>8</v>
      </c>
      <c r="BT85" s="664"/>
      <c r="BY85" s="664"/>
      <c r="BZ85" s="640"/>
      <c r="CA85" s="640"/>
      <c r="CB85" s="640"/>
      <c r="CC85" s="640"/>
      <c r="CD85" s="640"/>
      <c r="CE85" s="665" t="str">
        <f>IF(BT85="","",OFFSET(Biblioteca!$G$2,MATCH(BT85,Biblioteca!$A$3:$A$200,0),)*(1.05^(10-CA85)))</f>
        <v/>
      </c>
      <c r="CF85" s="640"/>
      <c r="CG85" s="632"/>
      <c r="CH85" s="641">
        <f t="shared" si="49"/>
        <v>1</v>
      </c>
      <c r="CI85" s="619"/>
      <c r="CN85" s="620"/>
      <c r="CO85" s="618"/>
      <c r="CP85" s="618"/>
      <c r="CQ85" s="618"/>
      <c r="CR85" s="618"/>
      <c r="CS85" s="618"/>
      <c r="CT85" s="665" t="str">
        <f>IF(CI85="","",OFFSET(Biblioteca!$G$2,MATCH(CI85,Biblioteca!$A$3:$A$200,0),)*(1.05^(10-CP85)))</f>
        <v/>
      </c>
      <c r="CU85" s="640"/>
      <c r="CV85" s="604"/>
      <c r="CW85" s="608">
        <f t="shared" si="50"/>
        <v>1</v>
      </c>
      <c r="CX85" s="619"/>
      <c r="DC85" s="620"/>
      <c r="DD85" s="618"/>
      <c r="DE85" s="618"/>
      <c r="DF85" s="618"/>
      <c r="DG85" s="618"/>
      <c r="DH85" s="618"/>
      <c r="DI85" s="617" t="str">
        <f>IF(CX85="","",OFFSET(Biblioteca!$G$2,MATCH(CX85,Biblioteca!$A$3:$A$200,0),)*(1.05^(10-DE85)))</f>
        <v/>
      </c>
      <c r="DJ85" s="618"/>
      <c r="DK85" s="604"/>
    </row>
    <row r="86" ht="14.25" customHeight="1">
      <c r="A86" s="492" t="str">
        <f>"S "&amp;$AD52&amp;" - "&amp;TEXT(C62,"dd/mm")</f>
        <v>S 2 - 19/01</v>
      </c>
      <c r="B86" s="647" t="s">
        <v>310</v>
      </c>
      <c r="C86" s="668" t="str">
        <f>'Anotações gerais'!$B$6</f>
        <v/>
      </c>
      <c r="D86" s="60"/>
      <c r="E86" s="60"/>
      <c r="F86" s="60"/>
      <c r="G86" s="60"/>
      <c r="H86" s="61"/>
      <c r="I86" s="669"/>
      <c r="J86" s="505"/>
      <c r="K86" s="608">
        <f t="shared" si="44"/>
        <v>11</v>
      </c>
      <c r="L86" s="664"/>
      <c r="Q86" s="664"/>
      <c r="R86" s="640"/>
      <c r="S86" s="640"/>
      <c r="T86" s="640"/>
      <c r="U86" s="640"/>
      <c r="V86" s="640"/>
      <c r="W86" s="665" t="str">
        <f>IF(L86="","",OFFSET(Biblioteca!$G$2,MATCH(L86,Biblioteca!$A$3:$A$200,0),)*(1.05^(10-S86)))</f>
        <v/>
      </c>
      <c r="X86" s="640"/>
      <c r="Y86" s="632"/>
      <c r="Z86" s="641">
        <f t="shared" si="45"/>
        <v>11</v>
      </c>
      <c r="AA86" s="664"/>
      <c r="AF86" s="664"/>
      <c r="AG86" s="640"/>
      <c r="AH86" s="640"/>
      <c r="AI86" s="640"/>
      <c r="AJ86" s="640"/>
      <c r="AK86" s="640"/>
      <c r="AL86" s="665" t="str">
        <f>IF(AA86="","",OFFSET(Biblioteca!$G$2,MATCH(AA86,Biblioteca!$A$3:$A$200,0),)*(1.05^(10-AH86)))</f>
        <v/>
      </c>
      <c r="AM86" s="640"/>
      <c r="AN86" s="632"/>
      <c r="AO86" s="641">
        <f t="shared" si="46"/>
        <v>1</v>
      </c>
      <c r="AP86" s="619"/>
      <c r="AU86" s="620"/>
      <c r="AV86" s="618"/>
      <c r="AW86" s="618"/>
      <c r="AX86" s="618"/>
      <c r="AY86" s="618"/>
      <c r="AZ86" s="618"/>
      <c r="BA86" s="665" t="str">
        <f>IF(AP86="","",OFFSET(Biblioteca!$G$2,MATCH(AP86,Biblioteca!$A$3:$A$200,0),)*(1.05^(10-AW86)))</f>
        <v/>
      </c>
      <c r="BB86" s="640"/>
      <c r="BC86" s="632"/>
      <c r="BD86" s="641">
        <f t="shared" si="47"/>
        <v>7</v>
      </c>
      <c r="BE86" s="664"/>
      <c r="BJ86" s="664"/>
      <c r="BK86" s="640"/>
      <c r="BL86" s="640"/>
      <c r="BM86" s="640"/>
      <c r="BN86" s="640"/>
      <c r="BO86" s="640"/>
      <c r="BP86" s="665" t="str">
        <f>IF(BE86="","",OFFSET(Biblioteca!$G$2,MATCH(BE86,Biblioteca!$A$3:$A$200,0),)*(1.05^(10-BL86)))</f>
        <v/>
      </c>
      <c r="BQ86" s="640"/>
      <c r="BR86" s="632"/>
      <c r="BS86" s="641">
        <f t="shared" si="48"/>
        <v>8</v>
      </c>
      <c r="BT86" s="664"/>
      <c r="BY86" s="664"/>
      <c r="BZ86" s="640"/>
      <c r="CA86" s="640"/>
      <c r="CB86" s="640"/>
      <c r="CC86" s="640"/>
      <c r="CD86" s="640"/>
      <c r="CE86" s="665" t="str">
        <f>IF(BT86="","",OFFSET(Biblioteca!$G$2,MATCH(BT86,Biblioteca!$A$3:$A$200,0),)*(1.05^(10-CA86)))</f>
        <v/>
      </c>
      <c r="CF86" s="640"/>
      <c r="CG86" s="632"/>
      <c r="CH86" s="641">
        <f t="shared" si="49"/>
        <v>1</v>
      </c>
      <c r="CI86" s="619"/>
      <c r="CN86" s="620"/>
      <c r="CO86" s="618"/>
      <c r="CP86" s="618"/>
      <c r="CQ86" s="618"/>
      <c r="CR86" s="618"/>
      <c r="CS86" s="618"/>
      <c r="CT86" s="665" t="str">
        <f>IF(CI86="","",OFFSET(Biblioteca!$G$2,MATCH(CI86,Biblioteca!$A$3:$A$200,0),)*(1.05^(10-CP86)))</f>
        <v/>
      </c>
      <c r="CU86" s="640"/>
      <c r="CV86" s="579"/>
      <c r="CW86" s="608">
        <f t="shared" si="50"/>
        <v>1</v>
      </c>
      <c r="CX86" s="619"/>
      <c r="DC86" s="620"/>
      <c r="DD86" s="618"/>
      <c r="DE86" s="618"/>
      <c r="DF86" s="618"/>
      <c r="DG86" s="618"/>
      <c r="DH86" s="618"/>
      <c r="DI86" s="617" t="str">
        <f>IF(CX86="","",OFFSET(Biblioteca!$G$2,MATCH(CX86,Biblioteca!$A$3:$A$200,0),)*(1.05^(10-DE86)))</f>
        <v/>
      </c>
      <c r="DJ86" s="618"/>
      <c r="DK86" s="579"/>
    </row>
    <row r="87" ht="14.25" customHeight="1">
      <c r="A87" s="492" t="str">
        <f>"S "&amp;$AD52&amp;" - "&amp;TEXT(C62,"dd/mm")</f>
        <v>S 2 - 19/01</v>
      </c>
      <c r="B87" s="537"/>
      <c r="C87" s="669"/>
      <c r="D87" s="669"/>
      <c r="E87" s="669"/>
      <c r="F87" s="669"/>
      <c r="G87" s="669"/>
      <c r="H87" s="669"/>
      <c r="I87" s="669"/>
      <c r="J87" s="505"/>
      <c r="K87" s="608">
        <f t="shared" si="44"/>
        <v>11</v>
      </c>
      <c r="L87" s="664"/>
      <c r="Q87" s="664"/>
      <c r="R87" s="640"/>
      <c r="S87" s="640"/>
      <c r="T87" s="640"/>
      <c r="U87" s="640"/>
      <c r="V87" s="640"/>
      <c r="W87" s="665" t="str">
        <f>IF(L87="","",OFFSET(Biblioteca!$G$2,MATCH(L87,Biblioteca!$A$3:$A$200,0),)*(1.05^(10-S87)))</f>
        <v/>
      </c>
      <c r="X87" s="640"/>
      <c r="Y87" s="632"/>
      <c r="Z87" s="641">
        <f t="shared" si="45"/>
        <v>11</v>
      </c>
      <c r="AA87" s="664"/>
      <c r="AF87" s="664"/>
      <c r="AG87" s="640"/>
      <c r="AH87" s="640"/>
      <c r="AI87" s="640"/>
      <c r="AJ87" s="640"/>
      <c r="AK87" s="640"/>
      <c r="AL87" s="665" t="str">
        <f>IF(AA87="","",OFFSET(Biblioteca!$G$2,MATCH(AA87,Biblioteca!$A$3:$A$200,0),)*(1.05^(10-AH87)))</f>
        <v/>
      </c>
      <c r="AM87" s="640"/>
      <c r="AN87" s="632"/>
      <c r="AO87" s="641">
        <f t="shared" si="46"/>
        <v>1</v>
      </c>
      <c r="AP87" s="619"/>
      <c r="AU87" s="620"/>
      <c r="AV87" s="618"/>
      <c r="AW87" s="618"/>
      <c r="AX87" s="618"/>
      <c r="AY87" s="618"/>
      <c r="AZ87" s="618"/>
      <c r="BA87" s="665" t="str">
        <f>IF(AP87="","",OFFSET(Biblioteca!$G$2,MATCH(AP87,Biblioteca!$A$3:$A$200,0),)*(1.05^(10-AW87)))</f>
        <v/>
      </c>
      <c r="BB87" s="640"/>
      <c r="BC87" s="632"/>
      <c r="BD87" s="641">
        <f t="shared" si="47"/>
        <v>7</v>
      </c>
      <c r="BE87" s="664"/>
      <c r="BJ87" s="664"/>
      <c r="BK87" s="640"/>
      <c r="BL87" s="640"/>
      <c r="BM87" s="640"/>
      <c r="BN87" s="640"/>
      <c r="BO87" s="640"/>
      <c r="BP87" s="665" t="str">
        <f>IF(BE87="","",OFFSET(Biblioteca!$G$2,MATCH(BE87,Biblioteca!$A$3:$A$200,0),)*(1.05^(10-BL87)))</f>
        <v/>
      </c>
      <c r="BQ87" s="640"/>
      <c r="BR87" s="632"/>
      <c r="BS87" s="641">
        <f t="shared" si="48"/>
        <v>8</v>
      </c>
      <c r="BT87" s="664"/>
      <c r="BY87" s="664"/>
      <c r="BZ87" s="640"/>
      <c r="CA87" s="640"/>
      <c r="CB87" s="640"/>
      <c r="CC87" s="640"/>
      <c r="CD87" s="640"/>
      <c r="CE87" s="665" t="str">
        <f>IF(BT87="","",OFFSET(Biblioteca!$G$2,MATCH(BT87,Biblioteca!$A$3:$A$200,0),)*(1.05^(10-CA87)))</f>
        <v/>
      </c>
      <c r="CF87" s="640"/>
      <c r="CG87" s="632"/>
      <c r="CH87" s="641">
        <f t="shared" si="49"/>
        <v>1</v>
      </c>
      <c r="CI87" s="619"/>
      <c r="CN87" s="620"/>
      <c r="CO87" s="618"/>
      <c r="CP87" s="618"/>
      <c r="CQ87" s="618"/>
      <c r="CR87" s="618"/>
      <c r="CS87" s="618"/>
      <c r="CT87" s="665" t="str">
        <f>IF(CI87="","",OFFSET(Biblioteca!$G$2,MATCH(CI87,Biblioteca!$A$3:$A$200,0),)*(1.05^(10-CP87)))</f>
        <v/>
      </c>
      <c r="CU87" s="640"/>
      <c r="CV87" s="579"/>
      <c r="CW87" s="608">
        <f t="shared" si="50"/>
        <v>1</v>
      </c>
      <c r="CX87" s="619"/>
      <c r="DC87" s="620"/>
      <c r="DD87" s="618"/>
      <c r="DE87" s="618"/>
      <c r="DF87" s="618"/>
      <c r="DG87" s="618"/>
      <c r="DH87" s="618"/>
      <c r="DI87" s="617" t="str">
        <f>IF(CX87="","",OFFSET(Biblioteca!$G$2,MATCH(CX87,Biblioteca!$A$3:$A$200,0),)*(1.05^(10-DE87)))</f>
        <v/>
      </c>
      <c r="DJ87" s="618"/>
      <c r="DK87" s="579"/>
    </row>
    <row r="88" ht="14.25" customHeight="1">
      <c r="A88" s="492" t="str">
        <f>"S "&amp;$AD52&amp;" - "&amp;TEXT(C62,"dd/mm")</f>
        <v>S 2 - 19/01</v>
      </c>
      <c r="B88" s="537"/>
      <c r="C88" s="669"/>
      <c r="D88" s="669"/>
      <c r="E88" s="669"/>
      <c r="F88" s="669"/>
      <c r="G88" s="669"/>
      <c r="H88" s="669"/>
      <c r="I88" s="669"/>
      <c r="J88" s="505"/>
      <c r="K88" s="608">
        <f t="shared" si="44"/>
        <v>11</v>
      </c>
      <c r="L88" s="664"/>
      <c r="Q88" s="664"/>
      <c r="R88" s="640"/>
      <c r="S88" s="640"/>
      <c r="T88" s="640"/>
      <c r="U88" s="640"/>
      <c r="V88" s="640"/>
      <c r="W88" s="665" t="str">
        <f>IF(L88="","",OFFSET(Biblioteca!$G$2,MATCH(L88,Biblioteca!$A$3:$A$200,0),)*(1.05^(10-S88)))</f>
        <v/>
      </c>
      <c r="X88" s="640"/>
      <c r="Y88" s="632"/>
      <c r="Z88" s="641">
        <f t="shared" si="45"/>
        <v>11</v>
      </c>
      <c r="AA88" s="664"/>
      <c r="AF88" s="664"/>
      <c r="AG88" s="640"/>
      <c r="AH88" s="640"/>
      <c r="AI88" s="640"/>
      <c r="AJ88" s="640"/>
      <c r="AK88" s="640"/>
      <c r="AL88" s="665" t="str">
        <f>IF(AA88="","",OFFSET(Biblioteca!$G$2,MATCH(AA88,Biblioteca!$A$3:$A$200,0),)*(1.05^(10-AH88)))</f>
        <v/>
      </c>
      <c r="AM88" s="640"/>
      <c r="AN88" s="632"/>
      <c r="AO88" s="641">
        <f t="shared" si="46"/>
        <v>1</v>
      </c>
      <c r="AP88" s="664"/>
      <c r="AU88" s="664"/>
      <c r="AV88" s="640"/>
      <c r="AW88" s="640"/>
      <c r="AX88" s="640"/>
      <c r="AY88" s="640"/>
      <c r="AZ88" s="640"/>
      <c r="BA88" s="665" t="str">
        <f>IF(AP88="","",OFFSET(Biblioteca!$G$2,MATCH(AP88,Biblioteca!$A$3:$A$200,0),)*(1.05^(10-AW88)))</f>
        <v/>
      </c>
      <c r="BB88" s="640"/>
      <c r="BC88" s="632"/>
      <c r="BD88" s="641">
        <f t="shared" si="47"/>
        <v>7</v>
      </c>
      <c r="BE88" s="664"/>
      <c r="BJ88" s="664"/>
      <c r="BK88" s="640"/>
      <c r="BL88" s="640"/>
      <c r="BM88" s="640"/>
      <c r="BN88" s="640"/>
      <c r="BO88" s="640"/>
      <c r="BP88" s="665" t="str">
        <f>IF(BE88="","",OFFSET(Biblioteca!$G$2,MATCH(BE88,Biblioteca!$A$3:$A$200,0),)*(1.05^(10-BL88)))</f>
        <v/>
      </c>
      <c r="BQ88" s="640"/>
      <c r="BR88" s="632"/>
      <c r="BS88" s="641">
        <f t="shared" si="48"/>
        <v>8</v>
      </c>
      <c r="BT88" s="664"/>
      <c r="BY88" s="664"/>
      <c r="BZ88" s="640"/>
      <c r="CA88" s="640"/>
      <c r="CB88" s="640"/>
      <c r="CC88" s="640"/>
      <c r="CD88" s="640"/>
      <c r="CE88" s="665" t="str">
        <f>IF(BT88="","",OFFSET(Biblioteca!$G$2,MATCH(BT88,Biblioteca!$A$3:$A$200,0),)*(1.05^(10-CA88)))</f>
        <v/>
      </c>
      <c r="CF88" s="640"/>
      <c r="CG88" s="632"/>
      <c r="CH88" s="641">
        <f t="shared" si="49"/>
        <v>1</v>
      </c>
      <c r="CI88" s="664"/>
      <c r="CN88" s="664"/>
      <c r="CO88" s="640"/>
      <c r="CP88" s="640"/>
      <c r="CQ88" s="640"/>
      <c r="CR88" s="640"/>
      <c r="CS88" s="640"/>
      <c r="CT88" s="665" t="str">
        <f>IF(CI88="","",OFFSET(Biblioteca!$G$2,MATCH(CI88,Biblioteca!$A$3:$A$200,0),)*(1.05^(10-CP88)))</f>
        <v/>
      </c>
      <c r="CU88" s="640"/>
      <c r="CV88" s="579"/>
      <c r="CW88" s="608">
        <f t="shared" si="50"/>
        <v>1</v>
      </c>
      <c r="CX88" s="619"/>
      <c r="DC88" s="620"/>
      <c r="DD88" s="618"/>
      <c r="DE88" s="618"/>
      <c r="DF88" s="618"/>
      <c r="DG88" s="618"/>
      <c r="DH88" s="618"/>
      <c r="DI88" s="617" t="str">
        <f>IF(CX88="","",OFFSET(Biblioteca!$G$2,MATCH(CX88,Biblioteca!$A$3:$A$200,0),)*(1.05^(10-DE88)))</f>
        <v/>
      </c>
      <c r="DJ88" s="618"/>
      <c r="DK88" s="579"/>
    </row>
    <row r="89" ht="14.25" customHeight="1">
      <c r="A89" s="492" t="str">
        <f>"S "&amp;$AD52&amp;" - "&amp;TEXT(C62,"dd/mm")</f>
        <v>S 2 - 19/01</v>
      </c>
      <c r="B89" s="537"/>
      <c r="C89" s="669"/>
      <c r="D89" s="669"/>
      <c r="E89" s="669"/>
      <c r="F89" s="669"/>
      <c r="G89" s="669"/>
      <c r="H89" s="669"/>
      <c r="I89" s="669"/>
      <c r="J89" s="505"/>
      <c r="K89" s="608">
        <f t="shared" si="44"/>
        <v>11</v>
      </c>
      <c r="L89" s="619"/>
      <c r="Q89" s="620"/>
      <c r="R89" s="618"/>
      <c r="S89" s="618"/>
      <c r="T89" s="618"/>
      <c r="U89" s="618"/>
      <c r="V89" s="618"/>
      <c r="W89" s="617" t="str">
        <f>IF(L89="","",OFFSET(Biblioteca!$G$2,MATCH(L89,Biblioteca!$A$3:$A$200,0),)*(1.05^(10-S89)))</f>
        <v/>
      </c>
      <c r="X89" s="618"/>
      <c r="Y89" s="670"/>
      <c r="Z89" s="608">
        <f t="shared" si="45"/>
        <v>11</v>
      </c>
      <c r="AA89" s="619"/>
      <c r="AF89" s="620"/>
      <c r="AG89" s="618"/>
      <c r="AH89" s="618"/>
      <c r="AI89" s="618"/>
      <c r="AJ89" s="618"/>
      <c r="AK89" s="618"/>
      <c r="AL89" s="617" t="str">
        <f>IF(AA89="","",OFFSET(Biblioteca!$G$2,MATCH(AA89,Biblioteca!$A$3:$A$200,0),)*(1.05^(10-AH89)))</f>
        <v/>
      </c>
      <c r="AM89" s="618"/>
      <c r="AN89" s="670"/>
      <c r="AO89" s="608">
        <f t="shared" si="46"/>
        <v>1</v>
      </c>
      <c r="AP89" s="619"/>
      <c r="AU89" s="620"/>
      <c r="AV89" s="618"/>
      <c r="AW89" s="618"/>
      <c r="AX89" s="618"/>
      <c r="AY89" s="618"/>
      <c r="AZ89" s="618"/>
      <c r="BA89" s="617" t="str">
        <f>IF(AP89="","",OFFSET(Biblioteca!$G$2,MATCH(AP89,Biblioteca!$A$3:$A$200,0),)*(1.05^(10-AW89)))</f>
        <v/>
      </c>
      <c r="BB89" s="618"/>
      <c r="BC89" s="670"/>
      <c r="BD89" s="608">
        <f t="shared" si="47"/>
        <v>7</v>
      </c>
      <c r="BE89" s="619"/>
      <c r="BJ89" s="620"/>
      <c r="BK89" s="618"/>
      <c r="BL89" s="618"/>
      <c r="BM89" s="618"/>
      <c r="BN89" s="618"/>
      <c r="BO89" s="618"/>
      <c r="BP89" s="617" t="str">
        <f>IF(BE89="","",OFFSET(Biblioteca!$G$2,MATCH(BE89,Biblioteca!$A$3:$A$200,0),)*(1.05^(10-BL89)))</f>
        <v/>
      </c>
      <c r="BQ89" s="618"/>
      <c r="BR89" s="670"/>
      <c r="BS89" s="608">
        <f t="shared" si="48"/>
        <v>8</v>
      </c>
      <c r="BT89" s="619"/>
      <c r="BY89" s="620"/>
      <c r="BZ89" s="618"/>
      <c r="CA89" s="618"/>
      <c r="CB89" s="618"/>
      <c r="CC89" s="618"/>
      <c r="CD89" s="618"/>
      <c r="CE89" s="617" t="str">
        <f>IF(BT89="","",OFFSET(Biblioteca!$G$2,MATCH(BT89,Biblioteca!$A$3:$A$200,0),)*(1.05^(10-CA89)))</f>
        <v/>
      </c>
      <c r="CF89" s="618"/>
      <c r="CG89" s="670"/>
      <c r="CH89" s="608">
        <f t="shared" si="49"/>
        <v>1</v>
      </c>
      <c r="CI89" s="619"/>
      <c r="CN89" s="620"/>
      <c r="CO89" s="618"/>
      <c r="CP89" s="618"/>
      <c r="CQ89" s="618"/>
      <c r="CR89" s="618"/>
      <c r="CS89" s="618"/>
      <c r="CT89" s="617" t="str">
        <f>IF(CI89="","",OFFSET(Biblioteca!$G$2,MATCH(CI89,Biblioteca!$A$3:$A$200,0),)*(1.05^(10-CP89)))</f>
        <v/>
      </c>
      <c r="CU89" s="618"/>
      <c r="CV89" s="670"/>
      <c r="CW89" s="608">
        <f t="shared" si="50"/>
        <v>1</v>
      </c>
      <c r="CX89" s="619"/>
      <c r="DC89" s="620"/>
      <c r="DD89" s="618"/>
      <c r="DE89" s="618"/>
      <c r="DF89" s="618"/>
      <c r="DG89" s="618"/>
      <c r="DH89" s="618"/>
      <c r="DI89" s="617" t="str">
        <f>IF(CX89="","",OFFSET(Biblioteca!$G$2,MATCH(CX89,Biblioteca!$A$3:$A$200,0),)*(1.05^(10-DE89)))</f>
        <v/>
      </c>
      <c r="DJ89" s="618"/>
      <c r="DK89" s="670"/>
    </row>
    <row r="90" ht="14.25" customHeight="1">
      <c r="A90" s="492" t="str">
        <f>"S "&amp;$AD52&amp;" - "&amp;TEXT(C62,"dd/mm")</f>
        <v>S 2 - 19/01</v>
      </c>
      <c r="B90" s="537"/>
      <c r="C90" s="669"/>
      <c r="D90" s="669"/>
      <c r="E90" s="669"/>
      <c r="F90" s="669"/>
      <c r="G90" s="669"/>
      <c r="H90" s="669"/>
      <c r="I90" s="669"/>
      <c r="J90" s="505"/>
      <c r="K90" s="608">
        <f t="shared" si="44"/>
        <v>11</v>
      </c>
      <c r="L90" s="619"/>
      <c r="Q90" s="620"/>
      <c r="R90" s="618"/>
      <c r="S90" s="618"/>
      <c r="T90" s="618"/>
      <c r="U90" s="618"/>
      <c r="V90" s="618"/>
      <c r="W90" s="617" t="str">
        <f>IF(L90="","",OFFSET(Biblioteca!$G$2,MATCH(L90,Biblioteca!$A$3:$A$200,0),)*(1.05^(10-S90)))</f>
        <v/>
      </c>
      <c r="X90" s="618"/>
      <c r="Y90" s="670"/>
      <c r="Z90" s="608">
        <f t="shared" si="45"/>
        <v>11</v>
      </c>
      <c r="AA90" s="619"/>
      <c r="AF90" s="620"/>
      <c r="AG90" s="618"/>
      <c r="AH90" s="618"/>
      <c r="AI90" s="618"/>
      <c r="AJ90" s="618"/>
      <c r="AK90" s="618"/>
      <c r="AL90" s="617" t="str">
        <f>IF(AA90="","",OFFSET(Biblioteca!$G$2,MATCH(AA90,Biblioteca!$A$3:$A$200,0),)*(1.05^(10-AH90)))</f>
        <v/>
      </c>
      <c r="AM90" s="618"/>
      <c r="AN90" s="670"/>
      <c r="AO90" s="608">
        <f t="shared" si="46"/>
        <v>1</v>
      </c>
      <c r="AP90" s="619"/>
      <c r="AU90" s="620"/>
      <c r="AV90" s="618"/>
      <c r="AW90" s="618"/>
      <c r="AX90" s="618"/>
      <c r="AY90" s="618"/>
      <c r="AZ90" s="618"/>
      <c r="BA90" s="617" t="str">
        <f>IF(AP90="","",OFFSET(Biblioteca!$G$2,MATCH(AP90,Biblioteca!$A$3:$A$200,0),)*(1.05^(10-AW90)))</f>
        <v/>
      </c>
      <c r="BB90" s="618"/>
      <c r="BC90" s="670"/>
      <c r="BD90" s="608">
        <f t="shared" si="47"/>
        <v>7</v>
      </c>
      <c r="BE90" s="619"/>
      <c r="BJ90" s="620"/>
      <c r="BK90" s="618"/>
      <c r="BL90" s="618"/>
      <c r="BM90" s="618"/>
      <c r="BN90" s="618"/>
      <c r="BO90" s="618"/>
      <c r="BP90" s="617" t="str">
        <f>IF(BE90="","",OFFSET(Biblioteca!$G$2,MATCH(BE90,Biblioteca!$A$3:$A$200,0),)*(1.05^(10-BL90)))</f>
        <v/>
      </c>
      <c r="BQ90" s="618"/>
      <c r="BR90" s="670"/>
      <c r="BS90" s="608">
        <f t="shared" si="48"/>
        <v>8</v>
      </c>
      <c r="BT90" s="619"/>
      <c r="BY90" s="620"/>
      <c r="BZ90" s="618"/>
      <c r="CA90" s="618"/>
      <c r="CB90" s="618"/>
      <c r="CC90" s="618"/>
      <c r="CD90" s="618"/>
      <c r="CE90" s="617" t="str">
        <f>IF(BT90="","",OFFSET(Biblioteca!$G$2,MATCH(BT90,Biblioteca!$A$3:$A$200,0),)*(1.05^(10-CA90)))</f>
        <v/>
      </c>
      <c r="CF90" s="618"/>
      <c r="CG90" s="670"/>
      <c r="CH90" s="608">
        <f t="shared" si="49"/>
        <v>1</v>
      </c>
      <c r="CI90" s="619"/>
      <c r="CN90" s="620"/>
      <c r="CO90" s="618"/>
      <c r="CP90" s="618"/>
      <c r="CQ90" s="618"/>
      <c r="CR90" s="618"/>
      <c r="CS90" s="618"/>
      <c r="CT90" s="617" t="str">
        <f>IF(CI90="","",OFFSET(Biblioteca!$G$2,MATCH(CI90,Biblioteca!$A$3:$A$200,0),)*(1.05^(10-CP90)))</f>
        <v/>
      </c>
      <c r="CU90" s="618"/>
      <c r="CV90" s="670"/>
      <c r="CW90" s="608">
        <f t="shared" si="50"/>
        <v>1</v>
      </c>
      <c r="CX90" s="619"/>
      <c r="DC90" s="620"/>
      <c r="DD90" s="618"/>
      <c r="DE90" s="618"/>
      <c r="DF90" s="618"/>
      <c r="DG90" s="618"/>
      <c r="DH90" s="618"/>
      <c r="DI90" s="617" t="str">
        <f>IF(CX90="","",OFFSET(Biblioteca!$G$2,MATCH(CX90,Biblioteca!$A$3:$A$200,0),)*(1.05^(10-DE90)))</f>
        <v/>
      </c>
      <c r="DJ90" s="618"/>
      <c r="DK90" s="670"/>
    </row>
    <row r="91" ht="14.25" customHeight="1">
      <c r="A91" s="492" t="str">
        <f>"S "&amp;$AD52&amp;" - "&amp;TEXT(C62,"dd/mm")</f>
        <v>S 2 - 19/01</v>
      </c>
      <c r="B91" s="537"/>
      <c r="C91" s="669"/>
      <c r="D91" s="669"/>
      <c r="E91" s="669"/>
      <c r="F91" s="669"/>
      <c r="G91" s="669"/>
      <c r="H91" s="669"/>
      <c r="I91" s="669"/>
      <c r="J91" s="505"/>
      <c r="K91" s="581"/>
      <c r="L91" s="581"/>
      <c r="M91" s="581"/>
      <c r="N91" s="581"/>
      <c r="O91" s="581"/>
      <c r="P91" s="627" t="s">
        <v>48</v>
      </c>
      <c r="Q91" s="627"/>
      <c r="R91" s="627"/>
      <c r="S91" s="627"/>
      <c r="T91" s="627"/>
      <c r="U91" s="627"/>
      <c r="V91" s="627"/>
      <c r="W91" s="627"/>
      <c r="X91" s="627"/>
      <c r="Y91" s="627"/>
      <c r="Z91" s="581"/>
      <c r="AA91" s="581"/>
      <c r="AB91" s="581"/>
      <c r="AC91" s="581"/>
      <c r="AD91" s="581"/>
      <c r="AE91" s="627" t="s">
        <v>48</v>
      </c>
      <c r="AF91" s="627"/>
      <c r="AG91" s="627"/>
      <c r="AH91" s="627"/>
      <c r="AI91" s="627"/>
      <c r="AJ91" s="627"/>
      <c r="AK91" s="627"/>
      <c r="AL91" s="627"/>
      <c r="AM91" s="627"/>
      <c r="AN91" s="670"/>
      <c r="AO91" s="581"/>
      <c r="AP91" s="581"/>
      <c r="AQ91" s="581"/>
      <c r="AR91" s="581"/>
      <c r="AS91" s="581"/>
      <c r="AT91" s="627" t="s">
        <v>48</v>
      </c>
      <c r="AU91" s="627"/>
      <c r="AV91" s="627"/>
      <c r="AW91" s="627"/>
      <c r="AX91" s="627"/>
      <c r="AY91" s="627"/>
      <c r="AZ91" s="627"/>
      <c r="BA91" s="627"/>
      <c r="BB91" s="627"/>
      <c r="BC91" s="671"/>
      <c r="BD91" s="581"/>
      <c r="BE91" s="581"/>
      <c r="BF91" s="581"/>
      <c r="BG91" s="581"/>
      <c r="BH91" s="581"/>
      <c r="BI91" s="627" t="s">
        <v>48</v>
      </c>
      <c r="BJ91" s="627"/>
      <c r="BK91" s="627"/>
      <c r="BL91" s="627"/>
      <c r="BM91" s="627"/>
      <c r="BN91" s="627"/>
      <c r="BO91" s="627"/>
      <c r="BP91" s="627"/>
      <c r="BQ91" s="627"/>
      <c r="BR91" s="671"/>
      <c r="BS91" s="581"/>
      <c r="BT91" s="581"/>
      <c r="BU91" s="581"/>
      <c r="BV91" s="581"/>
      <c r="BW91" s="581"/>
      <c r="BX91" s="627" t="s">
        <v>48</v>
      </c>
      <c r="BY91" s="627"/>
      <c r="BZ91" s="627"/>
      <c r="CA91" s="627"/>
      <c r="CB91" s="627"/>
      <c r="CC91" s="627"/>
      <c r="CD91" s="627"/>
      <c r="CE91" s="627"/>
      <c r="CF91" s="627"/>
      <c r="CG91" s="671"/>
      <c r="CH91" s="581"/>
      <c r="CI91" s="581"/>
      <c r="CJ91" s="581"/>
      <c r="CK91" s="581"/>
      <c r="CL91" s="581"/>
      <c r="CM91" s="627" t="s">
        <v>48</v>
      </c>
      <c r="CN91" s="627"/>
      <c r="CO91" s="627"/>
      <c r="CP91" s="627"/>
      <c r="CQ91" s="627"/>
      <c r="CR91" s="627"/>
      <c r="CS91" s="627"/>
      <c r="CT91" s="627"/>
      <c r="CU91" s="627"/>
      <c r="CV91" s="671"/>
      <c r="CW91" s="581"/>
      <c r="CX91" s="581"/>
      <c r="CY91" s="581"/>
      <c r="CZ91" s="581"/>
      <c r="DA91" s="581"/>
      <c r="DB91" s="627" t="s">
        <v>48</v>
      </c>
      <c r="DC91" s="627"/>
      <c r="DD91" s="627"/>
      <c r="DE91" s="627"/>
      <c r="DF91" s="627"/>
      <c r="DG91" s="627"/>
      <c r="DH91" s="627"/>
      <c r="DI91" s="627"/>
      <c r="DJ91" s="627"/>
      <c r="DK91" s="670"/>
    </row>
    <row r="92" ht="14.25" customHeight="1">
      <c r="A92" s="492" t="str">
        <f>"S "&amp;$AD52&amp;" - "&amp;TEXT(C62,"dd/mm")</f>
        <v>S 2 - 19/01</v>
      </c>
      <c r="B92" s="537"/>
      <c r="C92" s="672"/>
      <c r="D92" s="672"/>
      <c r="E92" s="672"/>
      <c r="F92" s="672"/>
      <c r="G92" s="672"/>
      <c r="H92" s="672"/>
      <c r="I92" s="672"/>
      <c r="J92" s="505"/>
      <c r="K92" s="608">
        <v>1.0</v>
      </c>
      <c r="L92" s="619"/>
      <c r="Q92" s="620"/>
      <c r="R92" s="618"/>
      <c r="S92" s="618"/>
      <c r="T92" s="618"/>
      <c r="U92" s="618"/>
      <c r="V92" s="618"/>
      <c r="W92" s="617" t="str">
        <f>IF(L92="","",OFFSET(Biblioteca!$G$2,MATCH(L92,Biblioteca!$A$3:$A$200,0),)*(1.05^(10-S92)))</f>
        <v/>
      </c>
      <c r="X92" s="618"/>
      <c r="Y92" s="670"/>
      <c r="Z92" s="608">
        <v>1.0</v>
      </c>
      <c r="AA92" s="619"/>
      <c r="AF92" s="620"/>
      <c r="AG92" s="618"/>
      <c r="AH92" s="618"/>
      <c r="AI92" s="618"/>
      <c r="AJ92" s="618"/>
      <c r="AK92" s="618"/>
      <c r="AL92" s="617" t="str">
        <f>IF(AA92="","",OFFSET(Biblioteca!$G$2,MATCH(AA92,Biblioteca!$A$3:$A$200,0),)*(1.05^(10-AH92)))</f>
        <v/>
      </c>
      <c r="AM92" s="618"/>
      <c r="AN92" s="670"/>
      <c r="AO92" s="608">
        <v>1.0</v>
      </c>
      <c r="AP92" s="619"/>
      <c r="AU92" s="620"/>
      <c r="AV92" s="618"/>
      <c r="AW92" s="618"/>
      <c r="AX92" s="618"/>
      <c r="AY92" s="618"/>
      <c r="AZ92" s="618"/>
      <c r="BA92" s="617" t="str">
        <f>IF(AP92="","",OFFSET(Biblioteca!$G$2,MATCH(AP92,Biblioteca!$A$3:$A$200,0),)*(1.05^(10-AW92)))</f>
        <v/>
      </c>
      <c r="BB92" s="618"/>
      <c r="BC92" s="670"/>
      <c r="BD92" s="608">
        <v>1.0</v>
      </c>
      <c r="BE92" s="619"/>
      <c r="BJ92" s="620"/>
      <c r="BK92" s="618"/>
      <c r="BL92" s="618"/>
      <c r="BM92" s="618"/>
      <c r="BN92" s="618"/>
      <c r="BO92" s="618"/>
      <c r="BP92" s="617" t="str">
        <f>IF(BE92="","",OFFSET(Biblioteca!$G$2,MATCH(BE92,Biblioteca!$A$3:$A$200,0),)*(1.05^(10-BL92)))</f>
        <v/>
      </c>
      <c r="BQ92" s="618"/>
      <c r="BR92" s="670"/>
      <c r="BS92" s="608">
        <v>1.0</v>
      </c>
      <c r="BT92" s="619"/>
      <c r="BY92" s="620"/>
      <c r="BZ92" s="618"/>
      <c r="CA92" s="618"/>
      <c r="CB92" s="618"/>
      <c r="CC92" s="618"/>
      <c r="CD92" s="618"/>
      <c r="CE92" s="617" t="str">
        <f>IF(BT92="","",OFFSET(Biblioteca!$G$2,MATCH(BT92,Biblioteca!$A$3:$A$200,0),)*(1.05^(10-CA92)))</f>
        <v/>
      </c>
      <c r="CF92" s="618"/>
      <c r="CG92" s="670"/>
      <c r="CH92" s="608">
        <v>1.0</v>
      </c>
      <c r="CI92" s="619"/>
      <c r="CN92" s="620"/>
      <c r="CO92" s="618"/>
      <c r="CP92" s="618"/>
      <c r="CQ92" s="618"/>
      <c r="CR92" s="618"/>
      <c r="CS92" s="618"/>
      <c r="CT92" s="617" t="str">
        <f>IF(CI92="","",OFFSET(Biblioteca!$G$2,MATCH(CI92,Biblioteca!$A$3:$A$200,0),)*(1.05^(10-CP92)))</f>
        <v/>
      </c>
      <c r="CU92" s="618"/>
      <c r="CV92" s="670"/>
      <c r="CW92" s="608">
        <v>1.0</v>
      </c>
      <c r="CX92" s="619"/>
      <c r="DC92" s="620"/>
      <c r="DD92" s="618"/>
      <c r="DE92" s="618"/>
      <c r="DF92" s="618"/>
      <c r="DG92" s="618"/>
      <c r="DH92" s="618"/>
      <c r="DI92" s="617" t="str">
        <f>IF(CX92="","",OFFSET(Biblioteca!$G$2,MATCH(CX92,Biblioteca!$A$3:$A$200,0),)*(1.05^(10-DE92)))</f>
        <v/>
      </c>
      <c r="DJ92" s="618"/>
      <c r="DK92" s="670"/>
    </row>
    <row r="93" ht="14.25" customHeight="1">
      <c r="A93" s="492" t="str">
        <f>"S "&amp;$AD52&amp;" - "&amp;TEXT(C62,"dd/mm")</f>
        <v>S 2 - 19/01</v>
      </c>
      <c r="B93" s="673">
        <f>MAX(C93:I93)</f>
        <v>6</v>
      </c>
      <c r="C93" s="674">
        <f>IF(C64=0,0,1)</f>
        <v>1</v>
      </c>
      <c r="D93" s="674">
        <f>IF(D64=0,0,C93+1)</f>
        <v>2</v>
      </c>
      <c r="E93" s="674">
        <f>IF(E64=0,0,MAX(C93:D93)+1)</f>
        <v>3</v>
      </c>
      <c r="F93" s="674">
        <f>IF(F64=0,0,MAX(C93:E93)+1)</f>
        <v>4</v>
      </c>
      <c r="G93" s="674">
        <f>IF(G64=0,0,MAX(C93:F93)+1)</f>
        <v>5</v>
      </c>
      <c r="H93" s="674">
        <f>IF(H64=0,0,MAX(C93:G93)+1)</f>
        <v>6</v>
      </c>
      <c r="I93" s="674">
        <f>IF(I64=0,0,MAX(C93:H93)+1)</f>
        <v>0</v>
      </c>
      <c r="J93" s="505"/>
      <c r="K93" s="608">
        <f t="shared" ref="K93:K94" si="55">IF(T92="",K92,K92+1)</f>
        <v>1</v>
      </c>
      <c r="L93" s="619"/>
      <c r="Q93" s="620"/>
      <c r="R93" s="618"/>
      <c r="S93" s="618"/>
      <c r="T93" s="618"/>
      <c r="U93" s="618"/>
      <c r="V93" s="618"/>
      <c r="W93" s="617" t="str">
        <f>IF(L93="","",OFFSET(Biblioteca!$G$2,MATCH(L93,Biblioteca!$A$3:$A$200,0),)*(1.05^(10-S93)))</f>
        <v/>
      </c>
      <c r="X93" s="618"/>
      <c r="Y93" s="670"/>
      <c r="Z93" s="608">
        <f t="shared" ref="Z93:Z94" si="56">IF(AI92="",Z92,Z92+1)</f>
        <v>1</v>
      </c>
      <c r="AA93" s="619"/>
      <c r="AF93" s="620"/>
      <c r="AG93" s="618"/>
      <c r="AH93" s="618"/>
      <c r="AI93" s="618"/>
      <c r="AJ93" s="618"/>
      <c r="AK93" s="618"/>
      <c r="AL93" s="617" t="str">
        <f>IF(AA93="","",OFFSET(Biblioteca!$G$2,MATCH(AA93,Biblioteca!$A$3:$A$200,0),)*(1.05^(10-AH93)))</f>
        <v/>
      </c>
      <c r="AM93" s="618"/>
      <c r="AN93" s="670"/>
      <c r="AO93" s="608">
        <f t="shared" ref="AO93:AO94" si="57">IF(AX92="",AO92,AO92+1)</f>
        <v>1</v>
      </c>
      <c r="AP93" s="619"/>
      <c r="AU93" s="620"/>
      <c r="AV93" s="618"/>
      <c r="AW93" s="618"/>
      <c r="AX93" s="618"/>
      <c r="AY93" s="618"/>
      <c r="AZ93" s="618"/>
      <c r="BA93" s="617" t="str">
        <f>IF(AP93="","",OFFSET(Biblioteca!$G$2,MATCH(AP93,Biblioteca!$A$3:$A$200,0),)*(1.05^(10-AW93)))</f>
        <v/>
      </c>
      <c r="BB93" s="618"/>
      <c r="BC93" s="670"/>
      <c r="BD93" s="608">
        <f t="shared" ref="BD93:BD94" si="58">IF(BM92="",BD92,BD92+1)</f>
        <v>1</v>
      </c>
      <c r="BE93" s="619"/>
      <c r="BJ93" s="620"/>
      <c r="BK93" s="618"/>
      <c r="BL93" s="618"/>
      <c r="BM93" s="618"/>
      <c r="BN93" s="618"/>
      <c r="BO93" s="618"/>
      <c r="BP93" s="617" t="str">
        <f>IF(BE93="","",OFFSET(Biblioteca!$G$2,MATCH(BE93,Biblioteca!$A$3:$A$200,0),)*(1.05^(10-BL93)))</f>
        <v/>
      </c>
      <c r="BQ93" s="618"/>
      <c r="BR93" s="670"/>
      <c r="BS93" s="608">
        <f t="shared" ref="BS93:BS94" si="59">IF(CB92="",BS92,BS92+1)</f>
        <v>1</v>
      </c>
      <c r="BT93" s="619"/>
      <c r="BY93" s="620"/>
      <c r="BZ93" s="618"/>
      <c r="CA93" s="618"/>
      <c r="CB93" s="618"/>
      <c r="CC93" s="618"/>
      <c r="CD93" s="618"/>
      <c r="CE93" s="617" t="str">
        <f>IF(BT93="","",OFFSET(Biblioteca!$G$2,MATCH(BT93,Biblioteca!$A$3:$A$200,0),)*(1.05^(10-CA93)))</f>
        <v/>
      </c>
      <c r="CF93" s="618"/>
      <c r="CG93" s="670"/>
      <c r="CH93" s="608">
        <f t="shared" ref="CH93:CH94" si="60">IF(CQ92="",CH92,CH92+1)</f>
        <v>1</v>
      </c>
      <c r="CI93" s="619"/>
      <c r="CN93" s="620"/>
      <c r="CO93" s="618"/>
      <c r="CP93" s="618"/>
      <c r="CQ93" s="618"/>
      <c r="CR93" s="618"/>
      <c r="CS93" s="618"/>
      <c r="CT93" s="617" t="str">
        <f>IF(CI93="","",OFFSET(Biblioteca!$G$2,MATCH(CI93,Biblioteca!$A$3:$A$200,0),)*(1.05^(10-CP93)))</f>
        <v/>
      </c>
      <c r="CU93" s="618"/>
      <c r="CV93" s="670"/>
      <c r="CW93" s="608">
        <f t="shared" ref="CW93:CW94" si="61">IF(DF92="",CW92,CW92+1)</f>
        <v>1</v>
      </c>
      <c r="CX93" s="619"/>
      <c r="DC93" s="620"/>
      <c r="DD93" s="618"/>
      <c r="DE93" s="618"/>
      <c r="DF93" s="618"/>
      <c r="DG93" s="618"/>
      <c r="DH93" s="618"/>
      <c r="DI93" s="617" t="str">
        <f>IF(CX93="","",OFFSET(Biblioteca!$G$2,MATCH(CX93,Biblioteca!$A$3:$A$200,0),)*(1.05^(10-DE93)))</f>
        <v/>
      </c>
      <c r="DJ93" s="618"/>
      <c r="DK93" s="670"/>
    </row>
    <row r="94" ht="14.25" customHeight="1">
      <c r="A94" s="492" t="str">
        <f>"S "&amp;$AD52&amp;" - "&amp;TEXT(C62,"dd/mm")</f>
        <v>S 2 - 19/01</v>
      </c>
      <c r="B94" s="673"/>
      <c r="C94" s="675">
        <f t="shared" ref="C94:I94" si="54">C62</f>
        <v>46041</v>
      </c>
      <c r="D94" s="675">
        <f t="shared" si="54"/>
        <v>46042</v>
      </c>
      <c r="E94" s="675">
        <f t="shared" si="54"/>
        <v>46043</v>
      </c>
      <c r="F94" s="675">
        <f t="shared" si="54"/>
        <v>46044</v>
      </c>
      <c r="G94" s="675">
        <f t="shared" si="54"/>
        <v>46045</v>
      </c>
      <c r="H94" s="675">
        <f t="shared" si="54"/>
        <v>46046</v>
      </c>
      <c r="I94" s="675">
        <f t="shared" si="54"/>
        <v>46047</v>
      </c>
      <c r="J94" s="505"/>
      <c r="K94" s="608">
        <f t="shared" si="55"/>
        <v>1</v>
      </c>
      <c r="L94" s="619"/>
      <c r="Q94" s="620"/>
      <c r="R94" s="618"/>
      <c r="S94" s="618"/>
      <c r="T94" s="618"/>
      <c r="U94" s="618"/>
      <c r="V94" s="618"/>
      <c r="W94" s="617" t="str">
        <f>IF(L94="","",OFFSET(Biblioteca!$G$2,MATCH(L94,Biblioteca!$A$3:$A$200,0),)*(1.05^(10-S94)))</f>
        <v/>
      </c>
      <c r="X94" s="618"/>
      <c r="Y94" s="670"/>
      <c r="Z94" s="608">
        <f t="shared" si="56"/>
        <v>1</v>
      </c>
      <c r="AA94" s="619"/>
      <c r="AF94" s="620"/>
      <c r="AG94" s="618"/>
      <c r="AH94" s="618"/>
      <c r="AI94" s="618"/>
      <c r="AJ94" s="618"/>
      <c r="AK94" s="618"/>
      <c r="AL94" s="617" t="str">
        <f>IF(AA94="","",OFFSET(Biblioteca!$G$2,MATCH(AA94,Biblioteca!$A$3:$A$200,0),)*(1.05^(10-AH94)))</f>
        <v/>
      </c>
      <c r="AM94" s="618"/>
      <c r="AN94" s="670"/>
      <c r="AO94" s="608">
        <f t="shared" si="57"/>
        <v>1</v>
      </c>
      <c r="AP94" s="619"/>
      <c r="AU94" s="620"/>
      <c r="AV94" s="618"/>
      <c r="AW94" s="618"/>
      <c r="AX94" s="618"/>
      <c r="AY94" s="618"/>
      <c r="AZ94" s="618"/>
      <c r="BA94" s="617" t="str">
        <f>IF(AP94="","",OFFSET(Biblioteca!$G$2,MATCH(AP94,Biblioteca!$A$3:$A$200,0),)*(1.05^(10-AW94)))</f>
        <v/>
      </c>
      <c r="BB94" s="618"/>
      <c r="BC94" s="670"/>
      <c r="BD94" s="608">
        <f t="shared" si="58"/>
        <v>1</v>
      </c>
      <c r="BE94" s="619"/>
      <c r="BJ94" s="620"/>
      <c r="BK94" s="618"/>
      <c r="BL94" s="618"/>
      <c r="BM94" s="618"/>
      <c r="BN94" s="618"/>
      <c r="BO94" s="618"/>
      <c r="BP94" s="617" t="str">
        <f>IF(BE94="","",OFFSET(Biblioteca!$G$2,MATCH(BE94,Biblioteca!$A$3:$A$200,0),)*(1.05^(10-BL94)))</f>
        <v/>
      </c>
      <c r="BQ94" s="618"/>
      <c r="BR94" s="670"/>
      <c r="BS94" s="608">
        <f t="shared" si="59"/>
        <v>1</v>
      </c>
      <c r="BT94" s="619"/>
      <c r="BY94" s="620"/>
      <c r="BZ94" s="618"/>
      <c r="CA94" s="618"/>
      <c r="CB94" s="618"/>
      <c r="CC94" s="618"/>
      <c r="CD94" s="618"/>
      <c r="CE94" s="617" t="str">
        <f>IF(BT94="","",OFFSET(Biblioteca!$G$2,MATCH(BT94,Biblioteca!$A$3:$A$200,0),)*(1.05^(10-CA94)))</f>
        <v/>
      </c>
      <c r="CF94" s="618"/>
      <c r="CG94" s="670"/>
      <c r="CH94" s="608">
        <f t="shared" si="60"/>
        <v>1</v>
      </c>
      <c r="CI94" s="619"/>
      <c r="CN94" s="620"/>
      <c r="CO94" s="618"/>
      <c r="CP94" s="618"/>
      <c r="CQ94" s="618"/>
      <c r="CR94" s="618"/>
      <c r="CS94" s="618"/>
      <c r="CT94" s="617" t="str">
        <f>IF(CI94="","",OFFSET(Biblioteca!$G$2,MATCH(CI94,Biblioteca!$A$3:$A$200,0),)*(1.05^(10-CP94)))</f>
        <v/>
      </c>
      <c r="CU94" s="618"/>
      <c r="CV94" s="670"/>
      <c r="CW94" s="608">
        <f t="shared" si="61"/>
        <v>1</v>
      </c>
      <c r="CX94" s="619"/>
      <c r="DC94" s="620"/>
      <c r="DD94" s="618"/>
      <c r="DE94" s="618"/>
      <c r="DF94" s="618"/>
      <c r="DG94" s="618"/>
      <c r="DH94" s="618"/>
      <c r="DI94" s="617" t="str">
        <f>IF(CX94="","",OFFSET(Biblioteca!$G$2,MATCH(CX94,Biblioteca!$A$3:$A$200,0),)*(1.05^(10-DE94)))</f>
        <v/>
      </c>
      <c r="DJ94" s="618"/>
      <c r="DK94" s="670"/>
    </row>
    <row r="95" ht="14.25" customHeight="1">
      <c r="A95" s="492" t="str">
        <f>"S "&amp;$AD52&amp;" - "&amp;TEXT(C62,"dd/mm")</f>
        <v>S 2 - 19/01</v>
      </c>
      <c r="B95" s="673"/>
      <c r="C95" s="676">
        <f>OFFSET($B94,0,MATCH(1,$C93:$I93,0))</f>
        <v>46041</v>
      </c>
      <c r="D95" s="676">
        <f>OFFSET($B94,0,MATCH(2,$C93:$I93,0))</f>
        <v>46042</v>
      </c>
      <c r="E95" s="676">
        <f>OFFSET($B94,0,MATCH(3,$C93:$I93,0))</f>
        <v>46043</v>
      </c>
      <c r="F95" s="676">
        <f>OFFSET($B94,0,MATCH(4,$C93:$I93,0))</f>
        <v>46044</v>
      </c>
      <c r="G95" s="676">
        <f>OFFSET($B94,0,MATCH(5,$C93:$I93,0))</f>
        <v>46045</v>
      </c>
      <c r="H95" s="676">
        <f>OFFSET($B94,0,MATCH(6,$C93:$I93,0))</f>
        <v>46046</v>
      </c>
      <c r="I95" s="672" t="str">
        <f>OFFSET($B94,0,MATCH(7,$C93:$I93,0))</f>
        <v>#N/A</v>
      </c>
      <c r="J95" s="505"/>
      <c r="K95" s="581"/>
      <c r="L95" s="582"/>
      <c r="M95" s="582"/>
      <c r="N95" s="582"/>
      <c r="O95" s="582"/>
      <c r="P95" s="582" t="s">
        <v>174</v>
      </c>
      <c r="Q95" s="582"/>
      <c r="R95" s="582"/>
      <c r="S95" s="582"/>
      <c r="T95" s="582"/>
      <c r="U95" s="582"/>
      <c r="V95" s="582"/>
      <c r="W95" s="582"/>
      <c r="X95" s="582"/>
      <c r="Y95" s="670"/>
      <c r="Z95" s="581"/>
      <c r="AA95" s="582"/>
      <c r="AB95" s="582"/>
      <c r="AC95" s="582"/>
      <c r="AD95" s="582"/>
      <c r="AE95" s="582" t="s">
        <v>174</v>
      </c>
      <c r="AF95" s="582"/>
      <c r="AG95" s="582"/>
      <c r="AH95" s="582"/>
      <c r="AI95" s="582"/>
      <c r="AJ95" s="582"/>
      <c r="AK95" s="582"/>
      <c r="AL95" s="582"/>
      <c r="AM95" s="582"/>
      <c r="AN95" s="670"/>
      <c r="AO95" s="581"/>
      <c r="AP95" s="582"/>
      <c r="AQ95" s="582"/>
      <c r="AR95" s="582"/>
      <c r="AS95" s="582"/>
      <c r="AT95" s="582" t="s">
        <v>174</v>
      </c>
      <c r="AU95" s="582"/>
      <c r="AV95" s="582"/>
      <c r="AW95" s="582"/>
      <c r="AX95" s="582"/>
      <c r="AY95" s="582"/>
      <c r="AZ95" s="582"/>
      <c r="BA95" s="582"/>
      <c r="BB95" s="582"/>
      <c r="BC95" s="671"/>
      <c r="BD95" s="581"/>
      <c r="BE95" s="582"/>
      <c r="BF95" s="582"/>
      <c r="BG95" s="582"/>
      <c r="BH95" s="582"/>
      <c r="BI95" s="582" t="s">
        <v>174</v>
      </c>
      <c r="BJ95" s="582"/>
      <c r="BK95" s="582"/>
      <c r="BL95" s="582"/>
      <c r="BM95" s="582"/>
      <c r="BN95" s="582"/>
      <c r="BO95" s="582"/>
      <c r="BP95" s="582"/>
      <c r="BQ95" s="582"/>
      <c r="BR95" s="671"/>
      <c r="BS95" s="581"/>
      <c r="BT95" s="582"/>
      <c r="BU95" s="582"/>
      <c r="BV95" s="582"/>
      <c r="BW95" s="582"/>
      <c r="BX95" s="582" t="s">
        <v>174</v>
      </c>
      <c r="BY95" s="582"/>
      <c r="BZ95" s="582"/>
      <c r="CA95" s="582"/>
      <c r="CB95" s="582"/>
      <c r="CC95" s="582"/>
      <c r="CD95" s="582"/>
      <c r="CE95" s="582"/>
      <c r="CF95" s="582"/>
      <c r="CG95" s="671"/>
      <c r="CH95" s="581"/>
      <c r="CI95" s="582"/>
      <c r="CJ95" s="582"/>
      <c r="CK95" s="582"/>
      <c r="CL95" s="582"/>
      <c r="CM95" s="582" t="s">
        <v>174</v>
      </c>
      <c r="CN95" s="582"/>
      <c r="CO95" s="582"/>
      <c r="CP95" s="582"/>
      <c r="CQ95" s="582"/>
      <c r="CR95" s="582"/>
      <c r="CS95" s="582"/>
      <c r="CT95" s="582"/>
      <c r="CU95" s="582"/>
      <c r="CV95" s="671"/>
      <c r="CW95" s="581"/>
      <c r="CX95" s="582"/>
      <c r="CY95" s="582"/>
      <c r="CZ95" s="582"/>
      <c r="DA95" s="582"/>
      <c r="DB95" s="582" t="s">
        <v>174</v>
      </c>
      <c r="DC95" s="582"/>
      <c r="DD95" s="582"/>
      <c r="DE95" s="582"/>
      <c r="DF95" s="582"/>
      <c r="DG95" s="582"/>
      <c r="DH95" s="582"/>
      <c r="DI95" s="582"/>
      <c r="DJ95" s="582"/>
      <c r="DK95" s="670"/>
    </row>
    <row r="96" ht="14.25" customHeight="1">
      <c r="A96" s="492" t="str">
        <f>"S "&amp;$AD52&amp;" - "&amp;TEXT(C62,"dd/mm")</f>
        <v>S 2 - 19/01</v>
      </c>
      <c r="B96" s="666" t="s">
        <v>267</v>
      </c>
      <c r="C96" s="672">
        <f t="shared" ref="C96:I96" si="62">(C73/60)*C72*C71</f>
        <v>15</v>
      </c>
      <c r="D96" s="672">
        <f t="shared" si="62"/>
        <v>15</v>
      </c>
      <c r="E96" s="672">
        <f t="shared" si="62"/>
        <v>0</v>
      </c>
      <c r="F96" s="672">
        <f t="shared" si="62"/>
        <v>0</v>
      </c>
      <c r="G96" s="672">
        <f t="shared" si="62"/>
        <v>10</v>
      </c>
      <c r="H96" s="672">
        <f t="shared" si="62"/>
        <v>0</v>
      </c>
      <c r="I96" s="672">
        <f t="shared" si="62"/>
        <v>0</v>
      </c>
      <c r="J96" s="505"/>
      <c r="K96" s="498"/>
      <c r="T96" s="677" t="s">
        <v>311</v>
      </c>
      <c r="X96" s="678"/>
      <c r="Y96" s="670"/>
      <c r="Z96" s="498"/>
      <c r="AI96" s="677" t="s">
        <v>311</v>
      </c>
      <c r="AM96" s="678"/>
      <c r="AN96" s="670"/>
      <c r="AO96" s="498"/>
      <c r="AX96" s="677" t="s">
        <v>311</v>
      </c>
      <c r="BB96" s="678"/>
      <c r="BC96" s="670"/>
      <c r="BD96" s="498"/>
      <c r="BM96" s="677" t="s">
        <v>311</v>
      </c>
      <c r="BQ96" s="678"/>
      <c r="BR96" s="670"/>
      <c r="BS96" s="498"/>
      <c r="CB96" s="677" t="s">
        <v>311</v>
      </c>
      <c r="CF96" s="678"/>
      <c r="CG96" s="670"/>
      <c r="CH96" s="498"/>
      <c r="CQ96" s="677" t="s">
        <v>311</v>
      </c>
      <c r="CU96" s="678"/>
      <c r="CV96" s="670"/>
      <c r="CW96" s="498"/>
      <c r="DF96" s="677" t="s">
        <v>311</v>
      </c>
      <c r="DJ96" s="678"/>
      <c r="DK96" s="670"/>
    </row>
    <row r="97" ht="14.25" customHeight="1">
      <c r="A97" s="492" t="str">
        <f>"S "&amp;$AD52&amp;" - "&amp;TEXT(C62,"dd/mm")</f>
        <v>S 2 - 19/01</v>
      </c>
      <c r="B97" s="666" t="s">
        <v>272</v>
      </c>
      <c r="C97" s="672">
        <f t="shared" ref="C97:I97" si="63">(C74/60)*C72*C71</f>
        <v>0</v>
      </c>
      <c r="D97" s="672">
        <f t="shared" si="63"/>
        <v>0</v>
      </c>
      <c r="E97" s="672">
        <f t="shared" si="63"/>
        <v>0</v>
      </c>
      <c r="F97" s="672">
        <f t="shared" si="63"/>
        <v>0</v>
      </c>
      <c r="G97" s="672">
        <f t="shared" si="63"/>
        <v>0</v>
      </c>
      <c r="H97" s="672">
        <f t="shared" si="63"/>
        <v>0</v>
      </c>
      <c r="I97" s="672">
        <f t="shared" si="63"/>
        <v>0</v>
      </c>
      <c r="J97" s="505"/>
      <c r="K97" s="498"/>
      <c r="Y97" s="670"/>
      <c r="Z97" s="498"/>
      <c r="AN97" s="670"/>
      <c r="AO97" s="498"/>
      <c r="BC97" s="670"/>
      <c r="BD97" s="498"/>
      <c r="BR97" s="670"/>
      <c r="BS97" s="498"/>
      <c r="CG97" s="670"/>
      <c r="CH97" s="498"/>
      <c r="CV97" s="670"/>
      <c r="CW97" s="498"/>
      <c r="DK97" s="670"/>
    </row>
    <row r="98" ht="14.25" customHeight="1">
      <c r="A98" s="492" t="str">
        <f>"S "&amp;$AD52&amp;" - "&amp;TEXT(C62,"dd/mm")</f>
        <v>S 2 - 19/01</v>
      </c>
      <c r="B98" s="537"/>
      <c r="C98" s="672"/>
      <c r="D98" s="672"/>
      <c r="E98" s="672"/>
      <c r="F98" s="672"/>
      <c r="G98" s="672"/>
      <c r="H98" s="672"/>
      <c r="I98" s="672"/>
      <c r="J98" s="505"/>
      <c r="K98" s="498"/>
      <c r="Y98" s="670"/>
      <c r="Z98" s="498"/>
      <c r="AN98" s="670"/>
      <c r="AO98" s="498"/>
      <c r="BC98" s="670"/>
      <c r="BD98" s="498"/>
      <c r="BR98" s="670"/>
      <c r="BS98" s="498"/>
      <c r="CG98" s="670"/>
      <c r="CH98" s="498"/>
      <c r="CV98" s="670"/>
      <c r="CW98" s="498"/>
      <c r="DK98" s="670"/>
    </row>
    <row r="99" ht="14.25" customHeight="1">
      <c r="A99" s="492" t="str">
        <f>"S "&amp;$AD52&amp;" - "&amp;TEXT(C62,"dd/mm")</f>
        <v>S 2 - 19/01</v>
      </c>
      <c r="B99" s="537"/>
      <c r="C99" s="498"/>
      <c r="D99" s="498"/>
      <c r="E99" s="498"/>
      <c r="F99" s="498"/>
      <c r="G99" s="498"/>
      <c r="H99" s="498"/>
      <c r="I99" s="498"/>
      <c r="J99" s="505"/>
      <c r="K99" s="498"/>
      <c r="Y99" s="670"/>
      <c r="Z99" s="498"/>
      <c r="AN99" s="670"/>
      <c r="AO99" s="498"/>
      <c r="BC99" s="670"/>
      <c r="BD99" s="498"/>
      <c r="BR99" s="670"/>
      <c r="BS99" s="498"/>
      <c r="CG99" s="670"/>
      <c r="CH99" s="498"/>
      <c r="CV99" s="670"/>
      <c r="CW99" s="498"/>
      <c r="DK99" s="670"/>
    </row>
    <row r="100" ht="14.25" customHeight="1">
      <c r="A100" s="492" t="str">
        <f>"S "&amp;$AD52&amp;" - "&amp;TEXT(C62,"dd/mm")</f>
        <v>S 2 - 19/01</v>
      </c>
      <c r="B100" s="537"/>
      <c r="C100" s="498"/>
      <c r="D100" s="498"/>
      <c r="E100" s="498"/>
      <c r="F100" s="498"/>
      <c r="G100" s="498"/>
      <c r="H100" s="498"/>
      <c r="I100" s="498"/>
      <c r="J100" s="679"/>
      <c r="K100" s="498"/>
      <c r="Y100" s="670"/>
      <c r="Z100" s="498"/>
      <c r="AN100" s="670"/>
      <c r="AO100" s="498"/>
      <c r="BC100" s="670"/>
      <c r="BD100" s="498"/>
      <c r="BR100" s="670"/>
      <c r="BS100" s="498"/>
      <c r="CG100" s="670"/>
      <c r="CH100" s="498"/>
      <c r="CV100" s="670"/>
      <c r="CW100" s="498"/>
      <c r="DK100" s="670"/>
    </row>
    <row r="101" ht="14.25" customHeight="1">
      <c r="A101" s="680" t="str">
        <f>"S "&amp;$F$2&amp;" - "&amp;TEXT($C$12,"dd/mm")</f>
        <v>S 29 - 12/01</v>
      </c>
      <c r="B101" s="681"/>
      <c r="C101" s="682"/>
      <c r="D101" s="681"/>
      <c r="E101" s="681"/>
      <c r="F101" s="682"/>
      <c r="G101" s="681"/>
      <c r="H101" s="681"/>
      <c r="I101" s="681"/>
      <c r="J101" s="683"/>
      <c r="K101" s="681"/>
      <c r="L101" s="681"/>
      <c r="M101" s="681"/>
      <c r="N101" s="681"/>
      <c r="O101" s="681"/>
      <c r="P101" s="681"/>
      <c r="Q101" s="684"/>
      <c r="R101" s="685"/>
      <c r="S101" s="685"/>
      <c r="T101" s="685"/>
      <c r="U101" s="685"/>
      <c r="V101" s="685"/>
      <c r="W101" s="685"/>
      <c r="X101" s="684"/>
      <c r="Y101" s="686"/>
      <c r="Z101" s="686"/>
      <c r="AA101" s="671"/>
      <c r="AB101" s="671"/>
      <c r="AC101" s="671"/>
      <c r="AD101" s="671"/>
      <c r="AE101" s="686"/>
      <c r="AF101" s="671"/>
      <c r="AG101" s="671"/>
      <c r="AH101" s="671"/>
      <c r="AI101" s="671"/>
      <c r="AJ101" s="671"/>
      <c r="AK101" s="671"/>
      <c r="AL101" s="686"/>
      <c r="AM101" s="687"/>
      <c r="AN101" s="686"/>
      <c r="AO101" s="686"/>
      <c r="AP101" s="671"/>
      <c r="AQ101" s="671"/>
      <c r="AR101" s="671"/>
      <c r="AS101" s="671"/>
      <c r="AT101" s="686"/>
      <c r="AU101" s="671"/>
      <c r="AV101" s="671"/>
      <c r="AW101" s="671"/>
      <c r="AX101" s="671"/>
      <c r="AY101" s="671"/>
      <c r="AZ101" s="686"/>
      <c r="BA101" s="686"/>
      <c r="BB101" s="687"/>
      <c r="BC101" s="686"/>
      <c r="BD101" s="686"/>
      <c r="BE101" s="671"/>
      <c r="BF101" s="671"/>
      <c r="BG101" s="671"/>
      <c r="BH101" s="671"/>
      <c r="BI101" s="686"/>
      <c r="BJ101" s="671"/>
      <c r="BK101" s="671"/>
      <c r="BL101" s="671"/>
      <c r="BM101" s="671"/>
      <c r="BN101" s="671"/>
      <c r="BO101" s="686"/>
      <c r="BP101" s="686"/>
      <c r="BQ101" s="687"/>
      <c r="BR101" s="686"/>
      <c r="BS101" s="686"/>
      <c r="BT101" s="671"/>
      <c r="BU101" s="671"/>
      <c r="BV101" s="671"/>
      <c r="BW101" s="671"/>
      <c r="BX101" s="686"/>
      <c r="BY101" s="671"/>
      <c r="BZ101" s="671"/>
      <c r="CA101" s="671"/>
      <c r="CB101" s="671"/>
      <c r="CC101" s="671"/>
      <c r="CD101" s="686"/>
      <c r="CE101" s="686"/>
      <c r="CF101" s="687"/>
      <c r="CG101" s="686"/>
      <c r="CH101" s="686"/>
      <c r="CI101" s="671"/>
      <c r="CJ101" s="671"/>
      <c r="CK101" s="671"/>
      <c r="CL101" s="671"/>
      <c r="CM101" s="686"/>
      <c r="CN101" s="671"/>
      <c r="CO101" s="671"/>
      <c r="CP101" s="671"/>
      <c r="CQ101" s="671"/>
      <c r="CR101" s="671"/>
      <c r="CS101" s="686"/>
      <c r="CT101" s="686"/>
      <c r="CU101" s="687"/>
      <c r="CV101" s="686"/>
      <c r="CW101" s="686"/>
      <c r="CX101" s="671"/>
      <c r="CY101" s="671"/>
      <c r="CZ101" s="671"/>
      <c r="DA101" s="671"/>
      <c r="DB101" s="686"/>
      <c r="DC101" s="671"/>
      <c r="DD101" s="671"/>
      <c r="DE101" s="671"/>
      <c r="DF101" s="671"/>
      <c r="DG101" s="671"/>
      <c r="DH101" s="686"/>
      <c r="DI101" s="686"/>
      <c r="DJ101" s="687"/>
      <c r="DK101" s="686"/>
    </row>
    <row r="102" ht="14.25" customHeight="1">
      <c r="A102" s="492" t="str">
        <f>"S "&amp;$AD102&amp;" - "&amp;TEXT(C112,"dd/mm")</f>
        <v>S 3 - 26/01</v>
      </c>
      <c r="B102" s="493" t="s">
        <v>5</v>
      </c>
      <c r="C102" s="503">
        <f>OFFSET('Periodização Macrociclo'!$D$37,0,MATCH(F102,'Periodização Macrociclo'!$E$5:$BN$5,0))</f>
        <v>8</v>
      </c>
      <c r="D102" s="493" t="s">
        <v>6</v>
      </c>
      <c r="E102" s="168"/>
      <c r="F102" s="504">
        <f>F52+1</f>
        <v>31</v>
      </c>
      <c r="G102" s="493" t="s">
        <v>180</v>
      </c>
      <c r="H102" s="168"/>
      <c r="I102" s="494">
        <f>COUNT(C115:I115)</f>
        <v>4</v>
      </c>
      <c r="J102" s="505"/>
      <c r="K102" s="494" t="str">
        <f>B102</f>
        <v>Meso </v>
      </c>
      <c r="L102" s="168"/>
      <c r="M102" s="506">
        <f t="shared" ref="M102:N102" si="64">C102</f>
        <v>8</v>
      </c>
      <c r="N102" s="493" t="str">
        <f t="shared" si="64"/>
        <v>Micro</v>
      </c>
      <c r="O102" s="168"/>
      <c r="P102" s="168"/>
      <c r="Q102" s="507">
        <f>F102</f>
        <v>31</v>
      </c>
      <c r="R102" s="496" t="s">
        <v>181</v>
      </c>
      <c r="S102" s="168"/>
      <c r="T102" s="168"/>
      <c r="U102" s="168"/>
      <c r="V102" s="168"/>
      <c r="W102" s="168"/>
      <c r="X102" s="508">
        <f>SUM(IF(V110&gt;0,1,0),IF(AK110&gt;0,1,0),IF(AZ110&gt;0,1,0),IF(BO110&gt;0,1,0),IF(CD110&gt;0,1,0),IF(CS110&gt;0,1,0),IF(DH110&gt;0,1,0))</f>
        <v>6</v>
      </c>
      <c r="Y102" s="498"/>
      <c r="Z102" s="498"/>
      <c r="AA102" s="509"/>
      <c r="AB102" s="513" t="s">
        <v>0</v>
      </c>
      <c r="AC102" s="61"/>
      <c r="AD102" s="511">
        <f>AD52+1</f>
        <v>3</v>
      </c>
      <c r="AE102" s="498"/>
      <c r="AF102" s="512" t="s">
        <v>182</v>
      </c>
      <c r="AG102" s="60"/>
      <c r="AH102" s="60"/>
      <c r="AI102" s="60"/>
      <c r="AJ102" s="60"/>
      <c r="AK102" s="61"/>
      <c r="AL102" s="498"/>
      <c r="AM102" s="501"/>
      <c r="AN102" s="498"/>
      <c r="AO102" s="498"/>
      <c r="AP102" s="509"/>
      <c r="AQ102" s="513" t="s">
        <v>0</v>
      </c>
      <c r="AR102" s="61"/>
      <c r="AS102" s="511">
        <f>$AD102</f>
        <v>3</v>
      </c>
      <c r="AT102" s="498"/>
      <c r="AU102" s="512" t="s">
        <v>182</v>
      </c>
      <c r="AV102" s="60"/>
      <c r="AW102" s="60"/>
      <c r="AX102" s="60"/>
      <c r="AY102" s="60"/>
      <c r="AZ102" s="61"/>
      <c r="BA102" s="498"/>
      <c r="BB102" s="501"/>
      <c r="BC102" s="498"/>
      <c r="BD102" s="498"/>
      <c r="BE102" s="509"/>
      <c r="BF102" s="513" t="s">
        <v>0</v>
      </c>
      <c r="BG102" s="61"/>
      <c r="BH102" s="511">
        <f>$AD102</f>
        <v>3</v>
      </c>
      <c r="BI102" s="498"/>
      <c r="BJ102" s="512" t="s">
        <v>182</v>
      </c>
      <c r="BK102" s="60"/>
      <c r="BL102" s="60"/>
      <c r="BM102" s="60"/>
      <c r="BN102" s="60"/>
      <c r="BO102" s="61"/>
      <c r="BP102" s="498"/>
      <c r="BQ102" s="501"/>
      <c r="BR102" s="498"/>
      <c r="BS102" s="498"/>
      <c r="BT102" s="509"/>
      <c r="BU102" s="513" t="s">
        <v>0</v>
      </c>
      <c r="BV102" s="61"/>
      <c r="BW102" s="511">
        <f>$AD102</f>
        <v>3</v>
      </c>
      <c r="BX102" s="498"/>
      <c r="BY102" s="512" t="s">
        <v>182</v>
      </c>
      <c r="BZ102" s="60"/>
      <c r="CA102" s="60"/>
      <c r="CB102" s="60"/>
      <c r="CC102" s="60"/>
      <c r="CD102" s="61"/>
      <c r="CE102" s="498"/>
      <c r="CF102" s="501"/>
      <c r="CG102" s="498"/>
      <c r="CH102" s="498"/>
      <c r="CI102" s="509"/>
      <c r="CJ102" s="513" t="s">
        <v>0</v>
      </c>
      <c r="CK102" s="61"/>
      <c r="CL102" s="511">
        <f>$AD102</f>
        <v>3</v>
      </c>
      <c r="CM102" s="498"/>
      <c r="CN102" s="512" t="s">
        <v>182</v>
      </c>
      <c r="CO102" s="60"/>
      <c r="CP102" s="60"/>
      <c r="CQ102" s="60"/>
      <c r="CR102" s="60"/>
      <c r="CS102" s="61"/>
      <c r="CT102" s="498"/>
      <c r="CU102" s="501"/>
      <c r="CV102" s="498"/>
      <c r="CW102" s="498"/>
      <c r="CX102" s="509"/>
      <c r="CY102" s="513" t="s">
        <v>0</v>
      </c>
      <c r="CZ102" s="61"/>
      <c r="DA102" s="511">
        <f>$AD102</f>
        <v>3</v>
      </c>
      <c r="DB102" s="498"/>
      <c r="DC102" s="512" t="s">
        <v>182</v>
      </c>
      <c r="DD102" s="60"/>
      <c r="DE102" s="60"/>
      <c r="DF102" s="60"/>
      <c r="DG102" s="60"/>
      <c r="DH102" s="61"/>
      <c r="DI102" s="498"/>
      <c r="DJ102" s="501"/>
      <c r="DK102" s="498"/>
    </row>
    <row r="103" ht="14.25" customHeight="1">
      <c r="A103" s="492" t="str">
        <f>"S "&amp;$AD102&amp;" - "&amp;TEXT(C112,"dd/mm")</f>
        <v>S 3 - 26/01</v>
      </c>
      <c r="B103" s="514" t="s">
        <v>183</v>
      </c>
      <c r="J103" s="505"/>
      <c r="K103" s="515" t="s">
        <v>184</v>
      </c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70"/>
      <c r="Y103" s="498"/>
      <c r="Z103" s="498"/>
      <c r="AA103" s="509"/>
      <c r="AB103" s="509"/>
      <c r="AC103" s="509"/>
      <c r="AD103" s="509"/>
      <c r="AE103" s="498"/>
      <c r="AF103" s="516" t="s">
        <v>185</v>
      </c>
      <c r="AG103" s="516">
        <f>$C114</f>
        <v>60</v>
      </c>
      <c r="AH103" s="517" t="s">
        <v>186</v>
      </c>
      <c r="AI103" s="61"/>
      <c r="AJ103" s="517">
        <f>$H114</f>
        <v>14</v>
      </c>
      <c r="AK103" s="61"/>
      <c r="AL103" s="498"/>
      <c r="AM103" s="501"/>
      <c r="AN103" s="498"/>
      <c r="AO103" s="498"/>
      <c r="AP103" s="509"/>
      <c r="AQ103" s="513" t="s">
        <v>187</v>
      </c>
      <c r="AR103" s="61"/>
      <c r="AS103" s="511" t="b">
        <v>1</v>
      </c>
      <c r="AT103" s="498"/>
      <c r="AU103" s="516" t="s">
        <v>185</v>
      </c>
      <c r="AV103" s="516">
        <f>$C114</f>
        <v>60</v>
      </c>
      <c r="AW103" s="517" t="s">
        <v>186</v>
      </c>
      <c r="AX103" s="61"/>
      <c r="AY103" s="517">
        <f>$H114</f>
        <v>14</v>
      </c>
      <c r="AZ103" s="61"/>
      <c r="BA103" s="498"/>
      <c r="BB103" s="501"/>
      <c r="BC103" s="498"/>
      <c r="BD103" s="498"/>
      <c r="BE103" s="509"/>
      <c r="BF103" s="509"/>
      <c r="BG103" s="509"/>
      <c r="BH103" s="509"/>
      <c r="BI103" s="498"/>
      <c r="BJ103" s="516" t="s">
        <v>185</v>
      </c>
      <c r="BK103" s="516">
        <f>$C114</f>
        <v>60</v>
      </c>
      <c r="BL103" s="517" t="s">
        <v>186</v>
      </c>
      <c r="BM103" s="61"/>
      <c r="BN103" s="517">
        <f>$H114</f>
        <v>14</v>
      </c>
      <c r="BO103" s="61"/>
      <c r="BP103" s="498"/>
      <c r="BQ103" s="501"/>
      <c r="BR103" s="498"/>
      <c r="BS103" s="498"/>
      <c r="BT103" s="509"/>
      <c r="BU103" s="509"/>
      <c r="BV103" s="509"/>
      <c r="BW103" s="509"/>
      <c r="BX103" s="498"/>
      <c r="BY103" s="516" t="s">
        <v>185</v>
      </c>
      <c r="BZ103" s="516">
        <f>$C114</f>
        <v>60</v>
      </c>
      <c r="CA103" s="517" t="s">
        <v>186</v>
      </c>
      <c r="CB103" s="61"/>
      <c r="CC103" s="517">
        <f>$H114</f>
        <v>14</v>
      </c>
      <c r="CD103" s="61"/>
      <c r="CE103" s="498"/>
      <c r="CF103" s="501"/>
      <c r="CG103" s="498"/>
      <c r="CH103" s="498"/>
      <c r="CI103" s="509"/>
      <c r="CJ103" s="509"/>
      <c r="CK103" s="509"/>
      <c r="CL103" s="509"/>
      <c r="CM103" s="498"/>
      <c r="CN103" s="516" t="s">
        <v>185</v>
      </c>
      <c r="CO103" s="516">
        <f>$C114</f>
        <v>60</v>
      </c>
      <c r="CP103" s="517" t="s">
        <v>186</v>
      </c>
      <c r="CQ103" s="61"/>
      <c r="CR103" s="517">
        <f>$H114</f>
        <v>14</v>
      </c>
      <c r="CS103" s="61"/>
      <c r="CT103" s="498"/>
      <c r="CU103" s="501"/>
      <c r="CV103" s="498"/>
      <c r="CW103" s="498"/>
      <c r="CX103" s="509"/>
      <c r="CY103" s="509"/>
      <c r="CZ103" s="509"/>
      <c r="DA103" s="509"/>
      <c r="DB103" s="498"/>
      <c r="DC103" s="516" t="s">
        <v>185</v>
      </c>
      <c r="DD103" s="516">
        <f>$C114</f>
        <v>60</v>
      </c>
      <c r="DE103" s="517" t="s">
        <v>186</v>
      </c>
      <c r="DF103" s="61"/>
      <c r="DG103" s="517">
        <f>$H114</f>
        <v>14</v>
      </c>
      <c r="DH103" s="61"/>
      <c r="DI103" s="498"/>
      <c r="DJ103" s="501"/>
      <c r="DK103" s="498"/>
    </row>
    <row r="104" ht="14.25" customHeight="1">
      <c r="A104" s="492" t="str">
        <f>"S "&amp;$AD102&amp;" - "&amp;TEXT(C112,"dd/mm")</f>
        <v>S 3 - 26/01</v>
      </c>
      <c r="B104" s="518" t="s">
        <v>188</v>
      </c>
      <c r="C104" s="519"/>
      <c r="D104" s="520">
        <f>HLOOKUP(F102,'Periodização Macrociclo'!$E$5:$BN$19,15,FALSE)</f>
        <v>0</v>
      </c>
      <c r="E104" s="521" t="s">
        <v>189</v>
      </c>
      <c r="F104" s="522"/>
      <c r="G104" s="519"/>
      <c r="H104" s="698">
        <f>HLOOKUP(F102,'Periodização Macrociclo'!$E$5:$BN$20,16,FALSE)</f>
        <v>0</v>
      </c>
      <c r="I104" s="524">
        <f>MATCH(F102,'Periodização Macrociclo'!$E$5:$BP$5,0)</f>
        <v>38</v>
      </c>
      <c r="J104" s="505"/>
      <c r="K104" s="525" t="s">
        <v>139</v>
      </c>
      <c r="L104" s="240"/>
      <c r="M104" s="526" t="str">
        <f>OFFSET('Periodização Macrociclo'!$D$10,0,$I104)</f>
        <v/>
      </c>
      <c r="N104" s="527" t="s">
        <v>190</v>
      </c>
      <c r="O104" s="528">
        <f>OFFSET('Periodização Macrociclo'!$D$12,0,$I104)</f>
        <v>30</v>
      </c>
      <c r="P104" s="529" t="s">
        <v>143</v>
      </c>
      <c r="Q104" s="530"/>
      <c r="R104" s="531" t="str">
        <f>OFFSET('Periodização Macrociclo'!$D$14,0,$I104)</f>
        <v/>
      </c>
      <c r="S104" s="532" t="s">
        <v>191</v>
      </c>
      <c r="T104" s="239"/>
      <c r="U104" s="239"/>
      <c r="V104" s="239"/>
      <c r="W104" s="240"/>
      <c r="X104" s="533" t="str">
        <f>OFFSET('Periodização Macrociclo'!$D$16,0,$I104)</f>
        <v/>
      </c>
      <c r="Y104" s="498"/>
      <c r="Z104" s="498"/>
      <c r="AA104" s="509"/>
      <c r="AB104" s="509"/>
      <c r="AC104" s="509"/>
      <c r="AD104" s="509"/>
      <c r="AE104" s="498"/>
      <c r="AF104" s="516" t="s">
        <v>192</v>
      </c>
      <c r="AG104" s="516">
        <f>$D114</f>
        <v>59</v>
      </c>
      <c r="AH104" s="517" t="s">
        <v>193</v>
      </c>
      <c r="AI104" s="61"/>
      <c r="AJ104" s="517">
        <f>$I114</f>
        <v>0</v>
      </c>
      <c r="AK104" s="61"/>
      <c r="AL104" s="498"/>
      <c r="AM104" s="501"/>
      <c r="AN104" s="498"/>
      <c r="AO104" s="498"/>
      <c r="AP104" s="509"/>
      <c r="AQ104" s="509"/>
      <c r="AR104" s="509"/>
      <c r="AS104" s="509"/>
      <c r="AT104" s="498"/>
      <c r="AU104" s="516" t="s">
        <v>192</v>
      </c>
      <c r="AV104" s="516">
        <f>$D114</f>
        <v>59</v>
      </c>
      <c r="AW104" s="517" t="s">
        <v>193</v>
      </c>
      <c r="AX104" s="61"/>
      <c r="AY104" s="517">
        <f>$I114</f>
        <v>0</v>
      </c>
      <c r="AZ104" s="61"/>
      <c r="BA104" s="498"/>
      <c r="BB104" s="501"/>
      <c r="BC104" s="498"/>
      <c r="BD104" s="498"/>
      <c r="BE104" s="509"/>
      <c r="BF104" s="509"/>
      <c r="BG104" s="509"/>
      <c r="BH104" s="509"/>
      <c r="BI104" s="498"/>
      <c r="BJ104" s="516" t="s">
        <v>192</v>
      </c>
      <c r="BK104" s="516">
        <f>$D114</f>
        <v>59</v>
      </c>
      <c r="BL104" s="517" t="s">
        <v>193</v>
      </c>
      <c r="BM104" s="61"/>
      <c r="BN104" s="517">
        <f>$I114</f>
        <v>0</v>
      </c>
      <c r="BO104" s="61"/>
      <c r="BP104" s="498"/>
      <c r="BQ104" s="501"/>
      <c r="BR104" s="498"/>
      <c r="BS104" s="498"/>
      <c r="BT104" s="509"/>
      <c r="BU104" s="509"/>
      <c r="BV104" s="509"/>
      <c r="BW104" s="509"/>
      <c r="BX104" s="498"/>
      <c r="BY104" s="516" t="s">
        <v>192</v>
      </c>
      <c r="BZ104" s="516">
        <f>$D114</f>
        <v>59</v>
      </c>
      <c r="CA104" s="517" t="s">
        <v>193</v>
      </c>
      <c r="CB104" s="61"/>
      <c r="CC104" s="517">
        <f>$I114</f>
        <v>0</v>
      </c>
      <c r="CD104" s="61"/>
      <c r="CE104" s="498"/>
      <c r="CF104" s="501"/>
      <c r="CG104" s="498"/>
      <c r="CH104" s="498"/>
      <c r="CI104" s="509"/>
      <c r="CJ104" s="509"/>
      <c r="CK104" s="509"/>
      <c r="CL104" s="509"/>
      <c r="CM104" s="498"/>
      <c r="CN104" s="516" t="s">
        <v>192</v>
      </c>
      <c r="CO104" s="516">
        <f>$D114</f>
        <v>59</v>
      </c>
      <c r="CP104" s="517" t="s">
        <v>193</v>
      </c>
      <c r="CQ104" s="61"/>
      <c r="CR104" s="517">
        <f>$I114</f>
        <v>0</v>
      </c>
      <c r="CS104" s="61"/>
      <c r="CT104" s="498"/>
      <c r="CU104" s="501"/>
      <c r="CV104" s="498"/>
      <c r="CW104" s="498"/>
      <c r="CX104" s="509"/>
      <c r="CY104" s="509"/>
      <c r="CZ104" s="509"/>
      <c r="DA104" s="509"/>
      <c r="DB104" s="498"/>
      <c r="DC104" s="516" t="s">
        <v>192</v>
      </c>
      <c r="DD104" s="516">
        <f>$D114</f>
        <v>59</v>
      </c>
      <c r="DE104" s="517" t="s">
        <v>193</v>
      </c>
      <c r="DF104" s="61"/>
      <c r="DG104" s="517">
        <f>$I114</f>
        <v>0</v>
      </c>
      <c r="DH104" s="61"/>
      <c r="DI104" s="498"/>
      <c r="DJ104" s="501"/>
      <c r="DK104" s="498"/>
    </row>
    <row r="105" ht="14.25" customHeight="1">
      <c r="A105" s="492" t="str">
        <f>"S "&amp;$AD102&amp;" - "&amp;TEXT(C112,"dd/mm")</f>
        <v>S 3 - 26/01</v>
      </c>
      <c r="B105" s="534" t="s">
        <v>194</v>
      </c>
      <c r="C105" s="535" t="s">
        <v>195</v>
      </c>
      <c r="D105" s="535" t="s">
        <v>196</v>
      </c>
      <c r="E105" s="535" t="s">
        <v>197</v>
      </c>
      <c r="F105" s="535" t="s">
        <v>198</v>
      </c>
      <c r="G105" s="535" t="s">
        <v>199</v>
      </c>
      <c r="H105" s="536" t="s">
        <v>200</v>
      </c>
      <c r="I105" s="537"/>
      <c r="J105" s="505"/>
      <c r="K105" s="538" t="s">
        <v>140</v>
      </c>
      <c r="L105" s="61"/>
      <c r="M105" s="539" t="str">
        <f>OFFSET('Periodização Macrociclo'!$D$11,0,$I104)</f>
        <v/>
      </c>
      <c r="N105" s="540" t="s">
        <v>142</v>
      </c>
      <c r="O105" s="541">
        <f>OFFSET('Periodização Macrociclo'!$D$13,0,$I104)</f>
        <v>2</v>
      </c>
      <c r="P105" s="542" t="s">
        <v>15</v>
      </c>
      <c r="Q105" s="543"/>
      <c r="R105" s="544" t="str">
        <f>OFFSET('Periodização Macrociclo'!$D$15,0,$I104)</f>
        <v/>
      </c>
      <c r="S105" s="545" t="s">
        <v>201</v>
      </c>
      <c r="T105" s="60"/>
      <c r="U105" s="60"/>
      <c r="V105" s="60"/>
      <c r="W105" s="61"/>
      <c r="X105" s="533">
        <f>SUM(IF(V110&gt;0,1,0),IF(AK110&gt;0,1,0),IF(AZ110&gt;0,1,0),IF(BO110&gt;0,1,0),IF(CD110&gt;0,1,0),IF(CS110&gt;0,1,0),IF(DH110&gt;0,1,0))</f>
        <v>6</v>
      </c>
      <c r="Y105" s="537"/>
      <c r="Z105" s="498"/>
      <c r="AA105" s="509"/>
      <c r="AB105" s="509"/>
      <c r="AC105" s="509"/>
      <c r="AD105" s="509"/>
      <c r="AE105" s="498"/>
      <c r="AF105" s="516" t="s">
        <v>202</v>
      </c>
      <c r="AG105" s="546">
        <f>$E114</f>
        <v>14</v>
      </c>
      <c r="AH105" s="517" t="s">
        <v>200</v>
      </c>
      <c r="AI105" s="61"/>
      <c r="AJ105" s="547">
        <f>SUM($AG102:$AG106,$AJ102:$AJ103)</f>
        <v>232</v>
      </c>
      <c r="AK105" s="61"/>
      <c r="AL105" s="537"/>
      <c r="AM105" s="548"/>
      <c r="AN105" s="537"/>
      <c r="AO105" s="498"/>
      <c r="AP105" s="509"/>
      <c r="AQ105" s="509"/>
      <c r="AR105" s="509"/>
      <c r="AS105" s="509"/>
      <c r="AT105" s="498"/>
      <c r="AU105" s="516" t="s">
        <v>202</v>
      </c>
      <c r="AV105" s="546">
        <f>$E114</f>
        <v>14</v>
      </c>
      <c r="AW105" s="517" t="s">
        <v>200</v>
      </c>
      <c r="AX105" s="61"/>
      <c r="AY105" s="547">
        <f>SUM($AG102:$AG106,$AJ102:$AJ103)</f>
        <v>232</v>
      </c>
      <c r="AZ105" s="61"/>
      <c r="BA105" s="537"/>
      <c r="BB105" s="548"/>
      <c r="BC105" s="537"/>
      <c r="BD105" s="498"/>
      <c r="BE105" s="509"/>
      <c r="BF105" s="509"/>
      <c r="BG105" s="509"/>
      <c r="BH105" s="509"/>
      <c r="BI105" s="498"/>
      <c r="BJ105" s="516" t="s">
        <v>202</v>
      </c>
      <c r="BK105" s="546">
        <f>$E114</f>
        <v>14</v>
      </c>
      <c r="BL105" s="517" t="s">
        <v>200</v>
      </c>
      <c r="BM105" s="61"/>
      <c r="BN105" s="547">
        <f>SUM($AG102:$AG106,$AJ102:$AJ103)</f>
        <v>232</v>
      </c>
      <c r="BO105" s="61"/>
      <c r="BP105" s="537"/>
      <c r="BQ105" s="548"/>
      <c r="BR105" s="537"/>
      <c r="BS105" s="498"/>
      <c r="BT105" s="509"/>
      <c r="BU105" s="509"/>
      <c r="BV105" s="509"/>
      <c r="BW105" s="509"/>
      <c r="BX105" s="498"/>
      <c r="BY105" s="516" t="s">
        <v>202</v>
      </c>
      <c r="BZ105" s="546">
        <f>$E114</f>
        <v>14</v>
      </c>
      <c r="CA105" s="517" t="s">
        <v>200</v>
      </c>
      <c r="CB105" s="61"/>
      <c r="CC105" s="547">
        <f>SUM($AG102:$AG106,$AJ102:$AJ103)</f>
        <v>232</v>
      </c>
      <c r="CD105" s="61"/>
      <c r="CE105" s="537"/>
      <c r="CF105" s="548"/>
      <c r="CG105" s="537"/>
      <c r="CH105" s="498"/>
      <c r="CI105" s="509"/>
      <c r="CJ105" s="509"/>
      <c r="CK105" s="509"/>
      <c r="CL105" s="509"/>
      <c r="CM105" s="498"/>
      <c r="CN105" s="516" t="s">
        <v>202</v>
      </c>
      <c r="CO105" s="546">
        <f>$E114</f>
        <v>14</v>
      </c>
      <c r="CP105" s="517" t="s">
        <v>200</v>
      </c>
      <c r="CQ105" s="61"/>
      <c r="CR105" s="547">
        <f>SUM($AG102:$AG106,$AJ102:$AJ103)</f>
        <v>232</v>
      </c>
      <c r="CS105" s="61"/>
      <c r="CT105" s="537"/>
      <c r="CU105" s="548"/>
      <c r="CV105" s="537"/>
      <c r="CW105" s="498"/>
      <c r="CX105" s="509"/>
      <c r="CY105" s="509"/>
      <c r="CZ105" s="509"/>
      <c r="DA105" s="509"/>
      <c r="DB105" s="498"/>
      <c r="DC105" s="516" t="s">
        <v>202</v>
      </c>
      <c r="DD105" s="546">
        <f>$E114</f>
        <v>14</v>
      </c>
      <c r="DE105" s="517" t="s">
        <v>200</v>
      </c>
      <c r="DF105" s="61"/>
      <c r="DG105" s="547">
        <f>SUM($AG102:$AG106,$AJ102:$AJ103)</f>
        <v>232</v>
      </c>
      <c r="DH105" s="61"/>
      <c r="DI105" s="537"/>
      <c r="DJ105" s="548"/>
      <c r="DK105" s="537"/>
    </row>
    <row r="106" ht="14.25" customHeight="1">
      <c r="A106" s="492" t="str">
        <f>"S "&amp;$AD102&amp;" - "&amp;TEXT(C112,"dd/mm")</f>
        <v>S 3 - 26/01</v>
      </c>
      <c r="B106" s="549" t="s">
        <v>203</v>
      </c>
      <c r="C106" s="550">
        <f>OFFSET('Periodização Macrociclo'!$D$21,0,$I104)</f>
        <v>25</v>
      </c>
      <c r="D106" s="550">
        <f>OFFSET('Periodização Macrociclo'!$D$22,0,$I104)</f>
        <v>40</v>
      </c>
      <c r="E106" s="550">
        <f>OFFSET('Periodização Macrociclo'!$D$23,0,$I104)</f>
        <v>20</v>
      </c>
      <c r="F106" s="550">
        <f>OFFSET('Periodização Macrociclo'!$D$24,0,$I104)</f>
        <v>10</v>
      </c>
      <c r="G106" s="550">
        <f>OFFSET('Periodização Macrociclo'!$D$25,0,$I104)</f>
        <v>5</v>
      </c>
      <c r="H106" s="551">
        <f>SUM(C106:G106)</f>
        <v>100</v>
      </c>
      <c r="I106" s="498"/>
      <c r="J106" s="505"/>
      <c r="K106" s="552" t="s">
        <v>151</v>
      </c>
      <c r="L106" s="553"/>
      <c r="M106" s="554" t="str">
        <f>OFFSET('Periodização Macrociclo'!$D$18,0,$I104)</f>
        <v/>
      </c>
      <c r="N106" s="472"/>
      <c r="O106" s="553"/>
      <c r="P106" s="555" t="s">
        <v>170</v>
      </c>
      <c r="Q106" s="556"/>
      <c r="R106" s="557" t="str">
        <f>OFFSET('Periodização Macrociclo'!$D$7,0,$I104)</f>
        <v>ORD</v>
      </c>
      <c r="S106" s="558" t="s">
        <v>150</v>
      </c>
      <c r="T106" s="472"/>
      <c r="U106" s="472"/>
      <c r="V106" s="472"/>
      <c r="W106" s="553"/>
      <c r="X106" s="559" t="str">
        <f>OFFSET('Periodização Macrociclo'!$D$17,0,$I104)</f>
        <v/>
      </c>
      <c r="Y106" s="498"/>
      <c r="Z106" s="498"/>
      <c r="AA106" s="509"/>
      <c r="AB106" s="509"/>
      <c r="AC106" s="509"/>
      <c r="AD106" s="509"/>
      <c r="AE106" s="537"/>
      <c r="AF106" s="560" t="s">
        <v>204</v>
      </c>
      <c r="AG106" s="560">
        <f>$F114</f>
        <v>85</v>
      </c>
      <c r="AH106" s="537"/>
      <c r="AL106" s="498"/>
      <c r="AM106" s="501"/>
      <c r="AN106" s="498"/>
      <c r="AO106" s="498"/>
      <c r="AP106" s="509"/>
      <c r="AQ106" s="509"/>
      <c r="AR106" s="509"/>
      <c r="AS106" s="509"/>
      <c r="AT106" s="537"/>
      <c r="AU106" s="560" t="s">
        <v>204</v>
      </c>
      <c r="AV106" s="560">
        <f>$F114</f>
        <v>85</v>
      </c>
      <c r="AW106" s="537"/>
      <c r="BA106" s="498"/>
      <c r="BB106" s="501"/>
      <c r="BC106" s="498"/>
      <c r="BD106" s="498"/>
      <c r="BE106" s="509"/>
      <c r="BF106" s="509"/>
      <c r="BG106" s="509"/>
      <c r="BH106" s="509"/>
      <c r="BI106" s="537"/>
      <c r="BJ106" s="560" t="s">
        <v>204</v>
      </c>
      <c r="BK106" s="560">
        <f>$F114</f>
        <v>85</v>
      </c>
      <c r="BL106" s="537"/>
      <c r="BP106" s="498"/>
      <c r="BQ106" s="501"/>
      <c r="BR106" s="498"/>
      <c r="BS106" s="498"/>
      <c r="BT106" s="509"/>
      <c r="BU106" s="509"/>
      <c r="BV106" s="509"/>
      <c r="BW106" s="509"/>
      <c r="BX106" s="537"/>
      <c r="BY106" s="560" t="s">
        <v>204</v>
      </c>
      <c r="BZ106" s="560">
        <f>$F114</f>
        <v>85</v>
      </c>
      <c r="CA106" s="537"/>
      <c r="CE106" s="498"/>
      <c r="CF106" s="501"/>
      <c r="CG106" s="498"/>
      <c r="CH106" s="498"/>
      <c r="CI106" s="509"/>
      <c r="CJ106" s="509"/>
      <c r="CK106" s="509"/>
      <c r="CL106" s="509"/>
      <c r="CM106" s="537"/>
      <c r="CN106" s="560" t="s">
        <v>204</v>
      </c>
      <c r="CO106" s="560">
        <f>$F114</f>
        <v>85</v>
      </c>
      <c r="CP106" s="537"/>
      <c r="CT106" s="498"/>
      <c r="CU106" s="501"/>
      <c r="CV106" s="498"/>
      <c r="CW106" s="498"/>
      <c r="CX106" s="509"/>
      <c r="CY106" s="509"/>
      <c r="CZ106" s="509"/>
      <c r="DA106" s="509"/>
      <c r="DB106" s="537"/>
      <c r="DC106" s="560" t="s">
        <v>204</v>
      </c>
      <c r="DD106" s="560">
        <f>$F114</f>
        <v>85</v>
      </c>
      <c r="DE106" s="537"/>
      <c r="DI106" s="498"/>
      <c r="DJ106" s="501"/>
      <c r="DK106" s="498"/>
    </row>
    <row r="107" ht="14.25" customHeight="1">
      <c r="A107" s="492" t="str">
        <f>"S "&amp;$AD102&amp;" - "&amp;TEXT(C112,"dd/mm")</f>
        <v>S 3 - 26/01</v>
      </c>
      <c r="B107" s="561" t="s">
        <v>205</v>
      </c>
      <c r="C107" s="562">
        <f>D104*(C106/100)</f>
        <v>0</v>
      </c>
      <c r="D107" s="562">
        <f>D104*(D106/100)</f>
        <v>0</v>
      </c>
      <c r="E107" s="562">
        <f>D104*(E106/100)</f>
        <v>0</v>
      </c>
      <c r="F107" s="550">
        <f>D104*(F106/200)</f>
        <v>0</v>
      </c>
      <c r="G107" s="699">
        <f>D104*(G106/200)</f>
        <v>0</v>
      </c>
      <c r="H107" s="563">
        <f t="shared" ref="H107:H109" si="65">SUM(C107:E107,F107*2,G107*2)</f>
        <v>0</v>
      </c>
      <c r="I107" s="498"/>
      <c r="J107" s="505"/>
      <c r="K107" s="498"/>
      <c r="L107" s="498"/>
      <c r="M107" s="498"/>
      <c r="N107" s="498"/>
      <c r="O107" s="499"/>
      <c r="P107" s="499"/>
      <c r="Q107" s="499"/>
      <c r="R107" s="498"/>
      <c r="S107" s="498"/>
      <c r="T107" s="499"/>
      <c r="U107" s="499"/>
      <c r="V107" s="499"/>
      <c r="W107" s="498"/>
      <c r="X107" s="501"/>
      <c r="Y107" s="498"/>
      <c r="Z107" s="498"/>
      <c r="AA107" s="509"/>
      <c r="AB107" s="509"/>
      <c r="AC107" s="509"/>
      <c r="AD107" s="509"/>
      <c r="AE107" s="498"/>
      <c r="AF107" s="516" t="s">
        <v>206</v>
      </c>
      <c r="AG107" s="546">
        <f>$G114</f>
        <v>52</v>
      </c>
      <c r="AL107" s="498"/>
      <c r="AM107" s="501"/>
      <c r="AN107" s="498"/>
      <c r="AO107" s="498"/>
      <c r="AP107" s="509"/>
      <c r="AQ107" s="509"/>
      <c r="AR107" s="509"/>
      <c r="AS107" s="509"/>
      <c r="AT107" s="498"/>
      <c r="AU107" s="516" t="s">
        <v>206</v>
      </c>
      <c r="AV107" s="546">
        <f>$G114</f>
        <v>52</v>
      </c>
      <c r="BA107" s="498"/>
      <c r="BB107" s="501"/>
      <c r="BC107" s="498"/>
      <c r="BD107" s="498"/>
      <c r="BE107" s="509"/>
      <c r="BF107" s="509"/>
      <c r="BG107" s="509"/>
      <c r="BH107" s="509"/>
      <c r="BI107" s="498"/>
      <c r="BJ107" s="516" t="s">
        <v>206</v>
      </c>
      <c r="BK107" s="546">
        <f>$G114</f>
        <v>52</v>
      </c>
      <c r="BP107" s="498"/>
      <c r="BQ107" s="501"/>
      <c r="BR107" s="498"/>
      <c r="BS107" s="498"/>
      <c r="BT107" s="509"/>
      <c r="BU107" s="509"/>
      <c r="BV107" s="509"/>
      <c r="BW107" s="509"/>
      <c r="BX107" s="498"/>
      <c r="BY107" s="516" t="s">
        <v>206</v>
      </c>
      <c r="BZ107" s="546">
        <f>$G114</f>
        <v>52</v>
      </c>
      <c r="CE107" s="498"/>
      <c r="CF107" s="501"/>
      <c r="CG107" s="498"/>
      <c r="CH107" s="498"/>
      <c r="CI107" s="509"/>
      <c r="CJ107" s="509"/>
      <c r="CK107" s="509"/>
      <c r="CL107" s="509"/>
      <c r="CM107" s="498"/>
      <c r="CN107" s="516" t="s">
        <v>206</v>
      </c>
      <c r="CO107" s="546">
        <f>$G114</f>
        <v>52</v>
      </c>
      <c r="CT107" s="498"/>
      <c r="CU107" s="501"/>
      <c r="CV107" s="498"/>
      <c r="CW107" s="498"/>
      <c r="CX107" s="509"/>
      <c r="CY107" s="509"/>
      <c r="CZ107" s="509"/>
      <c r="DA107" s="509"/>
      <c r="DB107" s="498"/>
      <c r="DC107" s="516" t="s">
        <v>206</v>
      </c>
      <c r="DD107" s="546">
        <f>$G114</f>
        <v>52</v>
      </c>
      <c r="DI107" s="498"/>
      <c r="DJ107" s="501"/>
      <c r="DK107" s="498"/>
    </row>
    <row r="108" ht="14.25" customHeight="1">
      <c r="A108" s="492" t="str">
        <f>"S "&amp;$AD102&amp;" - "&amp;TEXT(C112,"dd/mm")</f>
        <v>S 3 - 26/01</v>
      </c>
      <c r="B108" s="564" t="s">
        <v>207</v>
      </c>
      <c r="C108" s="565">
        <f>SUMIFS(C146:I146,C127:I127,"&lt;=0,6")+SUMIFS(C147:I147,C125:I125,"&lt;=0,6")+SUMIFS(C115:I115,C127:I127,"&lt;=0,6",C146:I146,0)</f>
        <v>40</v>
      </c>
      <c r="D108" s="565">
        <f>SUMIFS(C146:I146,C127:I127,"&gt;0,6",C127:I127,"&lt;=0,8")+SUMIFS(C147:I147,C125:I125,"&gt;0,6",C125:I125,"&lt;=0,8")+SUMIFS(C115:I115,C127:I127,"&gt;0,6",C127:I127,"&lt;=0,8",C146:I146,0)</f>
        <v>0</v>
      </c>
      <c r="E108" s="565">
        <f>SUMIFS(C146:I146,C127:I127,"&gt;0,8",C127:I127,"&lt;=0,9")+SUMIFS(C147:I147,C125:I125,"&gt;0,8",C125:I125,"&lt;=0,9")+SUMIFS(C115:I115,C127:I127,"&gt;0,8",C127:I127,"&lt;=0,9",C146:I146,0)</f>
        <v>15</v>
      </c>
      <c r="F108" s="565">
        <f>SUMIFS(C146:I146,C127:I127,"&gt;0,9",C127:I127,"&lt;=1")+SUMIFS(C147:I147,C125:I125,"&gt;0,9",C125:I125,"&lt;=1")+SUMIFS(C115:I115,C127:I127,"&gt;0,9",C127:I127,"&lt;=1",C146:I146,0)</f>
        <v>0</v>
      </c>
      <c r="G108" s="565">
        <f>SUMIFS(C146:I146,C127:I127,"&gt;1")+SUMIFS(C147:I147,C125:I125,"&gt;1")+SUMIFS(C115:I115,C127:I127,"&gt;1",C146:I146,0)</f>
        <v>0</v>
      </c>
      <c r="H108" s="563">
        <f t="shared" si="65"/>
        <v>55</v>
      </c>
      <c r="I108" s="498"/>
      <c r="J108" s="505"/>
      <c r="K108" s="566">
        <f>C112</f>
        <v>46048</v>
      </c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W108" s="155"/>
      <c r="X108" s="155"/>
      <c r="Y108" s="567"/>
      <c r="Z108" s="568">
        <f>K108+1</f>
        <v>46049</v>
      </c>
      <c r="AA108" s="155"/>
      <c r="AB108" s="155"/>
      <c r="AC108" s="155"/>
      <c r="AD108" s="155"/>
      <c r="AE108" s="155"/>
      <c r="AF108" s="155"/>
      <c r="AG108" s="155"/>
      <c r="AH108" s="155"/>
      <c r="AI108" s="155"/>
      <c r="AJ108" s="155"/>
      <c r="AK108" s="155"/>
      <c r="AL108" s="155"/>
      <c r="AM108" s="155"/>
      <c r="AN108" s="567"/>
      <c r="AO108" s="568">
        <f>Z108+1</f>
        <v>46050</v>
      </c>
      <c r="AP108" s="155"/>
      <c r="AQ108" s="155"/>
      <c r="AR108" s="155"/>
      <c r="AS108" s="155"/>
      <c r="AT108" s="155"/>
      <c r="AU108" s="155"/>
      <c r="AV108" s="155"/>
      <c r="AW108" s="155"/>
      <c r="AX108" s="155"/>
      <c r="AY108" s="155"/>
      <c r="AZ108" s="155"/>
      <c r="BA108" s="155"/>
      <c r="BB108" s="155"/>
      <c r="BC108" s="567"/>
      <c r="BD108" s="568">
        <f>AO108+1</f>
        <v>46051</v>
      </c>
      <c r="BE108" s="155"/>
      <c r="BF108" s="155"/>
      <c r="BG108" s="155"/>
      <c r="BH108" s="155"/>
      <c r="BI108" s="155"/>
      <c r="BJ108" s="155"/>
      <c r="BK108" s="155"/>
      <c r="BL108" s="155"/>
      <c r="BM108" s="155"/>
      <c r="BN108" s="155"/>
      <c r="BO108" s="155"/>
      <c r="BP108" s="155"/>
      <c r="BQ108" s="155"/>
      <c r="BR108" s="567"/>
      <c r="BS108" s="568">
        <f>BD108+1</f>
        <v>46052</v>
      </c>
      <c r="BT108" s="155"/>
      <c r="BU108" s="155"/>
      <c r="BV108" s="155"/>
      <c r="BW108" s="155"/>
      <c r="BX108" s="155"/>
      <c r="BY108" s="155"/>
      <c r="BZ108" s="155"/>
      <c r="CA108" s="155"/>
      <c r="CB108" s="155"/>
      <c r="CC108" s="155"/>
      <c r="CD108" s="155"/>
      <c r="CE108" s="155"/>
      <c r="CF108" s="155"/>
      <c r="CG108" s="567"/>
      <c r="CH108" s="568">
        <f>BS108+1</f>
        <v>46053</v>
      </c>
      <c r="CI108" s="155"/>
      <c r="CJ108" s="155"/>
      <c r="CK108" s="155"/>
      <c r="CL108" s="155"/>
      <c r="CM108" s="155"/>
      <c r="CN108" s="155"/>
      <c r="CO108" s="155"/>
      <c r="CP108" s="155"/>
      <c r="CQ108" s="155"/>
      <c r="CR108" s="155"/>
      <c r="CS108" s="155"/>
      <c r="CT108" s="155"/>
      <c r="CU108" s="155"/>
      <c r="CV108" s="567"/>
      <c r="CW108" s="568">
        <f>CH108+1</f>
        <v>46054</v>
      </c>
      <c r="CX108" s="155"/>
      <c r="CY108" s="155"/>
      <c r="CZ108" s="155"/>
      <c r="DA108" s="155"/>
      <c r="DB108" s="155"/>
      <c r="DC108" s="155"/>
      <c r="DD108" s="155"/>
      <c r="DE108" s="155"/>
      <c r="DF108" s="155"/>
      <c r="DG108" s="155"/>
      <c r="DH108" s="155"/>
      <c r="DI108" s="155"/>
      <c r="DJ108" s="155"/>
      <c r="DK108" s="567"/>
    </row>
    <row r="109" ht="14.25" customHeight="1">
      <c r="A109" s="492" t="str">
        <f>"S "&amp;$AD102&amp;" - "&amp;TEXT(C112,"dd/mm")</f>
        <v>S 3 - 26/01</v>
      </c>
      <c r="B109" s="534" t="s">
        <v>208</v>
      </c>
      <c r="C109" s="528">
        <f t="shared" ref="C109:G109" si="66">C107-C108</f>
        <v>-40</v>
      </c>
      <c r="D109" s="528">
        <f t="shared" si="66"/>
        <v>0</v>
      </c>
      <c r="E109" s="528">
        <f t="shared" si="66"/>
        <v>-15</v>
      </c>
      <c r="F109" s="528">
        <f t="shared" si="66"/>
        <v>0</v>
      </c>
      <c r="G109" s="528">
        <f t="shared" si="66"/>
        <v>0</v>
      </c>
      <c r="H109" s="563">
        <f t="shared" si="65"/>
        <v>-55</v>
      </c>
      <c r="I109" s="498"/>
      <c r="J109" s="505"/>
      <c r="K109" s="569" t="s">
        <v>209</v>
      </c>
      <c r="Y109" s="570"/>
      <c r="Z109" s="571" t="s">
        <v>210</v>
      </c>
      <c r="AN109" s="570"/>
      <c r="AO109" s="571" t="s">
        <v>211</v>
      </c>
      <c r="BC109" s="570"/>
      <c r="BD109" s="571" t="s">
        <v>212</v>
      </c>
      <c r="BR109" s="570"/>
      <c r="BS109" s="571" t="s">
        <v>213</v>
      </c>
      <c r="CG109" s="570"/>
      <c r="CH109" s="571" t="s">
        <v>214</v>
      </c>
      <c r="CV109" s="570"/>
      <c r="CW109" s="571" t="s">
        <v>215</v>
      </c>
      <c r="DK109" s="570"/>
    </row>
    <row r="110" ht="14.25" customHeight="1">
      <c r="A110" s="492" t="str">
        <f>"S "&amp;$AD102&amp;" - "&amp;TEXT(C112,"dd/mm")</f>
        <v>S 3 - 26/01</v>
      </c>
      <c r="B110" s="572" t="s">
        <v>216</v>
      </c>
      <c r="C110" s="573"/>
      <c r="D110" s="472"/>
      <c r="E110" s="553"/>
      <c r="F110" s="554"/>
      <c r="G110" s="472"/>
      <c r="H110" s="574"/>
      <c r="I110" s="498"/>
      <c r="J110" s="505"/>
      <c r="K110" s="575" t="s">
        <v>217</v>
      </c>
      <c r="N110" s="576">
        <f>C114</f>
        <v>60</v>
      </c>
      <c r="O110" s="577" t="s">
        <v>218</v>
      </c>
      <c r="Q110" s="575">
        <f>C115</f>
        <v>15</v>
      </c>
      <c r="S110" s="577" t="s">
        <v>219</v>
      </c>
      <c r="V110" s="578">
        <f>ROUNDUP((SUMPRODUCT(S116:S119,(U116:U119+V116:V119),R116:R119)+SUMPRODUCT(T116:T119,R116:R119)+SUMPRODUCT(S121:S140,(U121:U140+V121:V140),R121:R140)+SUMPRODUCT(T121:T140,R121:R140)+SUMPRODUCT(S142:S144,(U142:U144+V142:V144),R142:R144)+SUMPRODUCT(T142:T144,R142:R144))/60,0)</f>
        <v>35</v>
      </c>
      <c r="Y110" s="579"/>
      <c r="Z110" s="580" t="s">
        <v>217</v>
      </c>
      <c r="AC110" s="576">
        <f>D114</f>
        <v>59</v>
      </c>
      <c r="AD110" s="577" t="s">
        <v>218</v>
      </c>
      <c r="AF110" s="575">
        <f>D115</f>
        <v>15</v>
      </c>
      <c r="AH110" s="577" t="s">
        <v>219</v>
      </c>
      <c r="AK110" s="578">
        <f>ROUNDUP((SUMPRODUCT(AH116:AH119,(AJ116:AJ119+AK116:AK119),AG116:AG119)+SUMPRODUCT(AI116:AI119,AG116:AG119)+SUMPRODUCT(AH121:AH140,(AJ121:AJ140+AK121:AK140),AG121:AG140)+SUMPRODUCT(AI121:AI140,AG121:AG140)+SUMPRODUCT(AH142:AH144,(AJ142:AJ144+AK142:AK144),AG142:AG144)+SUMPRODUCT(AI142:AI144,AG142:AG144))/60,0)</f>
        <v>34</v>
      </c>
      <c r="AN110" s="579"/>
      <c r="AO110" s="580" t="s">
        <v>217</v>
      </c>
      <c r="AR110" s="576">
        <f>E114</f>
        <v>14</v>
      </c>
      <c r="AS110" s="577" t="s">
        <v>218</v>
      </c>
      <c r="AU110" s="575" t="str">
        <f>E115</f>
        <v/>
      </c>
      <c r="AW110" s="577" t="s">
        <v>219</v>
      </c>
      <c r="AZ110" s="578">
        <f>ROUNDUP((SUMPRODUCT(AW116:AW119,(AY116:AY119+AZ116:AZ119),AV116:AV119)+SUMPRODUCT(AX116:AX119,AV116:AV119)+SUMPRODUCT(AW121:AW140,(AY121:AY140+AZ121:AZ140),AV121:AV140)+SUMPRODUCT(AX121:AX140,AV121:AV140)+SUMPRODUCT(AW142:AW144,(AY142:AY144+AZ142:AZ144),AV142:AV144)+SUMPRODUCT(AX142:AX144,AV142:AV144))/60,0)</f>
        <v>4</v>
      </c>
      <c r="BC110" s="579"/>
      <c r="BD110" s="580" t="s">
        <v>217</v>
      </c>
      <c r="BG110" s="576">
        <f>F114</f>
        <v>85</v>
      </c>
      <c r="BH110" s="577" t="s">
        <v>218</v>
      </c>
      <c r="BJ110" s="575">
        <f>F115</f>
        <v>40</v>
      </c>
      <c r="BL110" s="577" t="s">
        <v>219</v>
      </c>
      <c r="BO110" s="578">
        <f>ROUNDUP((SUMPRODUCT(BL116:BL119,(BN116:BN119+BO116:BO119),BK116:BK119)+SUMPRODUCT(BM116:BM119,BK116:BK119)+SUMPRODUCT(BL121:BL140,(BN121:BN140+BO121:BO140),BK121:BK140)+SUMPRODUCT(BM121:BM140,BK121:BK140)+SUMPRODUCT(BL142:BL144,(BN142:BN144+BO142:BO144),BK142:BK144)+SUMPRODUCT(BM142:BM144,BK142:BK144))/60,0)</f>
        <v>35</v>
      </c>
      <c r="BR110" s="579"/>
      <c r="BS110" s="580" t="s">
        <v>217</v>
      </c>
      <c r="BV110" s="576">
        <f>G114</f>
        <v>52</v>
      </c>
      <c r="BW110" s="577" t="s">
        <v>218</v>
      </c>
      <c r="BY110" s="575">
        <f>G115</f>
        <v>10</v>
      </c>
      <c r="CA110" s="577" t="s">
        <v>219</v>
      </c>
      <c r="CD110" s="578">
        <f>ROUNDUP((SUMPRODUCT(CA116:CA119,(CC116:CC119+CD116:CD119),BZ116:BZ119)+SUMPRODUCT(CB116:CB119,BZ116:BZ119)+SUMPRODUCT(CA121:CA140,(CC121:CC140+CD121:CD140),BZ121:BZ140)+SUMPRODUCT(CB121:CB140,BZ121:BZ140)+SUMPRODUCT(CA142:CA144,(CC142:CC144+CD142:CD144),BZ142:BZ144)+SUMPRODUCT(CB142:CB144,BZ142:BZ144))/60,0)</f>
        <v>32</v>
      </c>
      <c r="CG110" s="579"/>
      <c r="CH110" s="580" t="s">
        <v>217</v>
      </c>
      <c r="CK110" s="576">
        <f>H114</f>
        <v>14</v>
      </c>
      <c r="CL110" s="577" t="s">
        <v>218</v>
      </c>
      <c r="CN110" s="575" t="str">
        <f>H115</f>
        <v/>
      </c>
      <c r="CP110" s="577" t="s">
        <v>219</v>
      </c>
      <c r="CS110" s="578">
        <f>ROUNDUP((SUMPRODUCT(CP116:CP119,(CR116:CR119+CS116:CS119),CO116:CO119)+SUMPRODUCT(CQ116:CQ119,CO116:CO119)+SUMPRODUCT(CP121:CP140,(CR121:CR140+CS121:CS140),CO121:CO140)+SUMPRODUCT(CQ121:CQ140,CO121:CO140)+SUMPRODUCT(CP142:CP144,(CR142:CR144+CS142:CS144),CO142:CO144)+SUMPRODUCT(CQ142:CQ144,CO142:CO144))/60,0)</f>
        <v>4</v>
      </c>
      <c r="CV110" s="579"/>
      <c r="CW110" s="580" t="s">
        <v>217</v>
      </c>
      <c r="CZ110" s="576">
        <f>I114</f>
        <v>0</v>
      </c>
      <c r="DA110" s="577" t="s">
        <v>218</v>
      </c>
      <c r="DC110" s="575" t="str">
        <f>I115</f>
        <v/>
      </c>
      <c r="DE110" s="577" t="s">
        <v>219</v>
      </c>
      <c r="DH110" s="578">
        <f>ROUNDUP((SUMPRODUCT(DE116:DE119,(DG116:DG119+DH116:DH119),DD116:DD119)+SUMPRODUCT(DF116:DF119,DD116:DD119)+SUMPRODUCT(DE121:DE140,(DG121:DG140+DH121:DH140),DD121:DD140)+SUMPRODUCT(DF121:DF140,DD121:DD140)+SUMPRODUCT(DE142:DE144,(DG142:DG144+DH142:DH144),DD142:DD144)+SUMPRODUCT(DF142:DF144,DD142:DD144))/60,0)</f>
        <v>0</v>
      </c>
      <c r="DK110" s="579"/>
    </row>
    <row r="111" ht="14.25" customHeight="1">
      <c r="A111" s="492" t="str">
        <f>"S "&amp;$AD102&amp;" - "&amp;TEXT(C112,"dd/mm")</f>
        <v>S 3 - 26/01</v>
      </c>
      <c r="B111" s="498"/>
      <c r="C111" s="498"/>
      <c r="D111" s="498"/>
      <c r="E111" s="498"/>
      <c r="F111" s="498"/>
      <c r="G111" s="498"/>
      <c r="H111" s="498"/>
      <c r="I111" s="498"/>
      <c r="J111" s="505"/>
      <c r="K111" s="700"/>
      <c r="L111" s="9"/>
      <c r="M111" s="9"/>
      <c r="N111" s="9"/>
      <c r="O111" s="9"/>
      <c r="P111" s="701" t="str">
        <f>IF($R$156="","Atualizar Macrociclo","Orientações Gerais")</f>
        <v>Orientações Gerais</v>
      </c>
      <c r="Q111" s="702"/>
      <c r="R111" s="9"/>
      <c r="S111" s="9"/>
      <c r="T111" s="9"/>
      <c r="U111" s="9"/>
      <c r="V111" s="9"/>
      <c r="W111" s="9"/>
      <c r="X111" s="9"/>
      <c r="Y111" s="632"/>
      <c r="Z111" s="702"/>
      <c r="AA111" s="9"/>
      <c r="AB111" s="9"/>
      <c r="AC111" s="9"/>
      <c r="AD111" s="9"/>
      <c r="AE111" s="701" t="str">
        <f>IF($R$156="","Atualizar Macrociclo","Orientações Gerais")</f>
        <v>Orientações Gerais</v>
      </c>
      <c r="AF111" s="702"/>
      <c r="AG111" s="9"/>
      <c r="AH111" s="9"/>
      <c r="AI111" s="9"/>
      <c r="AJ111" s="9"/>
      <c r="AK111" s="9"/>
      <c r="AL111" s="9"/>
      <c r="AM111" s="9"/>
      <c r="AN111" s="632"/>
      <c r="AO111" s="702"/>
      <c r="AP111" s="9"/>
      <c r="AQ111" s="9"/>
      <c r="AR111" s="9"/>
      <c r="AS111" s="9"/>
      <c r="AT111" s="701" t="str">
        <f>IF($R$156="","Atualizar Macrociclo","Orientações Gerais")</f>
        <v>Orientações Gerais</v>
      </c>
      <c r="AU111" s="702"/>
      <c r="AV111" s="9"/>
      <c r="AW111" s="9"/>
      <c r="AX111" s="9"/>
      <c r="AY111" s="9"/>
      <c r="AZ111" s="9"/>
      <c r="BA111" s="9"/>
      <c r="BB111" s="9"/>
      <c r="BC111" s="9"/>
      <c r="BD111" s="702"/>
      <c r="BE111" s="9"/>
      <c r="BF111" s="9"/>
      <c r="BG111" s="9"/>
      <c r="BH111" s="9"/>
      <c r="BI111" s="701" t="str">
        <f>IF($R$156="","Atualizar Macrociclo","Orientações Gerais")</f>
        <v>Orientações Gerais</v>
      </c>
      <c r="BJ111" s="702"/>
      <c r="BK111" s="9"/>
      <c r="BL111" s="9"/>
      <c r="BM111" s="9"/>
      <c r="BN111" s="9"/>
      <c r="BO111" s="9"/>
      <c r="BP111" s="9"/>
      <c r="BQ111" s="9"/>
      <c r="BR111" s="9"/>
      <c r="BS111" s="702"/>
      <c r="BT111" s="9"/>
      <c r="BU111" s="9"/>
      <c r="BV111" s="9"/>
      <c r="BW111" s="9"/>
      <c r="BX111" s="701" t="str">
        <f>IF($R$156="","Atualizar Macrociclo","Orientações Gerais")</f>
        <v>Orientações Gerais</v>
      </c>
      <c r="BY111" s="702"/>
      <c r="BZ111" s="9"/>
      <c r="CA111" s="9"/>
      <c r="CB111" s="9"/>
      <c r="CC111" s="9"/>
      <c r="CD111" s="9"/>
      <c r="CE111" s="9"/>
      <c r="CF111" s="9"/>
      <c r="CG111" s="9"/>
      <c r="CH111" s="702"/>
      <c r="CI111" s="9"/>
      <c r="CJ111" s="9"/>
      <c r="CK111" s="9"/>
      <c r="CL111" s="9"/>
      <c r="CM111" s="701" t="str">
        <f>IF($R$156="","Atualizar Macrociclo","Orientações Gerais")</f>
        <v>Orientações Gerais</v>
      </c>
      <c r="CN111" s="702"/>
      <c r="CO111" s="9"/>
      <c r="CP111" s="9"/>
      <c r="CQ111" s="9"/>
      <c r="CR111" s="9"/>
      <c r="CS111" s="9"/>
      <c r="CT111" s="9"/>
      <c r="CU111" s="9"/>
      <c r="CV111" s="9"/>
      <c r="CW111" s="702"/>
      <c r="CX111" s="9"/>
      <c r="CY111" s="9"/>
      <c r="CZ111" s="9"/>
      <c r="DA111" s="9"/>
      <c r="DB111" s="701" t="str">
        <f>IF($R$156="","Atualizar Macrociclo","Orientações Gerais")</f>
        <v>Orientações Gerais</v>
      </c>
      <c r="DC111" s="702"/>
      <c r="DD111" s="9"/>
      <c r="DE111" s="9"/>
      <c r="DF111" s="9"/>
      <c r="DG111" s="9"/>
      <c r="DH111" s="9"/>
      <c r="DI111" s="9"/>
      <c r="DJ111" s="9"/>
      <c r="DK111" s="632"/>
    </row>
    <row r="112" ht="14.25" customHeight="1">
      <c r="A112" s="492" t="str">
        <f>"S "&amp;$AD102&amp;" - "&amp;TEXT(C112,"dd/mm")</f>
        <v>S 3 - 26/01</v>
      </c>
      <c r="B112" s="537"/>
      <c r="C112" s="584">
        <f>HLOOKUP(F102,'Periodização Macrociclo'!$E$5:$BN$6,2,FALSE)</f>
        <v>46048</v>
      </c>
      <c r="D112" s="584">
        <f t="shared" ref="D112:I112" si="67">C112+1</f>
        <v>46049</v>
      </c>
      <c r="E112" s="584">
        <f t="shared" si="67"/>
        <v>46050</v>
      </c>
      <c r="F112" s="584">
        <f t="shared" si="67"/>
        <v>46051</v>
      </c>
      <c r="G112" s="584">
        <f t="shared" si="67"/>
        <v>46052</v>
      </c>
      <c r="H112" s="584">
        <f t="shared" si="67"/>
        <v>46053</v>
      </c>
      <c r="I112" s="585">
        <f t="shared" si="67"/>
        <v>46054</v>
      </c>
      <c r="J112" s="505"/>
      <c r="K112" s="586"/>
      <c r="Y112" s="587"/>
      <c r="Z112" s="586"/>
      <c r="AN112" s="587"/>
      <c r="AO112" s="586"/>
      <c r="BC112" s="587"/>
      <c r="BD112" s="586"/>
      <c r="BR112" s="587"/>
      <c r="BS112" s="586"/>
      <c r="CG112" s="587"/>
      <c r="CH112" s="586"/>
      <c r="CV112" s="587"/>
      <c r="CW112" s="586"/>
      <c r="DK112" s="588"/>
    </row>
    <row r="113" ht="14.25" customHeight="1">
      <c r="A113" s="492" t="str">
        <f>"S "&amp;$AD102&amp;" - "&amp;TEXT(C112,"dd/mm")</f>
        <v>S 3 - 26/01</v>
      </c>
      <c r="B113" s="537"/>
      <c r="C113" s="589" t="s">
        <v>220</v>
      </c>
      <c r="D113" s="589" t="s">
        <v>221</v>
      </c>
      <c r="E113" s="589" t="s">
        <v>222</v>
      </c>
      <c r="F113" s="589" t="s">
        <v>223</v>
      </c>
      <c r="G113" s="589" t="s">
        <v>224</v>
      </c>
      <c r="H113" s="589" t="s">
        <v>214</v>
      </c>
      <c r="I113" s="590" t="s">
        <v>215</v>
      </c>
      <c r="J113" s="505"/>
      <c r="K113" s="591"/>
      <c r="Y113" s="587"/>
      <c r="Z113" s="591"/>
      <c r="AN113" s="587"/>
      <c r="AO113" s="591"/>
      <c r="BC113" s="587"/>
      <c r="BD113" s="591"/>
      <c r="BR113" s="587"/>
      <c r="BS113" s="591"/>
      <c r="CG113" s="587"/>
      <c r="CH113" s="591"/>
      <c r="CV113" s="587"/>
      <c r="CW113" s="591"/>
      <c r="DK113" s="588"/>
    </row>
    <row r="114" ht="14.25" customHeight="1">
      <c r="A114" s="492" t="str">
        <f>"S "&amp;$AD102&amp;" - "&amp;TEXT(C112,"dd/mm")</f>
        <v>S 3 - 26/01</v>
      </c>
      <c r="B114" s="592" t="s">
        <v>217</v>
      </c>
      <c r="C114" s="541">
        <f>V110+C115+IF(V110+C115&gt;0,+10,0)</f>
        <v>60</v>
      </c>
      <c r="D114" s="541">
        <f>AK110+D115+IF(AK110+D115&gt;0,+10,0)</f>
        <v>59</v>
      </c>
      <c r="E114" s="541">
        <f>AZ110+E115+IF(AZ110+E115&gt;0,+10,0)</f>
        <v>14</v>
      </c>
      <c r="F114" s="541">
        <f>BO110+F115+IF(BO110+F115&gt;0,+10,0)</f>
        <v>85</v>
      </c>
      <c r="G114" s="541">
        <f>CD110+G115+IF(CD110+G115&gt;0,+10,0)</f>
        <v>52</v>
      </c>
      <c r="H114" s="541">
        <f>CS110+H115+IF(CS110+H115&gt;0,+10,0)</f>
        <v>14</v>
      </c>
      <c r="I114" s="593">
        <f>DH110+I115+IF(DH110+I115&gt;0,+10,0)</f>
        <v>0</v>
      </c>
      <c r="J114" s="505"/>
      <c r="K114" s="594" t="s">
        <v>225</v>
      </c>
      <c r="L114" s="595" t="s">
        <v>31</v>
      </c>
      <c r="Q114" s="596" t="s">
        <v>32</v>
      </c>
      <c r="R114" s="597" t="s">
        <v>226</v>
      </c>
      <c r="S114" s="597" t="s">
        <v>227</v>
      </c>
      <c r="T114" s="597" t="s">
        <v>35</v>
      </c>
      <c r="U114" s="597" t="s">
        <v>36</v>
      </c>
      <c r="V114" s="598" t="s">
        <v>37</v>
      </c>
      <c r="W114" s="598" t="s">
        <v>228</v>
      </c>
      <c r="X114" s="598" t="s">
        <v>229</v>
      </c>
      <c r="Y114" s="588"/>
      <c r="Z114" s="594" t="s">
        <v>225</v>
      </c>
      <c r="AA114" s="595" t="s">
        <v>31</v>
      </c>
      <c r="AF114" s="596" t="s">
        <v>32</v>
      </c>
      <c r="AG114" s="597" t="s">
        <v>226</v>
      </c>
      <c r="AH114" s="597" t="s">
        <v>227</v>
      </c>
      <c r="AI114" s="597" t="s">
        <v>35</v>
      </c>
      <c r="AJ114" s="597" t="s">
        <v>36</v>
      </c>
      <c r="AK114" s="598" t="s">
        <v>37</v>
      </c>
      <c r="AL114" s="598" t="s">
        <v>228</v>
      </c>
      <c r="AM114" s="598" t="s">
        <v>229</v>
      </c>
      <c r="AN114" s="588"/>
      <c r="AO114" s="594" t="s">
        <v>225</v>
      </c>
      <c r="AP114" s="595" t="s">
        <v>31</v>
      </c>
      <c r="AU114" s="596" t="s">
        <v>32</v>
      </c>
      <c r="AV114" s="597" t="s">
        <v>226</v>
      </c>
      <c r="AW114" s="597" t="s">
        <v>227</v>
      </c>
      <c r="AX114" s="597" t="s">
        <v>35</v>
      </c>
      <c r="AY114" s="597" t="s">
        <v>36</v>
      </c>
      <c r="AZ114" s="598" t="s">
        <v>37</v>
      </c>
      <c r="BA114" s="598" t="s">
        <v>228</v>
      </c>
      <c r="BB114" s="598" t="s">
        <v>229</v>
      </c>
      <c r="BC114" s="588"/>
      <c r="BD114" s="594" t="s">
        <v>225</v>
      </c>
      <c r="BE114" s="595" t="s">
        <v>31</v>
      </c>
      <c r="BJ114" s="596" t="s">
        <v>32</v>
      </c>
      <c r="BK114" s="597" t="s">
        <v>226</v>
      </c>
      <c r="BL114" s="597" t="s">
        <v>227</v>
      </c>
      <c r="BM114" s="597" t="s">
        <v>35</v>
      </c>
      <c r="BN114" s="597" t="s">
        <v>36</v>
      </c>
      <c r="BO114" s="598" t="s">
        <v>37</v>
      </c>
      <c r="BP114" s="598" t="s">
        <v>228</v>
      </c>
      <c r="BQ114" s="598" t="s">
        <v>229</v>
      </c>
      <c r="BR114" s="588"/>
      <c r="BS114" s="594" t="s">
        <v>225</v>
      </c>
      <c r="BT114" s="595" t="s">
        <v>31</v>
      </c>
      <c r="BY114" s="596" t="s">
        <v>32</v>
      </c>
      <c r="BZ114" s="597" t="s">
        <v>226</v>
      </c>
      <c r="CA114" s="597" t="s">
        <v>227</v>
      </c>
      <c r="CB114" s="597" t="s">
        <v>35</v>
      </c>
      <c r="CC114" s="597" t="s">
        <v>36</v>
      </c>
      <c r="CD114" s="598" t="s">
        <v>37</v>
      </c>
      <c r="CE114" s="598" t="s">
        <v>228</v>
      </c>
      <c r="CF114" s="598" t="s">
        <v>229</v>
      </c>
      <c r="CG114" s="588"/>
      <c r="CH114" s="594" t="s">
        <v>225</v>
      </c>
      <c r="CI114" s="595" t="s">
        <v>31</v>
      </c>
      <c r="CN114" s="596" t="s">
        <v>32</v>
      </c>
      <c r="CO114" s="597" t="s">
        <v>226</v>
      </c>
      <c r="CP114" s="597" t="s">
        <v>227</v>
      </c>
      <c r="CQ114" s="597" t="s">
        <v>35</v>
      </c>
      <c r="CR114" s="597" t="s">
        <v>36</v>
      </c>
      <c r="CS114" s="598" t="s">
        <v>37</v>
      </c>
      <c r="CT114" s="598" t="s">
        <v>228</v>
      </c>
      <c r="CU114" s="598" t="s">
        <v>229</v>
      </c>
      <c r="CV114" s="588"/>
      <c r="CW114" s="594" t="s">
        <v>225</v>
      </c>
      <c r="CX114" s="595" t="s">
        <v>31</v>
      </c>
      <c r="DC114" s="596" t="s">
        <v>32</v>
      </c>
      <c r="DD114" s="597" t="s">
        <v>226</v>
      </c>
      <c r="DE114" s="597" t="s">
        <v>227</v>
      </c>
      <c r="DF114" s="597" t="s">
        <v>35</v>
      </c>
      <c r="DG114" s="597" t="s">
        <v>36</v>
      </c>
      <c r="DH114" s="598" t="s">
        <v>37</v>
      </c>
      <c r="DI114" s="598" t="s">
        <v>228</v>
      </c>
      <c r="DJ114" s="598" t="s">
        <v>229</v>
      </c>
      <c r="DK114" s="588"/>
    </row>
    <row r="115" ht="14.25" customHeight="1">
      <c r="A115" s="492" t="str">
        <f>"S "&amp;$AD102&amp;" - "&amp;TEXT(C112,"dd/mm")</f>
        <v>S 3 - 26/01</v>
      </c>
      <c r="B115" s="592" t="s">
        <v>230</v>
      </c>
      <c r="C115" s="606">
        <v>15.0</v>
      </c>
      <c r="D115" s="606">
        <v>15.0</v>
      </c>
      <c r="E115" s="600"/>
      <c r="F115" s="599">
        <v>40.0</v>
      </c>
      <c r="G115" s="599">
        <v>10.0</v>
      </c>
      <c r="H115" s="601"/>
      <c r="I115" s="602"/>
      <c r="J115" s="505"/>
      <c r="K115" s="581"/>
      <c r="L115" s="603"/>
      <c r="M115" s="603"/>
      <c r="N115" s="603"/>
      <c r="O115" s="603"/>
      <c r="P115" s="603" t="s">
        <v>29</v>
      </c>
      <c r="Q115" s="581"/>
      <c r="R115" s="603"/>
      <c r="S115" s="603"/>
      <c r="T115" s="603"/>
      <c r="U115" s="603"/>
      <c r="V115" s="603"/>
      <c r="W115" s="603"/>
      <c r="X115" s="603"/>
      <c r="Y115" s="604"/>
      <c r="Z115" s="581"/>
      <c r="AA115" s="603"/>
      <c r="AB115" s="603"/>
      <c r="AC115" s="603"/>
      <c r="AD115" s="603"/>
      <c r="AE115" s="603" t="s">
        <v>29</v>
      </c>
      <c r="AF115" s="581"/>
      <c r="AG115" s="603"/>
      <c r="AH115" s="603"/>
      <c r="AI115" s="603"/>
      <c r="AJ115" s="603"/>
      <c r="AK115" s="603"/>
      <c r="AL115" s="603"/>
      <c r="AM115" s="603"/>
      <c r="AN115" s="604"/>
      <c r="AO115" s="581"/>
      <c r="AP115" s="603"/>
      <c r="AQ115" s="603"/>
      <c r="AR115" s="603"/>
      <c r="AS115" s="603"/>
      <c r="AT115" s="603" t="s">
        <v>29</v>
      </c>
      <c r="AU115" s="581"/>
      <c r="AV115" s="603"/>
      <c r="AW115" s="603"/>
      <c r="AX115" s="603"/>
      <c r="AY115" s="603"/>
      <c r="AZ115" s="603"/>
      <c r="BA115" s="603"/>
      <c r="BB115" s="603"/>
      <c r="BC115" s="605"/>
      <c r="BD115" s="581"/>
      <c r="BE115" s="603"/>
      <c r="BF115" s="603"/>
      <c r="BG115" s="603"/>
      <c r="BH115" s="603"/>
      <c r="BI115" s="603" t="s">
        <v>29</v>
      </c>
      <c r="BJ115" s="581"/>
      <c r="BK115" s="603"/>
      <c r="BL115" s="603"/>
      <c r="BM115" s="603"/>
      <c r="BN115" s="603"/>
      <c r="BO115" s="603"/>
      <c r="BP115" s="603"/>
      <c r="BQ115" s="603"/>
      <c r="BR115" s="605"/>
      <c r="BS115" s="581"/>
      <c r="BT115" s="603"/>
      <c r="BU115" s="603"/>
      <c r="BV115" s="603"/>
      <c r="BW115" s="603"/>
      <c r="BX115" s="603" t="s">
        <v>29</v>
      </c>
      <c r="BY115" s="581"/>
      <c r="BZ115" s="603"/>
      <c r="CA115" s="603"/>
      <c r="CB115" s="603"/>
      <c r="CC115" s="603"/>
      <c r="CD115" s="603"/>
      <c r="CE115" s="603"/>
      <c r="CF115" s="603"/>
      <c r="CG115" s="605"/>
      <c r="CH115" s="581"/>
      <c r="CI115" s="603"/>
      <c r="CJ115" s="603"/>
      <c r="CK115" s="603"/>
      <c r="CL115" s="603"/>
      <c r="CM115" s="603" t="s">
        <v>29</v>
      </c>
      <c r="CN115" s="581"/>
      <c r="CO115" s="603"/>
      <c r="CP115" s="603"/>
      <c r="CQ115" s="603"/>
      <c r="CR115" s="603"/>
      <c r="CS115" s="603"/>
      <c r="CT115" s="603"/>
      <c r="CU115" s="603"/>
      <c r="CV115" s="605"/>
      <c r="CW115" s="581"/>
      <c r="CX115" s="603"/>
      <c r="CY115" s="603"/>
      <c r="CZ115" s="603"/>
      <c r="DA115" s="603"/>
      <c r="DB115" s="603" t="s">
        <v>29</v>
      </c>
      <c r="DC115" s="581"/>
      <c r="DD115" s="603"/>
      <c r="DE115" s="603"/>
      <c r="DF115" s="603"/>
      <c r="DG115" s="603"/>
      <c r="DH115" s="603"/>
      <c r="DI115" s="603"/>
      <c r="DJ115" s="603"/>
      <c r="DK115" s="604"/>
    </row>
    <row r="116" ht="14.25" customHeight="1">
      <c r="A116" s="492" t="str">
        <f>"S "&amp;$AD102&amp;" - "&amp;TEXT(C112,"dd/mm")</f>
        <v>S 3 - 26/01</v>
      </c>
      <c r="B116" s="592" t="s">
        <v>231</v>
      </c>
      <c r="C116" s="606" t="s">
        <v>232</v>
      </c>
      <c r="D116" s="703" t="s">
        <v>233</v>
      </c>
      <c r="E116" s="600"/>
      <c r="F116" s="599" t="s">
        <v>232</v>
      </c>
      <c r="G116" s="599" t="s">
        <v>234</v>
      </c>
      <c r="H116" s="606" t="s">
        <v>235</v>
      </c>
      <c r="I116" s="607"/>
      <c r="J116" s="505"/>
      <c r="K116" s="608">
        <v>1.0</v>
      </c>
      <c r="L116" s="609" t="s">
        <v>240</v>
      </c>
      <c r="Q116" s="610" t="s">
        <v>237</v>
      </c>
      <c r="R116" s="611">
        <v>2.0</v>
      </c>
      <c r="S116" s="611">
        <v>10.0</v>
      </c>
      <c r="T116" s="611">
        <v>10.0</v>
      </c>
      <c r="U116" s="611">
        <v>1.0</v>
      </c>
      <c r="V116" s="611">
        <v>1.0</v>
      </c>
      <c r="W116" s="613">
        <f>IF(L116="","",OFFSET(Biblioteca!$G$2,MATCH(L116,Biblioteca!$A$3:$A$200,0),)*(1.05^(10-S116)))</f>
        <v>0</v>
      </c>
      <c r="X116" s="614"/>
      <c r="Y116" s="615"/>
      <c r="Z116" s="612">
        <v>1.0</v>
      </c>
      <c r="AA116" s="609" t="s">
        <v>238</v>
      </c>
      <c r="AF116" s="610" t="s">
        <v>237</v>
      </c>
      <c r="AG116" s="611">
        <v>2.0</v>
      </c>
      <c r="AH116" s="611">
        <v>10.0</v>
      </c>
      <c r="AI116" s="611">
        <v>10.0</v>
      </c>
      <c r="AJ116" s="611">
        <v>1.0</v>
      </c>
      <c r="AK116" s="611">
        <v>1.0</v>
      </c>
      <c r="AL116" s="613">
        <f>IF(AA116="","",OFFSET(Biblioteca!$G$2,MATCH(AA116,Biblioteca!$A$3:$A$200,0),)*(1.05^(10-AH116)))</f>
        <v>0</v>
      </c>
      <c r="AM116" s="614"/>
      <c r="AN116" s="615"/>
      <c r="AO116" s="612">
        <v>1.0</v>
      </c>
      <c r="AP116" s="609" t="s">
        <v>239</v>
      </c>
      <c r="AU116" s="610" t="s">
        <v>237</v>
      </c>
      <c r="AV116" s="611">
        <v>2.0</v>
      </c>
      <c r="AW116" s="611">
        <v>10.0</v>
      </c>
      <c r="AX116" s="611">
        <v>10.0</v>
      </c>
      <c r="AY116" s="611">
        <v>1.0</v>
      </c>
      <c r="AZ116" s="611">
        <v>1.0</v>
      </c>
      <c r="BA116" s="613">
        <f>IF(AP116="","",OFFSET(Biblioteca!$G$2,MATCH(AP116,Biblioteca!$A$3:$A$200,0),)*(1.05^(10-AW116)))</f>
        <v>0</v>
      </c>
      <c r="BB116" s="614"/>
      <c r="BC116" s="615"/>
      <c r="BD116" s="612">
        <v>1.0</v>
      </c>
      <c r="BE116" s="609" t="s">
        <v>236</v>
      </c>
      <c r="BJ116" s="610" t="s">
        <v>237</v>
      </c>
      <c r="BK116" s="611">
        <v>2.0</v>
      </c>
      <c r="BL116" s="611">
        <v>10.0</v>
      </c>
      <c r="BM116" s="611">
        <v>10.0</v>
      </c>
      <c r="BN116" s="611">
        <v>1.0</v>
      </c>
      <c r="BO116" s="611">
        <v>2.0</v>
      </c>
      <c r="BP116" s="613">
        <f>IF(BE116="","",OFFSET(Biblioteca!$G$2,MATCH(BE116,Biblioteca!$A$3:$A$200,0),)*(1.05^(10-BL116)))</f>
        <v>0</v>
      </c>
      <c r="BQ116" s="614"/>
      <c r="BR116" s="615"/>
      <c r="BS116" s="612">
        <v>1.0</v>
      </c>
      <c r="BT116" s="609" t="s">
        <v>240</v>
      </c>
      <c r="BY116" s="610" t="s">
        <v>237</v>
      </c>
      <c r="BZ116" s="611">
        <v>2.0</v>
      </c>
      <c r="CA116" s="611">
        <v>10.0</v>
      </c>
      <c r="CB116" s="611">
        <v>10.0</v>
      </c>
      <c r="CC116" s="611">
        <v>1.0</v>
      </c>
      <c r="CD116" s="611">
        <v>2.0</v>
      </c>
      <c r="CE116" s="613">
        <f>IF(BT116="","",OFFSET(Biblioteca!$G$2,MATCH(BT116,Biblioteca!$A$3:$A$200,0),)*(1.05^(10-CA116)))</f>
        <v>0</v>
      </c>
      <c r="CF116" s="614"/>
      <c r="CG116" s="615"/>
      <c r="CH116" s="612">
        <v>1.0</v>
      </c>
      <c r="CI116" s="609" t="s">
        <v>239</v>
      </c>
      <c r="CN116" s="610" t="s">
        <v>237</v>
      </c>
      <c r="CO116" s="611">
        <v>2.0</v>
      </c>
      <c r="CP116" s="611">
        <v>10.0</v>
      </c>
      <c r="CQ116" s="611">
        <v>10.0</v>
      </c>
      <c r="CR116" s="611">
        <v>1.0</v>
      </c>
      <c r="CS116" s="611">
        <v>1.0</v>
      </c>
      <c r="CT116" s="613">
        <f>IF(CI116="","",OFFSET(Biblioteca!$G$2,MATCH(CI116,Biblioteca!$A$3:$A$200,0),)*(1.05^(10-CP116)))</f>
        <v>0</v>
      </c>
      <c r="CU116" s="614"/>
      <c r="CV116" s="579"/>
      <c r="CW116" s="608">
        <v>1.0</v>
      </c>
      <c r="CX116" s="619"/>
      <c r="DC116" s="620"/>
      <c r="DD116" s="618"/>
      <c r="DE116" s="618"/>
      <c r="DF116" s="618"/>
      <c r="DG116" s="618"/>
      <c r="DH116" s="618"/>
      <c r="DI116" s="617" t="str">
        <f>IF(CX116="","",OFFSET(Biblioteca!$G$2,MATCH(CX116,Biblioteca!$A$3:$A$200,0),)*(1.05^(10-DE116)))</f>
        <v/>
      </c>
      <c r="DJ116" s="618"/>
      <c r="DK116" s="579"/>
    </row>
    <row r="117" ht="14.25" customHeight="1">
      <c r="A117" s="492" t="str">
        <f>"S "&amp;$AD102&amp;" - "&amp;TEXT(C112,"dd/mm")</f>
        <v>S 3 - 26/01</v>
      </c>
      <c r="B117" s="592" t="s">
        <v>15</v>
      </c>
      <c r="C117" s="606" t="s">
        <v>312</v>
      </c>
      <c r="D117" s="606" t="s">
        <v>312</v>
      </c>
      <c r="E117" s="600"/>
      <c r="F117" s="599" t="s">
        <v>243</v>
      </c>
      <c r="G117" s="599" t="s">
        <v>312</v>
      </c>
      <c r="H117" s="601"/>
      <c r="I117" s="600"/>
      <c r="J117" s="505"/>
      <c r="K117" s="608">
        <f t="shared" ref="K117:K119" si="68">IF(T116="",K116,K116+1)</f>
        <v>2</v>
      </c>
      <c r="L117" s="609" t="s">
        <v>313</v>
      </c>
      <c r="Q117" s="610" t="s">
        <v>237</v>
      </c>
      <c r="R117" s="611">
        <v>2.0</v>
      </c>
      <c r="S117" s="611">
        <v>10.0</v>
      </c>
      <c r="T117" s="611">
        <v>10.0</v>
      </c>
      <c r="U117" s="611">
        <v>1.0</v>
      </c>
      <c r="V117" s="611">
        <v>1.0</v>
      </c>
      <c r="W117" s="613">
        <f>IF(L117="","",OFFSET(Biblioteca!$G$2,MATCH(L117,Biblioteca!$A$3:$A$200,0),)*(1.05^(10-S117)))</f>
        <v>0</v>
      </c>
      <c r="X117" s="614"/>
      <c r="Y117" s="615"/>
      <c r="Z117" s="612">
        <f t="shared" ref="Z117:Z119" si="69">IF(AI116="",Z116,Z116+1)</f>
        <v>2</v>
      </c>
      <c r="AA117" s="609" t="s">
        <v>245</v>
      </c>
      <c r="AF117" s="610" t="s">
        <v>237</v>
      </c>
      <c r="AG117" s="611">
        <v>2.0</v>
      </c>
      <c r="AH117" s="611">
        <v>10.0</v>
      </c>
      <c r="AI117" s="611">
        <v>10.0</v>
      </c>
      <c r="AJ117" s="611">
        <v>1.0</v>
      </c>
      <c r="AK117" s="611">
        <v>1.0</v>
      </c>
      <c r="AL117" s="613">
        <f>IF(AA117="","",OFFSET(Biblioteca!$G$2,MATCH(AA117,Biblioteca!$A$3:$A$200,0),)*(1.05^(10-AH117)))</f>
        <v>0</v>
      </c>
      <c r="AM117" s="614"/>
      <c r="AN117" s="615"/>
      <c r="AO117" s="612">
        <f t="shared" ref="AO117:AO119" si="70">IF(AX116="",AO116,AO116+1)</f>
        <v>2</v>
      </c>
      <c r="AP117" s="609" t="s">
        <v>242</v>
      </c>
      <c r="AU117" s="610" t="s">
        <v>237</v>
      </c>
      <c r="AV117" s="611">
        <v>2.0</v>
      </c>
      <c r="AW117" s="611">
        <v>10.0</v>
      </c>
      <c r="AX117" s="611">
        <v>10.0</v>
      </c>
      <c r="AY117" s="611">
        <v>1.0</v>
      </c>
      <c r="AZ117" s="611">
        <v>1.0</v>
      </c>
      <c r="BA117" s="613">
        <f>IF(AP117="","",OFFSET(Biblioteca!$G$2,MATCH(AP117,Biblioteca!$A$3:$A$200,0),)*(1.05^(10-AW117)))</f>
        <v>0</v>
      </c>
      <c r="BB117" s="614"/>
      <c r="BC117" s="615"/>
      <c r="BD117" s="612">
        <f t="shared" ref="BD117:BD119" si="71">IF(BM116="",BD116,BD116+1)</f>
        <v>2</v>
      </c>
      <c r="BE117" s="609" t="s">
        <v>314</v>
      </c>
      <c r="BJ117" s="610" t="s">
        <v>237</v>
      </c>
      <c r="BK117" s="611">
        <v>2.0</v>
      </c>
      <c r="BL117" s="611">
        <v>10.0</v>
      </c>
      <c r="BM117" s="611">
        <v>10.0</v>
      </c>
      <c r="BN117" s="611">
        <v>1.0</v>
      </c>
      <c r="BO117" s="611">
        <v>2.0</v>
      </c>
      <c r="BP117" s="613">
        <f>IF(BE117="","",OFFSET(Biblioteca!$G$2,MATCH(BE117,Biblioteca!$A$3:$A$200,0),)*(1.05^(10-BL117)))</f>
        <v>0</v>
      </c>
      <c r="BQ117" s="614"/>
      <c r="BR117" s="615"/>
      <c r="BS117" s="612">
        <f t="shared" ref="BS117:BS119" si="72">IF(CB116="",BS116,BS116+1)</f>
        <v>2</v>
      </c>
      <c r="BT117" s="609" t="s">
        <v>314</v>
      </c>
      <c r="BY117" s="610" t="s">
        <v>237</v>
      </c>
      <c r="BZ117" s="611">
        <v>2.0</v>
      </c>
      <c r="CA117" s="611">
        <v>10.0</v>
      </c>
      <c r="CB117" s="611">
        <v>10.0</v>
      </c>
      <c r="CC117" s="611">
        <v>1.0</v>
      </c>
      <c r="CD117" s="611">
        <v>2.0</v>
      </c>
      <c r="CE117" s="613">
        <f>IF(BT117="","",OFFSET(Biblioteca!$G$2,MATCH(BT117,Biblioteca!$A$3:$A$200,0),)*(1.05^(10-CA117)))</f>
        <v>0</v>
      </c>
      <c r="CF117" s="614"/>
      <c r="CG117" s="615"/>
      <c r="CH117" s="612">
        <f t="shared" ref="CH117:CH119" si="73">IF(CQ116="",CH116,CH116+1)</f>
        <v>2</v>
      </c>
      <c r="CI117" s="609" t="s">
        <v>242</v>
      </c>
      <c r="CN117" s="610" t="s">
        <v>237</v>
      </c>
      <c r="CO117" s="611">
        <v>2.0</v>
      </c>
      <c r="CP117" s="611">
        <v>10.0</v>
      </c>
      <c r="CQ117" s="611">
        <v>10.0</v>
      </c>
      <c r="CR117" s="611">
        <v>1.0</v>
      </c>
      <c r="CS117" s="611">
        <v>1.0</v>
      </c>
      <c r="CT117" s="613">
        <f>IF(CI117="","",OFFSET(Biblioteca!$G$2,MATCH(CI117,Biblioteca!$A$3:$A$200,0),)*(1.05^(10-CP117)))</f>
        <v>0</v>
      </c>
      <c r="CU117" s="614"/>
      <c r="CV117" s="579"/>
      <c r="CW117" s="608">
        <f t="shared" ref="CW117:CW119" si="74">IF(DF116="",CW116,CW116+1)</f>
        <v>1</v>
      </c>
      <c r="CX117" s="619"/>
      <c r="DC117" s="620"/>
      <c r="DD117" s="618"/>
      <c r="DE117" s="618"/>
      <c r="DF117" s="618"/>
      <c r="DG117" s="618"/>
      <c r="DH117" s="618"/>
      <c r="DI117" s="617" t="str">
        <f>IF(CX117="","",OFFSET(Biblioteca!$G$2,MATCH(CX117,Biblioteca!$A$3:$A$200,0),)*(1.05^(10-DE117)))</f>
        <v/>
      </c>
      <c r="DJ117" s="618"/>
      <c r="DK117" s="579"/>
    </row>
    <row r="118" ht="14.25" customHeight="1">
      <c r="A118" s="492" t="str">
        <f>"S "&amp;$AD102&amp;" - "&amp;TEXT(C112,"dd/mm")</f>
        <v>S 3 - 26/01</v>
      </c>
      <c r="B118" s="592" t="s">
        <v>248</v>
      </c>
      <c r="C118" s="648">
        <v>0.85</v>
      </c>
      <c r="D118" s="623"/>
      <c r="E118" s="622"/>
      <c r="F118" s="621">
        <v>0.5</v>
      </c>
      <c r="G118" s="621"/>
      <c r="H118" s="623"/>
      <c r="I118" s="624"/>
      <c r="J118" s="505"/>
      <c r="K118" s="608">
        <f t="shared" si="68"/>
        <v>3</v>
      </c>
      <c r="L118" s="609" t="s">
        <v>249</v>
      </c>
      <c r="Q118" s="610" t="s">
        <v>237</v>
      </c>
      <c r="R118" s="611">
        <v>2.0</v>
      </c>
      <c r="S118" s="611">
        <v>10.0</v>
      </c>
      <c r="T118" s="611">
        <v>10.0</v>
      </c>
      <c r="U118" s="611">
        <v>1.0</v>
      </c>
      <c r="V118" s="611">
        <v>1.0</v>
      </c>
      <c r="W118" s="613">
        <f>IF(L118="","",OFFSET(Biblioteca!$G$2,MATCH(L118,Biblioteca!$A$3:$A$200,0),)*(1.05^(10-S118)))</f>
        <v>0</v>
      </c>
      <c r="X118" s="614"/>
      <c r="Y118" s="615"/>
      <c r="Z118" s="612">
        <f t="shared" si="69"/>
        <v>3</v>
      </c>
      <c r="AA118" s="609" t="s">
        <v>242</v>
      </c>
      <c r="AF118" s="610" t="s">
        <v>237</v>
      </c>
      <c r="AG118" s="611">
        <v>2.0</v>
      </c>
      <c r="AH118" s="611">
        <v>10.0</v>
      </c>
      <c r="AI118" s="611">
        <v>10.0</v>
      </c>
      <c r="AJ118" s="611">
        <v>1.0</v>
      </c>
      <c r="AK118" s="611">
        <v>1.0</v>
      </c>
      <c r="AL118" s="613">
        <f>IF(AA118="","",OFFSET(Biblioteca!$G$2,MATCH(AA118,Biblioteca!$A$3:$A$200,0),)*(1.05^(10-AH118)))</f>
        <v>0</v>
      </c>
      <c r="AM118" s="614"/>
      <c r="AN118" s="615"/>
      <c r="AO118" s="612">
        <f t="shared" si="70"/>
        <v>3</v>
      </c>
      <c r="AP118" s="609" t="s">
        <v>250</v>
      </c>
      <c r="AU118" s="610" t="s">
        <v>237</v>
      </c>
      <c r="AV118" s="611">
        <v>1.0</v>
      </c>
      <c r="AW118" s="611">
        <v>50.0</v>
      </c>
      <c r="AX118" s="625">
        <v>60.0</v>
      </c>
      <c r="AY118" s="611">
        <v>0.0</v>
      </c>
      <c r="AZ118" s="611">
        <v>1.0</v>
      </c>
      <c r="BA118" s="613">
        <f>IF(AP118="","",OFFSET(Biblioteca!$G$2,MATCH(AP118,Biblioteca!$A$3:$A$200,0),)*(1.05^(10-AW118)))</f>
        <v>0</v>
      </c>
      <c r="BB118" s="614"/>
      <c r="BC118" s="615"/>
      <c r="BD118" s="612">
        <f t="shared" si="71"/>
        <v>3</v>
      </c>
      <c r="BE118" s="609" t="s">
        <v>250</v>
      </c>
      <c r="BJ118" s="610" t="s">
        <v>237</v>
      </c>
      <c r="BK118" s="611">
        <v>1.0</v>
      </c>
      <c r="BL118" s="611">
        <v>50.0</v>
      </c>
      <c r="BM118" s="614"/>
      <c r="BN118" s="614"/>
      <c r="BO118" s="614"/>
      <c r="BP118" s="613">
        <f>IF(BE118="","",OFFSET(Biblioteca!$G$2,MATCH(BE118,Biblioteca!$A$3:$A$200,0),)*(1.05^(10-BL118)))</f>
        <v>0</v>
      </c>
      <c r="BQ118" s="614"/>
      <c r="BR118" s="615"/>
      <c r="BS118" s="612">
        <f t="shared" si="72"/>
        <v>3</v>
      </c>
      <c r="BT118" s="609" t="s">
        <v>250</v>
      </c>
      <c r="BY118" s="610" t="s">
        <v>237</v>
      </c>
      <c r="BZ118" s="611">
        <v>1.0</v>
      </c>
      <c r="CA118" s="611">
        <v>50.0</v>
      </c>
      <c r="CB118" s="614"/>
      <c r="CC118" s="614"/>
      <c r="CD118" s="614"/>
      <c r="CE118" s="613">
        <f>IF(BT118="","",OFFSET(Biblioteca!$G$2,MATCH(BT118,Biblioteca!$A$3:$A$200,0),)*(1.05^(10-CA118)))</f>
        <v>0</v>
      </c>
      <c r="CF118" s="614"/>
      <c r="CG118" s="615"/>
      <c r="CH118" s="612">
        <f t="shared" si="73"/>
        <v>3</v>
      </c>
      <c r="CI118" s="609" t="s">
        <v>250</v>
      </c>
      <c r="CN118" s="610" t="s">
        <v>237</v>
      </c>
      <c r="CO118" s="611">
        <v>1.0</v>
      </c>
      <c r="CP118" s="611">
        <v>50.0</v>
      </c>
      <c r="CQ118" s="625">
        <v>60.0</v>
      </c>
      <c r="CR118" s="611">
        <v>0.0</v>
      </c>
      <c r="CS118" s="611">
        <v>1.0</v>
      </c>
      <c r="CT118" s="613">
        <f>IF(CI118="","",OFFSET(Biblioteca!$G$2,MATCH(CI118,Biblioteca!$A$3:$A$200,0),)*(1.05^(10-CP118)))</f>
        <v>0</v>
      </c>
      <c r="CU118" s="614"/>
      <c r="CV118" s="588"/>
      <c r="CW118" s="608">
        <f t="shared" si="74"/>
        <v>1</v>
      </c>
      <c r="CX118" s="619"/>
      <c r="DC118" s="620"/>
      <c r="DD118" s="618"/>
      <c r="DE118" s="618"/>
      <c r="DF118" s="618"/>
      <c r="DG118" s="618"/>
      <c r="DH118" s="618"/>
      <c r="DI118" s="617" t="str">
        <f>IF(CX118="","",OFFSET(Biblioteca!$G$2,MATCH(CX118,Biblioteca!$A$3:$A$200,0),)*(1.05^(10-DE118)))</f>
        <v/>
      </c>
      <c r="DJ118" s="618"/>
      <c r="DK118" s="588"/>
    </row>
    <row r="119" ht="14.25" customHeight="1">
      <c r="A119" s="492" t="str">
        <f>"S "&amp;$AD102&amp;" - "&amp;TEXT(C112,"dd/mm")</f>
        <v>S 3 - 26/01</v>
      </c>
      <c r="B119" s="592" t="s">
        <v>254</v>
      </c>
      <c r="C119" s="648">
        <v>0.9</v>
      </c>
      <c r="D119" s="648">
        <v>1.2</v>
      </c>
      <c r="E119" s="622"/>
      <c r="F119" s="621">
        <v>0.6</v>
      </c>
      <c r="G119" s="621">
        <v>1.2</v>
      </c>
      <c r="H119" s="623"/>
      <c r="I119" s="624"/>
      <c r="J119" s="505"/>
      <c r="K119" s="608">
        <f t="shared" si="68"/>
        <v>4</v>
      </c>
      <c r="L119" s="609"/>
      <c r="Q119" s="609"/>
      <c r="R119" s="614"/>
      <c r="S119" s="614"/>
      <c r="T119" s="614"/>
      <c r="U119" s="614"/>
      <c r="V119" s="614"/>
      <c r="W119" s="626" t="str">
        <f>IF(L119="","",OFFSET(Biblioteca!$G$2,MATCH(L119,Biblioteca!$A$3:$A$200,0),)*(1.05^(10-S119)))</f>
        <v/>
      </c>
      <c r="X119" s="614"/>
      <c r="Y119" s="615"/>
      <c r="Z119" s="612">
        <f t="shared" si="69"/>
        <v>4</v>
      </c>
      <c r="AA119" s="609"/>
      <c r="AF119" s="609"/>
      <c r="AG119" s="614"/>
      <c r="AH119" s="614"/>
      <c r="AI119" s="614"/>
      <c r="AJ119" s="614"/>
      <c r="AK119" s="614"/>
      <c r="AL119" s="626" t="str">
        <f>IF(AA119="","",OFFSET(Biblioteca!$G$2,MATCH(AA119,Biblioteca!$A$3:$A$200,0),)*(1.05^(10-AH119)))</f>
        <v/>
      </c>
      <c r="AM119" s="614"/>
      <c r="AN119" s="615"/>
      <c r="AO119" s="612">
        <f t="shared" si="70"/>
        <v>4</v>
      </c>
      <c r="AP119" s="609"/>
      <c r="AU119" s="609"/>
      <c r="AV119" s="614"/>
      <c r="AW119" s="614"/>
      <c r="AX119" s="614"/>
      <c r="AY119" s="614"/>
      <c r="AZ119" s="614"/>
      <c r="BA119" s="626" t="str">
        <f>IF(AP119="","",OFFSET(Biblioteca!$G$2,MATCH(AP119,Biblioteca!$A$3:$A$200,0),)*(1.05^(10-AW119)))</f>
        <v/>
      </c>
      <c r="BB119" s="614"/>
      <c r="BC119" s="615"/>
      <c r="BD119" s="612">
        <f t="shared" si="71"/>
        <v>3</v>
      </c>
      <c r="BE119" s="609"/>
      <c r="BJ119" s="609"/>
      <c r="BK119" s="614"/>
      <c r="BL119" s="614"/>
      <c r="BM119" s="614"/>
      <c r="BN119" s="614"/>
      <c r="BO119" s="614"/>
      <c r="BP119" s="626" t="str">
        <f>IF(BE119="","",OFFSET(Biblioteca!$G$2,MATCH(BE119,Biblioteca!$A$3:$A$200,0),)*(1.05^(10-BL119)))</f>
        <v/>
      </c>
      <c r="BQ119" s="614"/>
      <c r="BR119" s="615"/>
      <c r="BS119" s="612">
        <f t="shared" si="72"/>
        <v>3</v>
      </c>
      <c r="BT119" s="609"/>
      <c r="BY119" s="609"/>
      <c r="BZ119" s="614"/>
      <c r="CA119" s="614"/>
      <c r="CB119" s="614"/>
      <c r="CC119" s="614"/>
      <c r="CD119" s="614"/>
      <c r="CE119" s="626" t="str">
        <f>IF(BT119="","",OFFSET(Biblioteca!$G$2,MATCH(BT119,Biblioteca!$A$3:$A$200,0),)*(1.05^(10-CA119)))</f>
        <v/>
      </c>
      <c r="CF119" s="614"/>
      <c r="CG119" s="615"/>
      <c r="CH119" s="612">
        <f t="shared" si="73"/>
        <v>4</v>
      </c>
      <c r="CI119" s="609"/>
      <c r="CN119" s="609"/>
      <c r="CO119" s="614"/>
      <c r="CP119" s="614"/>
      <c r="CQ119" s="614"/>
      <c r="CR119" s="614"/>
      <c r="CS119" s="614"/>
      <c r="CT119" s="626" t="str">
        <f>IF(CI119="","",OFFSET(Biblioteca!$G$2,MATCH(CI119,Biblioteca!$A$3:$A$200,0),)*(1.05^(10-CP119)))</f>
        <v/>
      </c>
      <c r="CU119" s="614"/>
      <c r="CV119" s="588"/>
      <c r="CW119" s="608">
        <f t="shared" si="74"/>
        <v>1</v>
      </c>
      <c r="CX119" s="619"/>
      <c r="DC119" s="620"/>
      <c r="DD119" s="618"/>
      <c r="DE119" s="618"/>
      <c r="DF119" s="618"/>
      <c r="DG119" s="618"/>
      <c r="DH119" s="618"/>
      <c r="DI119" s="617" t="str">
        <f>IF(CX119="","",OFFSET(Biblioteca!$G$2,MATCH(CX119,Biblioteca!$A$3:$A$200,0),)*(1.05^(10-DE119)))</f>
        <v/>
      </c>
      <c r="DJ119" s="618"/>
      <c r="DK119" s="588"/>
    </row>
    <row r="120" ht="14.25" customHeight="1">
      <c r="A120" s="492" t="str">
        <f>"S "&amp;$AD102&amp;" - "&amp;TEXT(C112,"dd/mm")</f>
        <v>S 3 - 26/01</v>
      </c>
      <c r="B120" s="592" t="s">
        <v>256</v>
      </c>
      <c r="C120" s="601"/>
      <c r="D120" s="623"/>
      <c r="E120" s="600"/>
      <c r="F120" s="601"/>
      <c r="G120" s="601"/>
      <c r="H120" s="601"/>
      <c r="I120" s="607"/>
      <c r="J120" s="505"/>
      <c r="K120" s="627"/>
      <c r="L120" s="9"/>
      <c r="M120" s="628" t="s">
        <v>257</v>
      </c>
      <c r="N120" s="9"/>
      <c r="O120" s="629"/>
      <c r="P120" s="630"/>
      <c r="Q120" s="630"/>
      <c r="R120" s="630"/>
      <c r="S120" s="631" t="str">
        <f>OFFSET($B116,0,WEEKDAY(K108,2))&amp;" "&amp;OFFSET($B121,0,WEEKDAY(K108,2))&amp;"x"&amp;OFFSET($B120,0,WEEKDAY(K108,2))</f>
        <v>Esteira 5x</v>
      </c>
      <c r="T120" s="630"/>
      <c r="U120" s="630"/>
      <c r="V120" s="630"/>
      <c r="W120" s="630"/>
      <c r="X120" s="630"/>
      <c r="Y120" s="632"/>
      <c r="Z120" s="9"/>
      <c r="AA120" s="9"/>
      <c r="AB120" s="628" t="s">
        <v>257</v>
      </c>
      <c r="AC120" s="9"/>
      <c r="AD120" s="629"/>
      <c r="AE120" s="630"/>
      <c r="AF120" s="630"/>
      <c r="AG120" s="630"/>
      <c r="AH120" s="631" t="str">
        <f>OFFSET($B116,0,WEEKDAY(Z108,2))&amp;" "&amp;OFFSET($B121,0,WEEKDAY(Z108,2))&amp;"x"&amp;OFFSET($B120,0,WEEKDAY(Z108,2))</f>
        <v>Bicicleta 5x</v>
      </c>
      <c r="AI120" s="630"/>
      <c r="AJ120" s="630"/>
      <c r="AK120" s="630"/>
      <c r="AL120" s="630"/>
      <c r="AM120" s="630"/>
      <c r="AN120" s="632"/>
      <c r="AO120" s="9"/>
      <c r="AP120" s="627"/>
      <c r="AQ120" s="633" t="s">
        <v>257</v>
      </c>
      <c r="AR120" s="627"/>
      <c r="AS120" s="634"/>
      <c r="AT120" s="635"/>
      <c r="AU120" s="635"/>
      <c r="AV120" s="635"/>
      <c r="AW120" s="635" t="str">
        <f>OFFSET($B116,0,WEEKDAY(AO108,2))&amp;" "&amp;OFFSET($B121,0,WEEKDAY(AO108,2))&amp;"x"&amp;OFFSET($B120,0,WEEKDAY(AO108,2))</f>
        <v> x</v>
      </c>
      <c r="AX120" s="635"/>
      <c r="AY120" s="635"/>
      <c r="AZ120" s="635"/>
      <c r="BA120" s="630"/>
      <c r="BB120" s="630"/>
      <c r="BC120" s="632"/>
      <c r="BD120" s="9"/>
      <c r="BE120" s="9"/>
      <c r="BF120" s="628" t="s">
        <v>257</v>
      </c>
      <c r="BG120" s="9"/>
      <c r="BH120" s="629"/>
      <c r="BI120" s="630"/>
      <c r="BJ120" s="630"/>
      <c r="BK120" s="630"/>
      <c r="BL120" s="631" t="str">
        <f>OFFSET($B116,0,WEEKDAY(BD108,2))&amp;" "&amp;OFFSET($B121,0,WEEKDAY(BD108,2))&amp;"x"&amp;OFFSET($B120,0,WEEKDAY(BD108,2))</f>
        <v>Esteira 1x</v>
      </c>
      <c r="BM120" s="630"/>
      <c r="BN120" s="630"/>
      <c r="BO120" s="630"/>
      <c r="BP120" s="630"/>
      <c r="BQ120" s="630"/>
      <c r="BR120" s="632"/>
      <c r="BS120" s="9"/>
      <c r="BT120" s="9"/>
      <c r="BU120" s="628" t="s">
        <v>257</v>
      </c>
      <c r="BV120" s="9"/>
      <c r="BW120" s="629"/>
      <c r="BX120" s="630"/>
      <c r="BY120" s="630"/>
      <c r="BZ120" s="630"/>
      <c r="CA120" s="631" t="str">
        <f>OFFSET($B116,0,WEEKDAY(BS108,2))&amp;" "&amp;OFFSET($B121,0,WEEKDAY(BS108,2))&amp;"x"&amp;OFFSET($B120,0,WEEKDAY(BS108,2))</f>
        <v>Corda 2x</v>
      </c>
      <c r="CB120" s="630"/>
      <c r="CC120" s="630"/>
      <c r="CD120" s="630"/>
      <c r="CE120" s="630"/>
      <c r="CF120" s="630"/>
      <c r="CG120" s="632"/>
      <c r="CH120" s="9"/>
      <c r="CI120" s="627"/>
      <c r="CJ120" s="633" t="s">
        <v>257</v>
      </c>
      <c r="CK120" s="627"/>
      <c r="CL120" s="634"/>
      <c r="CM120" s="635"/>
      <c r="CN120" s="635"/>
      <c r="CO120" s="635"/>
      <c r="CP120" s="635" t="str">
        <f>OFFSET($B116,0,WEEKDAY(CH108,2))&amp;" "&amp;OFFSET($B121,0,WEEKDAY(CH108,2))&amp;"x"&amp;OFFSET($B120,0,WEEKDAY(CH108,2))</f>
        <v>Pista x</v>
      </c>
      <c r="CQ120" s="635"/>
      <c r="CR120" s="635"/>
      <c r="CS120" s="635"/>
      <c r="CT120" s="630"/>
      <c r="CU120" s="630"/>
      <c r="CV120" s="604"/>
      <c r="CW120" s="627"/>
      <c r="CX120" s="627"/>
      <c r="CY120" s="633" t="s">
        <v>257</v>
      </c>
      <c r="CZ120" s="627"/>
      <c r="DA120" s="634"/>
      <c r="DB120" s="635"/>
      <c r="DC120" s="635"/>
      <c r="DD120" s="635"/>
      <c r="DE120" s="635" t="str">
        <f>OFFSET($B116,0,WEEKDAY(CW108,2))&amp;" "&amp;OFFSET($B121,0,WEEKDAY(CW108,2))&amp;"x"&amp;OFFSET($B120,0,WEEKDAY(CW108,2))</f>
        <v> x</v>
      </c>
      <c r="DF120" s="635"/>
      <c r="DG120" s="635"/>
      <c r="DH120" s="635"/>
      <c r="DI120" s="635"/>
      <c r="DJ120" s="635"/>
      <c r="DK120" s="604"/>
    </row>
    <row r="121" ht="14.25" customHeight="1">
      <c r="A121" s="492" t="str">
        <f>"S "&amp;$AD102&amp;" - "&amp;TEXT(C112,"dd/mm")</f>
        <v>S 3 - 26/01</v>
      </c>
      <c r="B121" s="592" t="s">
        <v>258</v>
      </c>
      <c r="C121" s="704">
        <v>5.0</v>
      </c>
      <c r="D121" s="704">
        <v>5.0</v>
      </c>
      <c r="E121" s="637"/>
      <c r="F121" s="636">
        <v>1.0</v>
      </c>
      <c r="G121" s="636">
        <v>2.0</v>
      </c>
      <c r="H121" s="638"/>
      <c r="I121" s="637"/>
      <c r="J121" s="505"/>
      <c r="K121" s="608">
        <v>1.0</v>
      </c>
      <c r="L121" s="609" t="s">
        <v>232</v>
      </c>
      <c r="Q121" s="609"/>
      <c r="R121" s="614"/>
      <c r="S121" s="614"/>
      <c r="T121" s="611">
        <v>60.0</v>
      </c>
      <c r="U121" s="614"/>
      <c r="V121" s="614"/>
      <c r="W121" s="639">
        <f>IF(L121="","",OFFSET(Biblioteca!$G$2,MATCH(L121,Biblioteca!$A$3:$A$200,0),)*(1.05^(10-S121)))</f>
        <v>0</v>
      </c>
      <c r="X121" s="640"/>
      <c r="Y121" s="632"/>
      <c r="Z121" s="641">
        <v>1.0</v>
      </c>
      <c r="AA121" s="609" t="s">
        <v>233</v>
      </c>
      <c r="AF121" s="609"/>
      <c r="AG121" s="614"/>
      <c r="AH121" s="614"/>
      <c r="AI121" s="611">
        <v>60.0</v>
      </c>
      <c r="AJ121" s="614"/>
      <c r="AK121" s="614"/>
      <c r="AL121" s="639">
        <f>IF(AA121="","",OFFSET(Biblioteca!$G$2,MATCH(AA121,Biblioteca!$A$3:$A$200,0),)*(1.05^(10-AH121)))</f>
        <v>0</v>
      </c>
      <c r="AM121" s="640"/>
      <c r="AN121" s="632"/>
      <c r="AO121" s="641">
        <v>1.0</v>
      </c>
      <c r="AP121" s="642" t="s">
        <v>235</v>
      </c>
      <c r="AU121" s="610"/>
      <c r="AV121" s="625"/>
      <c r="AW121" s="625"/>
      <c r="AX121" s="625"/>
      <c r="AY121" s="611"/>
      <c r="AZ121" s="611"/>
      <c r="BA121" s="639">
        <f>IF(AP121="","",OFFSET(Biblioteca!$G$2,MATCH(AP121,Biblioteca!$A$3:$A$200,0),)*(1.05^(10-AW121)))</f>
        <v>0</v>
      </c>
      <c r="BB121" s="640"/>
      <c r="BC121" s="632"/>
      <c r="BD121" s="641">
        <v>1.0</v>
      </c>
      <c r="BE121" s="645" t="s">
        <v>315</v>
      </c>
      <c r="BJ121" s="705" t="s">
        <v>260</v>
      </c>
      <c r="BK121" s="644">
        <v>3.0</v>
      </c>
      <c r="BL121" s="644">
        <v>10.0</v>
      </c>
      <c r="BM121" s="640"/>
      <c r="BN121" s="644">
        <v>1.0</v>
      </c>
      <c r="BO121" s="644">
        <v>2.0</v>
      </c>
      <c r="BP121" s="639">
        <f>IF(BE121="","",OFFSET(Biblioteca!$G$2,MATCH(BE121,Biblioteca!$A$3:$A$200,0),)*(1.05^(10-BL121)))</f>
        <v>0</v>
      </c>
      <c r="BQ121" s="640"/>
      <c r="BR121" s="632"/>
      <c r="BS121" s="641">
        <v>1.0</v>
      </c>
      <c r="BT121" s="642" t="s">
        <v>234</v>
      </c>
      <c r="BY121" s="609"/>
      <c r="BZ121" s="614"/>
      <c r="CA121" s="614"/>
      <c r="CB121" s="611">
        <v>60.0</v>
      </c>
      <c r="CC121" s="614"/>
      <c r="CD121" s="614"/>
      <c r="CE121" s="639">
        <f>IF(BT121="","",OFFSET(Biblioteca!$G$2,MATCH(BT121,Biblioteca!$A$3:$A$200,0),)*(1.05^(10-CA121)))</f>
        <v>0</v>
      </c>
      <c r="CF121" s="640"/>
      <c r="CG121" s="632"/>
      <c r="CH121" s="641">
        <v>1.0</v>
      </c>
      <c r="CI121" s="642" t="s">
        <v>235</v>
      </c>
      <c r="CN121" s="610"/>
      <c r="CO121" s="625"/>
      <c r="CP121" s="625"/>
      <c r="CQ121" s="625"/>
      <c r="CR121" s="611"/>
      <c r="CS121" s="611"/>
      <c r="CT121" s="639">
        <f>IF(CI121="","",OFFSET(Biblioteca!$G$2,MATCH(CI121,Biblioteca!$A$3:$A$200,0),)*(1.05^(10-CP121)))</f>
        <v>0</v>
      </c>
      <c r="CU121" s="640"/>
      <c r="CV121" s="579"/>
      <c r="CW121" s="608">
        <v>1.0</v>
      </c>
      <c r="CX121" s="609"/>
      <c r="DC121" s="610"/>
      <c r="DD121" s="625"/>
      <c r="DE121" s="625"/>
      <c r="DF121" s="625"/>
      <c r="DG121" s="611"/>
      <c r="DH121" s="611"/>
      <c r="DI121" s="617" t="str">
        <f>IF(CX121="","",OFFSET(Biblioteca!$G$2,MATCH(CX121,Biblioteca!$A$3:$A$200,0),)*(1.05^(10-DE121)))</f>
        <v/>
      </c>
      <c r="DJ121" s="618"/>
      <c r="DK121" s="579"/>
    </row>
    <row r="122" ht="14.25" customHeight="1">
      <c r="A122" s="492" t="str">
        <f>"S "&amp;$AD102&amp;" - "&amp;TEXT(C112,"dd/mm")</f>
        <v>S 3 - 26/01</v>
      </c>
      <c r="B122" s="592" t="s">
        <v>263</v>
      </c>
      <c r="C122" s="606">
        <v>1.0</v>
      </c>
      <c r="D122" s="606">
        <v>1.0</v>
      </c>
      <c r="E122" s="600"/>
      <c r="F122" s="606"/>
      <c r="G122" s="599">
        <v>1.0</v>
      </c>
      <c r="H122" s="601"/>
      <c r="I122" s="600"/>
      <c r="J122" s="505"/>
      <c r="K122" s="608">
        <f t="shared" ref="K122:K140" si="75">IF(T121="",K121,K121+1)</f>
        <v>2</v>
      </c>
      <c r="L122" s="645" t="s">
        <v>278</v>
      </c>
      <c r="Q122" s="705" t="s">
        <v>260</v>
      </c>
      <c r="R122" s="644">
        <v>3.0</v>
      </c>
      <c r="S122" s="646">
        <v>10.0</v>
      </c>
      <c r="T122" s="640"/>
      <c r="U122" s="644">
        <v>1.0</v>
      </c>
      <c r="V122" s="644">
        <v>2.0</v>
      </c>
      <c r="W122" s="639">
        <f>IF(L122="","",OFFSET(Biblioteca!$G$2,MATCH(L122,Biblioteca!$A$3:$A$200,0),)*(1.05^(10-S122)))</f>
        <v>60</v>
      </c>
      <c r="X122" s="640"/>
      <c r="Y122" s="632"/>
      <c r="Z122" s="641">
        <f t="shared" ref="Z122:Z140" si="76">IF(AI121="",Z121,Z121+1)</f>
        <v>2</v>
      </c>
      <c r="AA122" s="645" t="s">
        <v>259</v>
      </c>
      <c r="AF122" s="705" t="s">
        <v>260</v>
      </c>
      <c r="AG122" s="644">
        <v>3.0</v>
      </c>
      <c r="AH122" s="646">
        <v>10.0</v>
      </c>
      <c r="AI122" s="640"/>
      <c r="AJ122" s="644">
        <v>1.0</v>
      </c>
      <c r="AK122" s="644">
        <v>2.0</v>
      </c>
      <c r="AL122" s="639">
        <f>IF(AA122="","",OFFSET(Biblioteca!$G$2,MATCH(AA122,Biblioteca!$A$3:$A$200,0),)*(1.05^(10-AH122)))</f>
        <v>90</v>
      </c>
      <c r="AM122" s="640"/>
      <c r="AN122" s="632"/>
      <c r="AO122" s="641">
        <f t="shared" ref="AO122:AO140" si="77">IF(AX121="",AO121,AO121+1)</f>
        <v>1</v>
      </c>
      <c r="AP122" s="619"/>
      <c r="AU122" s="620"/>
      <c r="AV122" s="618"/>
      <c r="AW122" s="618"/>
      <c r="AX122" s="618"/>
      <c r="AY122" s="618"/>
      <c r="AZ122" s="618"/>
      <c r="BA122" s="639" t="str">
        <f>IF(AP122="","",OFFSET(Biblioteca!$G$2,MATCH(AP122,Biblioteca!$A$3:$A$200,0),)*(1.05^(10-AW122)))</f>
        <v/>
      </c>
      <c r="BB122" s="640"/>
      <c r="BC122" s="632"/>
      <c r="BD122" s="641">
        <f t="shared" ref="BD122:BD140" si="78">IF(BM121="",BD121,BD121+1)</f>
        <v>1</v>
      </c>
      <c r="BE122" s="645" t="s">
        <v>305</v>
      </c>
      <c r="BJ122" s="705" t="s">
        <v>260</v>
      </c>
      <c r="BK122" s="611">
        <v>3.0</v>
      </c>
      <c r="BL122" s="625">
        <v>10.0</v>
      </c>
      <c r="BM122" s="611">
        <v>60.0</v>
      </c>
      <c r="BN122" s="611">
        <v>1.0</v>
      </c>
      <c r="BO122" s="611">
        <v>2.0</v>
      </c>
      <c r="BP122" s="639">
        <f>IF(BE122="","",OFFSET(Biblioteca!$G$2,MATCH(BE122,Biblioteca!$A$3:$A$200,0),)*(1.05^(10-BL122)))</f>
        <v>11.025</v>
      </c>
      <c r="BQ122" s="640"/>
      <c r="BR122" s="632"/>
      <c r="BS122" s="641">
        <f t="shared" ref="BS122:BS140" si="79">IF(CB121="",BS121,BS121+1)</f>
        <v>2</v>
      </c>
      <c r="BT122" s="645" t="s">
        <v>265</v>
      </c>
      <c r="BY122" s="705" t="s">
        <v>260</v>
      </c>
      <c r="BZ122" s="644">
        <v>3.0</v>
      </c>
      <c r="CA122" s="646">
        <v>10.0</v>
      </c>
      <c r="CB122" s="640"/>
      <c r="CC122" s="644">
        <v>1.0</v>
      </c>
      <c r="CD122" s="644">
        <v>2.0</v>
      </c>
      <c r="CE122" s="639">
        <f>IF(BT122="","",OFFSET(Biblioteca!$G$2,MATCH(BT122,Biblioteca!$A$3:$A$200,0),)*(1.05^(10-CA122)))</f>
        <v>78</v>
      </c>
      <c r="CF122" s="640"/>
      <c r="CG122" s="632"/>
      <c r="CH122" s="641">
        <f t="shared" ref="CH122:CH140" si="80">IF(CQ121="",CH121,CH121+1)</f>
        <v>1</v>
      </c>
      <c r="CI122" s="619"/>
      <c r="CN122" s="620"/>
      <c r="CO122" s="618"/>
      <c r="CP122" s="618"/>
      <c r="CQ122" s="618"/>
      <c r="CR122" s="618"/>
      <c r="CS122" s="618"/>
      <c r="CT122" s="639" t="str">
        <f>IF(CI122="","",OFFSET(Biblioteca!$G$2,MATCH(CI122,Biblioteca!$A$3:$A$200,0),)*(1.05^(10-CP122)))</f>
        <v/>
      </c>
      <c r="CU122" s="640"/>
      <c r="CV122" s="579"/>
      <c r="CW122" s="608">
        <f t="shared" ref="CW122:CW140" si="81">IF(DF121="",CW121,CW121+1)</f>
        <v>1</v>
      </c>
      <c r="CX122" s="619"/>
      <c r="DC122" s="620"/>
      <c r="DD122" s="618"/>
      <c r="DE122" s="618"/>
      <c r="DF122" s="618"/>
      <c r="DG122" s="618"/>
      <c r="DH122" s="618"/>
      <c r="DI122" s="617" t="str">
        <f>IF(CX122="","",OFFSET(Biblioteca!$G$2,MATCH(CX122,Biblioteca!$A$3:$A$200,0),)*(1.05^(10-DE122)))</f>
        <v/>
      </c>
      <c r="DJ122" s="618"/>
      <c r="DK122" s="579"/>
    </row>
    <row r="123" ht="14.25" customHeight="1">
      <c r="A123" s="492" t="str">
        <f>"S "&amp;$AD102&amp;" - "&amp;TEXT(C112,"dd/mm")</f>
        <v>S 3 - 26/01</v>
      </c>
      <c r="B123" s="592" t="s">
        <v>267</v>
      </c>
      <c r="C123" s="606">
        <v>180.0</v>
      </c>
      <c r="D123" s="606">
        <v>180.0</v>
      </c>
      <c r="E123" s="600"/>
      <c r="F123" s="599"/>
      <c r="G123" s="599">
        <v>300.0</v>
      </c>
      <c r="H123" s="601"/>
      <c r="I123" s="600"/>
      <c r="J123" s="505"/>
      <c r="K123" s="608">
        <f t="shared" si="75"/>
        <v>2</v>
      </c>
      <c r="L123" s="609" t="s">
        <v>277</v>
      </c>
      <c r="Q123" s="705" t="s">
        <v>260</v>
      </c>
      <c r="R123" s="611">
        <v>3.0</v>
      </c>
      <c r="S123" s="625">
        <v>10.0</v>
      </c>
      <c r="T123" s="611">
        <v>60.0</v>
      </c>
      <c r="U123" s="611">
        <v>1.0</v>
      </c>
      <c r="V123" s="611">
        <v>2.0</v>
      </c>
      <c r="W123" s="639">
        <f>IF(L123="","",OFFSET(Biblioteca!$G$2,MATCH(L123,Biblioteca!$A$3:$A$200,0),)*(1.05^(10-S123)))</f>
        <v>68</v>
      </c>
      <c r="X123" s="640"/>
      <c r="Y123" s="632"/>
      <c r="Z123" s="641">
        <f t="shared" si="76"/>
        <v>2</v>
      </c>
      <c r="AA123" s="609" t="s">
        <v>261</v>
      </c>
      <c r="AF123" s="705" t="s">
        <v>260</v>
      </c>
      <c r="AG123" s="611">
        <v>3.0</v>
      </c>
      <c r="AH123" s="625">
        <v>10.0</v>
      </c>
      <c r="AI123" s="611">
        <v>60.0</v>
      </c>
      <c r="AJ123" s="611">
        <v>1.0</v>
      </c>
      <c r="AK123" s="611">
        <v>2.0</v>
      </c>
      <c r="AL123" s="639">
        <f>IF(AA123="","",OFFSET(Biblioteca!$G$2,MATCH(AA123,Biblioteca!$A$3:$A$200,0),)*(1.05^(10-AH123)))</f>
        <v>100</v>
      </c>
      <c r="AM123" s="640"/>
      <c r="AN123" s="632"/>
      <c r="AO123" s="641">
        <f t="shared" si="77"/>
        <v>1</v>
      </c>
      <c r="AP123" s="619"/>
      <c r="AU123" s="620"/>
      <c r="AV123" s="618"/>
      <c r="AW123" s="618"/>
      <c r="AX123" s="618"/>
      <c r="AY123" s="618"/>
      <c r="AZ123" s="618"/>
      <c r="BA123" s="639" t="str">
        <f>IF(AP123="","",OFFSET(Biblioteca!$G$2,MATCH(AP123,Biblioteca!$A$3:$A$200,0),)*(1.05^(10-AW123)))</f>
        <v/>
      </c>
      <c r="BB123" s="640"/>
      <c r="BC123" s="632"/>
      <c r="BD123" s="641">
        <f t="shared" si="78"/>
        <v>2</v>
      </c>
      <c r="BE123" s="645" t="s">
        <v>288</v>
      </c>
      <c r="BJ123" s="705" t="s">
        <v>260</v>
      </c>
      <c r="BK123" s="644">
        <v>3.0</v>
      </c>
      <c r="BL123" s="646">
        <v>10.0</v>
      </c>
      <c r="BM123" s="640"/>
      <c r="BN123" s="644">
        <v>1.0</v>
      </c>
      <c r="BO123" s="644">
        <v>2.0</v>
      </c>
      <c r="BP123" s="639">
        <f>IF(BE123="","",OFFSET(Biblioteca!$G$2,MATCH(BE123,Biblioteca!$A$3:$A$200,0),)*(1.05^(10-BL123)))</f>
        <v>8.081938266</v>
      </c>
      <c r="BQ123" s="640"/>
      <c r="BR123" s="632"/>
      <c r="BS123" s="641">
        <f t="shared" si="79"/>
        <v>2</v>
      </c>
      <c r="BT123" s="645" t="s">
        <v>282</v>
      </c>
      <c r="BY123" s="705" t="s">
        <v>260</v>
      </c>
      <c r="BZ123" s="611">
        <v>3.0</v>
      </c>
      <c r="CA123" s="625">
        <v>10.0</v>
      </c>
      <c r="CB123" s="611">
        <v>60.0</v>
      </c>
      <c r="CC123" s="611">
        <v>1.0</v>
      </c>
      <c r="CD123" s="611">
        <v>2.0</v>
      </c>
      <c r="CE123" s="639">
        <f>IF(BT123="","",OFFSET(Biblioteca!$G$2,MATCH(BT123,Biblioteca!$A$3:$A$200,0),)*(1.05^(10-CA123)))</f>
        <v>78</v>
      </c>
      <c r="CF123" s="640"/>
      <c r="CG123" s="632"/>
      <c r="CH123" s="641">
        <f t="shared" si="80"/>
        <v>1</v>
      </c>
      <c r="CI123" s="619"/>
      <c r="CN123" s="620"/>
      <c r="CO123" s="618"/>
      <c r="CP123" s="618"/>
      <c r="CQ123" s="618"/>
      <c r="CR123" s="618"/>
      <c r="CS123" s="618"/>
      <c r="CT123" s="639" t="str">
        <f>IF(CI123="","",OFFSET(Biblioteca!$G$2,MATCH(CI123,Biblioteca!$A$3:$A$200,0),)*(1.05^(10-CP123)))</f>
        <v/>
      </c>
      <c r="CU123" s="640"/>
      <c r="CV123" s="579"/>
      <c r="CW123" s="608">
        <f t="shared" si="81"/>
        <v>1</v>
      </c>
      <c r="CX123" s="619"/>
      <c r="DC123" s="620"/>
      <c r="DD123" s="618"/>
      <c r="DE123" s="618"/>
      <c r="DF123" s="618"/>
      <c r="DG123" s="618"/>
      <c r="DH123" s="618"/>
      <c r="DI123" s="617" t="str">
        <f>IF(CX123="","",OFFSET(Biblioteca!$G$2,MATCH(CX123,Biblioteca!$A$3:$A$200,0),)*(1.05^(10-DE123)))</f>
        <v/>
      </c>
      <c r="DJ123" s="618"/>
      <c r="DK123" s="579"/>
    </row>
    <row r="124" ht="14.25" customHeight="1">
      <c r="A124" s="492" t="str">
        <f>"S "&amp;$AD102&amp;" - "&amp;TEXT(C112,"dd/mm")</f>
        <v>S 3 - 26/01</v>
      </c>
      <c r="B124" s="647" t="s">
        <v>272</v>
      </c>
      <c r="C124" s="601"/>
      <c r="D124" s="601"/>
      <c r="E124" s="600"/>
      <c r="F124" s="600"/>
      <c r="G124" s="606"/>
      <c r="H124" s="601"/>
      <c r="I124" s="600"/>
      <c r="J124" s="505"/>
      <c r="K124" s="608">
        <f t="shared" si="75"/>
        <v>3</v>
      </c>
      <c r="L124" s="609" t="s">
        <v>232</v>
      </c>
      <c r="Q124" s="609"/>
      <c r="R124" s="614"/>
      <c r="S124" s="614"/>
      <c r="T124" s="611">
        <v>60.0</v>
      </c>
      <c r="U124" s="614"/>
      <c r="V124" s="614"/>
      <c r="W124" s="639">
        <f>IF(L124="","",OFFSET(Biblioteca!$G$2,MATCH(L124,Biblioteca!$A$3:$A$200,0),)*(1.05^(10-S124)))</f>
        <v>0</v>
      </c>
      <c r="X124" s="640"/>
      <c r="Y124" s="632"/>
      <c r="Z124" s="641">
        <f t="shared" si="76"/>
        <v>3</v>
      </c>
      <c r="AA124" s="609" t="s">
        <v>233</v>
      </c>
      <c r="AF124" s="609"/>
      <c r="AG124" s="614"/>
      <c r="AH124" s="614"/>
      <c r="AI124" s="611">
        <v>60.0</v>
      </c>
      <c r="AJ124" s="614"/>
      <c r="AK124" s="614"/>
      <c r="AL124" s="639">
        <f>IF(AA124="","",OFFSET(Biblioteca!$G$2,MATCH(AA124,Biblioteca!$A$3:$A$200,0),)*(1.05^(10-AH124)))</f>
        <v>0</v>
      </c>
      <c r="AM124" s="640"/>
      <c r="AN124" s="632"/>
      <c r="AO124" s="641">
        <f t="shared" si="77"/>
        <v>1</v>
      </c>
      <c r="AP124" s="609"/>
      <c r="AU124" s="610"/>
      <c r="AV124" s="644"/>
      <c r="AW124" s="644"/>
      <c r="AX124" s="644"/>
      <c r="AY124" s="644"/>
      <c r="AZ124" s="644"/>
      <c r="BA124" s="639" t="str">
        <f>IF(AP124="","",OFFSET(Biblioteca!$G$2,MATCH(AP124,Biblioteca!$A$3:$A$200,0),)*(1.05^(10-AW124)))</f>
        <v/>
      </c>
      <c r="BB124" s="640"/>
      <c r="BC124" s="632"/>
      <c r="BD124" s="641">
        <f t="shared" si="78"/>
        <v>2</v>
      </c>
      <c r="BE124" s="645" t="s">
        <v>297</v>
      </c>
      <c r="BJ124" s="705" t="s">
        <v>260</v>
      </c>
      <c r="BK124" s="611">
        <v>3.0</v>
      </c>
      <c r="BL124" s="625">
        <v>10.0</v>
      </c>
      <c r="BM124" s="611">
        <v>60.0</v>
      </c>
      <c r="BN124" s="611">
        <v>1.0</v>
      </c>
      <c r="BO124" s="611">
        <v>2.0</v>
      </c>
      <c r="BP124" s="639">
        <f>IF(BE124="","",OFFSET(Biblioteca!$G$2,MATCH(BE124,Biblioteca!$A$3:$A$200,0),)*(1.05^(10-BL124)))</f>
        <v>7.053645343</v>
      </c>
      <c r="BQ124" s="640"/>
      <c r="BR124" s="632"/>
      <c r="BS124" s="641">
        <f t="shared" si="79"/>
        <v>3</v>
      </c>
      <c r="BT124" s="645" t="s">
        <v>270</v>
      </c>
      <c r="BY124" s="705" t="s">
        <v>260</v>
      </c>
      <c r="BZ124" s="644">
        <v>3.0</v>
      </c>
      <c r="CA124" s="644">
        <v>8.0</v>
      </c>
      <c r="CB124" s="640"/>
      <c r="CC124" s="644">
        <v>1.0</v>
      </c>
      <c r="CD124" s="644">
        <v>2.0</v>
      </c>
      <c r="CE124" s="639">
        <f>IF(BT124="","",OFFSET(Biblioteca!$G$2,MATCH(BT124,Biblioteca!$A$3:$A$200,0),)*(1.05^(10-CA124)))</f>
        <v>0</v>
      </c>
      <c r="CF124" s="640"/>
      <c r="CG124" s="632"/>
      <c r="CH124" s="641">
        <f t="shared" si="80"/>
        <v>1</v>
      </c>
      <c r="CI124" s="609"/>
      <c r="CN124" s="610"/>
      <c r="CO124" s="644"/>
      <c r="CP124" s="644"/>
      <c r="CQ124" s="644"/>
      <c r="CR124" s="644"/>
      <c r="CS124" s="644"/>
      <c r="CT124" s="639" t="str">
        <f>IF(CI124="","",OFFSET(Biblioteca!$G$2,MATCH(CI124,Biblioteca!$A$3:$A$200,0),)*(1.05^(10-CP124)))</f>
        <v/>
      </c>
      <c r="CU124" s="640"/>
      <c r="CV124" s="588"/>
      <c r="CW124" s="608">
        <f t="shared" si="81"/>
        <v>1</v>
      </c>
      <c r="CX124" s="619"/>
      <c r="DC124" s="620"/>
      <c r="DD124" s="618"/>
      <c r="DE124" s="618"/>
      <c r="DF124" s="618"/>
      <c r="DG124" s="618"/>
      <c r="DH124" s="618"/>
      <c r="DI124" s="617" t="str">
        <f>IF(CX124="","",OFFSET(Biblioteca!$G$2,MATCH(CX124,Biblioteca!$A$3:$A$200,0),)*(1.05^(10-DE124)))</f>
        <v/>
      </c>
      <c r="DJ124" s="618"/>
      <c r="DK124" s="588"/>
    </row>
    <row r="125" ht="14.25" customHeight="1">
      <c r="A125" s="492" t="str">
        <f>"S "&amp;$AD102&amp;" - "&amp;TEXT(C112,"dd/mm")</f>
        <v>S 3 - 26/01</v>
      </c>
      <c r="B125" s="592" t="s">
        <v>276</v>
      </c>
      <c r="C125" s="623"/>
      <c r="D125" s="623"/>
      <c r="E125" s="622"/>
      <c r="F125" s="624"/>
      <c r="G125" s="648"/>
      <c r="H125" s="623"/>
      <c r="I125" s="624"/>
      <c r="J125" s="505"/>
      <c r="K125" s="608">
        <f t="shared" si="75"/>
        <v>4</v>
      </c>
      <c r="L125" s="645" t="s">
        <v>286</v>
      </c>
      <c r="Q125" s="705" t="s">
        <v>260</v>
      </c>
      <c r="R125" s="644">
        <v>3.0</v>
      </c>
      <c r="S125" s="646">
        <v>10.0</v>
      </c>
      <c r="T125" s="640"/>
      <c r="U125" s="644">
        <v>1.0</v>
      </c>
      <c r="V125" s="644">
        <v>2.0</v>
      </c>
      <c r="W125" s="639">
        <f>IF(L125="","",OFFSET(Biblioteca!$G$2,MATCH(L125,Biblioteca!$A$3:$A$200,0),)*(1.05^(10-S125)))</f>
        <v>50</v>
      </c>
      <c r="X125" s="640"/>
      <c r="Y125" s="632"/>
      <c r="Z125" s="641">
        <f t="shared" si="76"/>
        <v>4</v>
      </c>
      <c r="AA125" s="645" t="s">
        <v>266</v>
      </c>
      <c r="AF125" s="705" t="s">
        <v>260</v>
      </c>
      <c r="AG125" s="644">
        <v>3.0</v>
      </c>
      <c r="AH125" s="646">
        <v>10.0</v>
      </c>
      <c r="AI125" s="640"/>
      <c r="AJ125" s="644">
        <v>1.0</v>
      </c>
      <c r="AK125" s="644">
        <v>2.0</v>
      </c>
      <c r="AL125" s="639">
        <f>IF(AA125="","",OFFSET(Biblioteca!$G$2,MATCH(AA125,Biblioteca!$A$3:$A$200,0),)*(1.05^(10-AH125)))</f>
        <v>110.25</v>
      </c>
      <c r="AM125" s="640"/>
      <c r="AN125" s="632"/>
      <c r="AO125" s="641">
        <f t="shared" si="77"/>
        <v>1</v>
      </c>
      <c r="AP125" s="609"/>
      <c r="AU125" s="610"/>
      <c r="AV125" s="611"/>
      <c r="AW125" s="611"/>
      <c r="AX125" s="614"/>
      <c r="AY125" s="611"/>
      <c r="AZ125" s="644"/>
      <c r="BA125" s="639" t="str">
        <f>IF(AP125="","",OFFSET(Biblioteca!$G$2,MATCH(AP125,Biblioteca!$A$3:$A$200,0),)*(1.05^(10-AW125)))</f>
        <v/>
      </c>
      <c r="BB125" s="640"/>
      <c r="BC125" s="632"/>
      <c r="BD125" s="641">
        <f t="shared" si="78"/>
        <v>3</v>
      </c>
      <c r="BE125" s="645" t="s">
        <v>294</v>
      </c>
      <c r="BJ125" s="705" t="s">
        <v>260</v>
      </c>
      <c r="BK125" s="644">
        <v>3.0</v>
      </c>
      <c r="BL125" s="646">
        <v>10.0</v>
      </c>
      <c r="BM125" s="640"/>
      <c r="BN125" s="644">
        <v>1.0</v>
      </c>
      <c r="BO125" s="644">
        <v>2.0</v>
      </c>
      <c r="BP125" s="639">
        <f>IF(BE125="","",OFFSET(Biblioteca!$G$2,MATCH(BE125,Biblioteca!$A$3:$A$200,0),)*(1.05^(10-BL125)))</f>
        <v>8.379</v>
      </c>
      <c r="BQ125" s="640"/>
      <c r="BR125" s="632"/>
      <c r="BS125" s="641">
        <f t="shared" si="79"/>
        <v>3</v>
      </c>
      <c r="BT125" s="645" t="s">
        <v>271</v>
      </c>
      <c r="BY125" s="705" t="s">
        <v>260</v>
      </c>
      <c r="BZ125" s="611">
        <v>3.0</v>
      </c>
      <c r="CA125" s="625">
        <v>10.0</v>
      </c>
      <c r="CB125" s="611">
        <v>60.0</v>
      </c>
      <c r="CC125" s="611">
        <v>1.0</v>
      </c>
      <c r="CD125" s="611">
        <v>2.0</v>
      </c>
      <c r="CE125" s="639">
        <f>IF(BT125="","",OFFSET(Biblioteca!$G$2,MATCH(BT125,Biblioteca!$A$3:$A$200,0),)*(1.05^(10-CA125)))</f>
        <v>15.435</v>
      </c>
      <c r="CF125" s="640"/>
      <c r="CG125" s="632"/>
      <c r="CH125" s="641">
        <f t="shared" si="80"/>
        <v>1</v>
      </c>
      <c r="CI125" s="609"/>
      <c r="CN125" s="610"/>
      <c r="CO125" s="611"/>
      <c r="CP125" s="611"/>
      <c r="CQ125" s="614"/>
      <c r="CR125" s="611"/>
      <c r="CS125" s="644"/>
      <c r="CT125" s="639" t="str">
        <f>IF(CI125="","",OFFSET(Biblioteca!$G$2,MATCH(CI125,Biblioteca!$A$3:$A$200,0),)*(1.05^(10-CP125)))</f>
        <v/>
      </c>
      <c r="CU125" s="640"/>
      <c r="CV125" s="579"/>
      <c r="CW125" s="608">
        <f t="shared" si="81"/>
        <v>1</v>
      </c>
      <c r="CX125" s="619"/>
      <c r="DC125" s="620"/>
      <c r="DD125" s="618"/>
      <c r="DE125" s="618"/>
      <c r="DF125" s="618"/>
      <c r="DG125" s="618"/>
      <c r="DH125" s="618"/>
      <c r="DI125" s="617" t="str">
        <f>IF(CX125="","",OFFSET(Biblioteca!$G$2,MATCH(CX125,Biblioteca!$A$3:$A$200,0),)*(1.05^(10-DE125)))</f>
        <v/>
      </c>
      <c r="DJ125" s="618"/>
      <c r="DK125" s="579"/>
    </row>
    <row r="126" ht="14.25" customHeight="1">
      <c r="A126" s="492" t="str">
        <f>"S "&amp;$AD102&amp;" - "&amp;TEXT(C112,"dd/mm")</f>
        <v>S 3 - 26/01</v>
      </c>
      <c r="B126" s="647" t="s">
        <v>280</v>
      </c>
      <c r="C126" s="649">
        <f t="shared" ref="C126:I126" si="82">IF(OR(C117="IEXT",C117="IINT"),C146+C147,"")</f>
        <v>15</v>
      </c>
      <c r="D126" s="649">
        <f t="shared" si="82"/>
        <v>15</v>
      </c>
      <c r="E126" s="649" t="str">
        <f t="shared" si="82"/>
        <v/>
      </c>
      <c r="F126" s="649" t="str">
        <f t="shared" si="82"/>
        <v/>
      </c>
      <c r="G126" s="650">
        <f t="shared" si="82"/>
        <v>10</v>
      </c>
      <c r="H126" s="651" t="str">
        <f t="shared" si="82"/>
        <v/>
      </c>
      <c r="I126" s="649" t="str">
        <f t="shared" si="82"/>
        <v/>
      </c>
      <c r="J126" s="505"/>
      <c r="K126" s="608">
        <f t="shared" si="75"/>
        <v>4</v>
      </c>
      <c r="L126" s="609" t="s">
        <v>285</v>
      </c>
      <c r="Q126" s="705" t="s">
        <v>260</v>
      </c>
      <c r="R126" s="611">
        <v>3.0</v>
      </c>
      <c r="S126" s="625">
        <v>10.0</v>
      </c>
      <c r="T126" s="611">
        <v>60.0</v>
      </c>
      <c r="U126" s="611">
        <v>1.0</v>
      </c>
      <c r="V126" s="611">
        <v>2.0</v>
      </c>
      <c r="W126" s="639">
        <f>IF(L126="","",OFFSET(Biblioteca!$G$2,MATCH(L126,Biblioteca!$A$3:$A$200,0),)*(1.05^(10-S126)))</f>
        <v>9.426375</v>
      </c>
      <c r="X126" s="640"/>
      <c r="Y126" s="632"/>
      <c r="Z126" s="641">
        <f t="shared" si="76"/>
        <v>4</v>
      </c>
      <c r="AA126" s="609" t="s">
        <v>269</v>
      </c>
      <c r="AF126" s="705" t="s">
        <v>260</v>
      </c>
      <c r="AG126" s="611">
        <v>3.0</v>
      </c>
      <c r="AH126" s="625">
        <v>10.0</v>
      </c>
      <c r="AI126" s="611">
        <v>60.0</v>
      </c>
      <c r="AJ126" s="611">
        <v>1.0</v>
      </c>
      <c r="AK126" s="611">
        <v>2.0</v>
      </c>
      <c r="AL126" s="639">
        <f>IF(AA126="","",OFFSET(Biblioteca!$G$2,MATCH(AA126,Biblioteca!$A$3:$A$200,0),)*(1.05^(10-AH126)))</f>
        <v>5</v>
      </c>
      <c r="AM126" s="640"/>
      <c r="AN126" s="632"/>
      <c r="AO126" s="641">
        <f t="shared" si="77"/>
        <v>1</v>
      </c>
      <c r="AP126" s="609"/>
      <c r="AU126" s="610"/>
      <c r="AV126" s="644"/>
      <c r="AW126" s="644"/>
      <c r="AX126" s="644"/>
      <c r="AY126" s="644"/>
      <c r="AZ126" s="644"/>
      <c r="BA126" s="639" t="str">
        <f>IF(AP126="","",OFFSET(Biblioteca!$G$2,MATCH(AP126,Biblioteca!$A$3:$A$200,0),)*(1.05^(10-AW126)))</f>
        <v/>
      </c>
      <c r="BB126" s="640"/>
      <c r="BC126" s="632"/>
      <c r="BD126" s="641">
        <f t="shared" si="78"/>
        <v>3</v>
      </c>
      <c r="BE126" s="645" t="s">
        <v>316</v>
      </c>
      <c r="BJ126" s="705" t="s">
        <v>260</v>
      </c>
      <c r="BK126" s="611">
        <v>3.0</v>
      </c>
      <c r="BL126" s="625">
        <v>10.0</v>
      </c>
      <c r="BM126" s="611">
        <v>60.0</v>
      </c>
      <c r="BN126" s="611">
        <v>1.0</v>
      </c>
      <c r="BO126" s="611">
        <v>2.0</v>
      </c>
      <c r="BP126" s="639">
        <f>IF(BE126="","",OFFSET(Biblioteca!$G$2,MATCH(BE126,Biblioteca!$A$3:$A$200,0),)*(1.05^(10-BL126)))</f>
        <v>20</v>
      </c>
      <c r="BQ126" s="640"/>
      <c r="BR126" s="632"/>
      <c r="BS126" s="641">
        <f t="shared" si="79"/>
        <v>4</v>
      </c>
      <c r="BT126" s="645" t="s">
        <v>317</v>
      </c>
      <c r="BY126" s="705" t="s">
        <v>260</v>
      </c>
      <c r="BZ126" s="644">
        <v>3.0</v>
      </c>
      <c r="CA126" s="644">
        <v>8.0</v>
      </c>
      <c r="CB126" s="640"/>
      <c r="CC126" s="644">
        <v>1.0</v>
      </c>
      <c r="CD126" s="644">
        <v>2.0</v>
      </c>
      <c r="CE126" s="639">
        <f>IF(BT126="","",OFFSET(Biblioteca!$G$2,MATCH(BT126,Biblioteca!$A$3:$A$200,0),)*(1.05^(10-CA126)))</f>
        <v>0</v>
      </c>
      <c r="CF126" s="640"/>
      <c r="CG126" s="632"/>
      <c r="CH126" s="641">
        <f t="shared" si="80"/>
        <v>1</v>
      </c>
      <c r="CI126" s="609"/>
      <c r="CN126" s="610"/>
      <c r="CO126" s="644"/>
      <c r="CP126" s="644"/>
      <c r="CQ126" s="644"/>
      <c r="CR126" s="644"/>
      <c r="CS126" s="644"/>
      <c r="CT126" s="639" t="str">
        <f>IF(CI126="","",OFFSET(Biblioteca!$G$2,MATCH(CI126,Biblioteca!$A$3:$A$200,0),)*(1.05^(10-CP126)))</f>
        <v/>
      </c>
      <c r="CU126" s="640"/>
      <c r="CV126" s="579"/>
      <c r="CW126" s="608">
        <f t="shared" si="81"/>
        <v>1</v>
      </c>
      <c r="CX126" s="619"/>
      <c r="DC126" s="620"/>
      <c r="DD126" s="618"/>
      <c r="DE126" s="618"/>
      <c r="DF126" s="618"/>
      <c r="DG126" s="618"/>
      <c r="DH126" s="618"/>
      <c r="DI126" s="617" t="str">
        <f>IF(CX126="","",OFFSET(Biblioteca!$G$2,MATCH(CX126,Biblioteca!$A$3:$A$200,0),)*(1.05^(10-DE126)))</f>
        <v/>
      </c>
      <c r="DJ126" s="618"/>
      <c r="DK126" s="579"/>
    </row>
    <row r="127" ht="14.25" customHeight="1">
      <c r="A127" s="492" t="str">
        <f>"S "&amp;$AD102&amp;" - "&amp;TEXT(C112,"dd/mm")</f>
        <v>S 3 - 26/01</v>
      </c>
      <c r="B127" s="592" t="s">
        <v>284</v>
      </c>
      <c r="C127" s="652">
        <f t="shared" ref="C127:F127" si="83">IF(C118="","",(C118+C119)/2)</f>
        <v>0.875</v>
      </c>
      <c r="D127" s="652" t="str">
        <f t="shared" si="83"/>
        <v/>
      </c>
      <c r="E127" s="652" t="str">
        <f t="shared" si="83"/>
        <v/>
      </c>
      <c r="F127" s="652">
        <f t="shared" si="83"/>
        <v>0.55</v>
      </c>
      <c r="G127" s="653" t="str">
        <f t="shared" ref="G127:H127" si="84">IF(G118="","",(G118+G119)/2)</f>
        <v/>
      </c>
      <c r="H127" s="654" t="str">
        <f t="shared" si="84"/>
        <v/>
      </c>
      <c r="I127" s="652" t="str">
        <f>IF(I118="","",(I118+I119)/2)</f>
        <v/>
      </c>
      <c r="J127" s="505"/>
      <c r="K127" s="608">
        <f t="shared" si="75"/>
        <v>5</v>
      </c>
      <c r="L127" s="609" t="s">
        <v>232</v>
      </c>
      <c r="Q127" s="609"/>
      <c r="R127" s="614"/>
      <c r="S127" s="614"/>
      <c r="T127" s="611">
        <v>60.0</v>
      </c>
      <c r="U127" s="614"/>
      <c r="V127" s="614"/>
      <c r="W127" s="639">
        <f>IF(L127="","",OFFSET(Biblioteca!$G$2,MATCH(L127,Biblioteca!$A$3:$A$200,0),)*(1.05^(10-S127)))</f>
        <v>0</v>
      </c>
      <c r="X127" s="640"/>
      <c r="Y127" s="632"/>
      <c r="Z127" s="641">
        <f t="shared" si="76"/>
        <v>5</v>
      </c>
      <c r="AA127" s="609" t="s">
        <v>233</v>
      </c>
      <c r="AF127" s="609"/>
      <c r="AG127" s="614"/>
      <c r="AH127" s="614"/>
      <c r="AI127" s="611">
        <v>60.0</v>
      </c>
      <c r="AJ127" s="614"/>
      <c r="AK127" s="614"/>
      <c r="AL127" s="639">
        <f>IF(AA127="","",OFFSET(Biblioteca!$G$2,MATCH(AA127,Biblioteca!$A$3:$A$200,0),)*(1.05^(10-AH127)))</f>
        <v>0</v>
      </c>
      <c r="AM127" s="640"/>
      <c r="AN127" s="632"/>
      <c r="AO127" s="641">
        <f t="shared" si="77"/>
        <v>1</v>
      </c>
      <c r="AP127" s="609"/>
      <c r="AU127" s="610"/>
      <c r="AV127" s="611"/>
      <c r="AW127" s="611"/>
      <c r="AX127" s="614"/>
      <c r="AY127" s="611"/>
      <c r="AZ127" s="644"/>
      <c r="BA127" s="639" t="str">
        <f>IF(AP127="","",OFFSET(Biblioteca!$G$2,MATCH(AP127,Biblioteca!$A$3:$A$200,0),)*(1.05^(10-AW127)))</f>
        <v/>
      </c>
      <c r="BB127" s="640"/>
      <c r="BC127" s="632"/>
      <c r="BD127" s="641">
        <f t="shared" si="78"/>
        <v>4</v>
      </c>
      <c r="BE127" s="645" t="s">
        <v>318</v>
      </c>
      <c r="BJ127" s="705" t="s">
        <v>260</v>
      </c>
      <c r="BK127" s="644">
        <v>3.0</v>
      </c>
      <c r="BL127" s="646">
        <v>10.0</v>
      </c>
      <c r="BM127" s="640"/>
      <c r="BN127" s="644">
        <v>1.0</v>
      </c>
      <c r="BO127" s="644">
        <v>2.0</v>
      </c>
      <c r="BP127" s="639">
        <f>IF(BE127="","",OFFSET(Biblioteca!$G$2,MATCH(BE127,Biblioteca!$A$3:$A$200,0),)*(1.05^(10-BL127)))</f>
        <v>2.205</v>
      </c>
      <c r="BQ127" s="640"/>
      <c r="BR127" s="632"/>
      <c r="BS127" s="641">
        <f t="shared" si="79"/>
        <v>4</v>
      </c>
      <c r="BT127" s="645" t="s">
        <v>275</v>
      </c>
      <c r="BY127" s="705" t="s">
        <v>260</v>
      </c>
      <c r="BZ127" s="611">
        <v>3.0</v>
      </c>
      <c r="CA127" s="625">
        <v>10.0</v>
      </c>
      <c r="CB127" s="611">
        <v>60.0</v>
      </c>
      <c r="CC127" s="611">
        <v>1.0</v>
      </c>
      <c r="CD127" s="611">
        <v>2.0</v>
      </c>
      <c r="CE127" s="639">
        <f>IF(BT127="","",OFFSET(Biblioteca!$G$2,MATCH(BT127,Biblioteca!$A$3:$A$200,0),)*(1.05^(10-CA127)))</f>
        <v>15.435</v>
      </c>
      <c r="CF127" s="640"/>
      <c r="CG127" s="632"/>
      <c r="CH127" s="641">
        <f t="shared" si="80"/>
        <v>1</v>
      </c>
      <c r="CI127" s="609"/>
      <c r="CN127" s="610"/>
      <c r="CO127" s="611"/>
      <c r="CP127" s="611"/>
      <c r="CQ127" s="614"/>
      <c r="CR127" s="611"/>
      <c r="CS127" s="644"/>
      <c r="CT127" s="639" t="str">
        <f>IF(CI127="","",OFFSET(Biblioteca!$G$2,MATCH(CI127,Biblioteca!$A$3:$A$200,0),)*(1.05^(10-CP127)))</f>
        <v/>
      </c>
      <c r="CU127" s="640"/>
      <c r="CV127" s="579"/>
      <c r="CW127" s="608">
        <f t="shared" si="81"/>
        <v>1</v>
      </c>
      <c r="CX127" s="619"/>
      <c r="DC127" s="620"/>
      <c r="DD127" s="618"/>
      <c r="DE127" s="618"/>
      <c r="DF127" s="618"/>
      <c r="DG127" s="618"/>
      <c r="DH127" s="618"/>
      <c r="DI127" s="617" t="str">
        <f>IF(CX127="","",OFFSET(Biblioteca!$G$2,MATCH(CX127,Biblioteca!$A$3:$A$200,0),)*(1.05^(10-DE127)))</f>
        <v/>
      </c>
      <c r="DJ127" s="618"/>
      <c r="DK127" s="579"/>
    </row>
    <row r="128" ht="14.25" customHeight="1">
      <c r="A128" s="492" t="str">
        <f>"S "&amp;$AD102&amp;" - "&amp;TEXT(C112,"dd/mm")</f>
        <v>S 3 - 26/01</v>
      </c>
      <c r="B128" s="592" t="s">
        <v>289</v>
      </c>
      <c r="C128" s="541" t="str">
        <f>IF(C119="","",VLOOKUP(C118,'Dados de Base'!$D$10:$G$20,2,FALSE)&amp;" - "&amp;VLOOKUP(C119,'Dados de Base'!$D$10:$G$20,2,TRUE))</f>
        <v>142,95 - 148,3</v>
      </c>
      <c r="D128" s="541" t="str">
        <f>IF(D119="","",VLOOKUP(D118,'Dados de Base'!$D$10:$G$20,2,FALSE)&amp;" - "&amp;VLOOKUP(D119,'Dados de Base'!$D$10:$G$20,2,FALSE))</f>
        <v>#N/A</v>
      </c>
      <c r="E128" s="541" t="str">
        <f>IF(E119="","",VLOOKUP(E118,'Dados de Base'!$D$10:$G$20,2,FALSE)&amp;" - "&amp;VLOOKUP(E119,'Dados de Base'!$D$10:$G$20,2,FALSE))</f>
        <v/>
      </c>
      <c r="F128" s="541" t="str">
        <f>IF(F119="","",VLOOKUP(F118,'Dados de Base'!$D$10:$G$20,2,FALSE)&amp;" - "&amp;VLOOKUP(F119,'Dados de Base'!$D$10:$G$20,2,FALSE))</f>
        <v>105,5 - 116,2</v>
      </c>
      <c r="G128" s="655" t="str">
        <f>IF(G119="","",VLOOKUP(G118,'Dados de Base'!$D$10:$G$20,2,FALSE)&amp;" - "&amp;VLOOKUP(G119,'Dados de Base'!$D$10:$G$20,2,FALSE))</f>
        <v>#N/A</v>
      </c>
      <c r="H128" s="656" t="str">
        <f>IF(H119="","",VLOOKUP(H118,'Dados de Base'!$D$10:$G$20,2,FALSE)&amp;" - "&amp;VLOOKUP(H119,'Dados de Base'!$D$10:$G$20,2,FALSE))</f>
        <v/>
      </c>
      <c r="I128" s="593" t="str">
        <f>IF(I119="","",VLOOKUP(I118,'Dados de Base'!$D$10:$G$20,2,FALSE)&amp;" - "&amp;VLOOKUP(I119,'Dados de Base'!$D$10:$G$20,2,FALSE))</f>
        <v/>
      </c>
      <c r="J128" s="505"/>
      <c r="K128" s="608">
        <f t="shared" si="75"/>
        <v>6</v>
      </c>
      <c r="L128" s="645" t="s">
        <v>292</v>
      </c>
      <c r="Q128" s="705" t="s">
        <v>260</v>
      </c>
      <c r="R128" s="644">
        <v>3.0</v>
      </c>
      <c r="S128" s="646">
        <v>10.0</v>
      </c>
      <c r="T128" s="640"/>
      <c r="U128" s="644">
        <v>1.0</v>
      </c>
      <c r="V128" s="644">
        <v>2.0</v>
      </c>
      <c r="W128" s="639">
        <f>IF(L128="","",OFFSET(Biblioteca!$G$2,MATCH(L128,Biblioteca!$A$3:$A$200,0),)*(1.05^(10-S128)))</f>
        <v>8</v>
      </c>
      <c r="X128" s="640"/>
      <c r="Y128" s="632"/>
      <c r="Z128" s="641">
        <f t="shared" si="76"/>
        <v>6</v>
      </c>
      <c r="AA128" s="645" t="s">
        <v>268</v>
      </c>
      <c r="AF128" s="705" t="s">
        <v>260</v>
      </c>
      <c r="AG128" s="644">
        <v>3.0</v>
      </c>
      <c r="AH128" s="646">
        <v>10.0</v>
      </c>
      <c r="AI128" s="640"/>
      <c r="AJ128" s="644">
        <v>1.0</v>
      </c>
      <c r="AK128" s="644">
        <v>2.0</v>
      </c>
      <c r="AL128" s="639">
        <f>IF(AA128="","",OFFSET(Biblioteca!$G$2,MATCH(AA128,Biblioteca!$A$3:$A$200,0),)*(1.05^(10-AH128)))</f>
        <v>170</v>
      </c>
      <c r="AM128" s="640"/>
      <c r="AN128" s="632"/>
      <c r="AO128" s="641">
        <f t="shared" si="77"/>
        <v>1</v>
      </c>
      <c r="AP128" s="645"/>
      <c r="AU128" s="610"/>
      <c r="AV128" s="644"/>
      <c r="AW128" s="644"/>
      <c r="AX128" s="644"/>
      <c r="AY128" s="644"/>
      <c r="AZ128" s="644"/>
      <c r="BA128" s="639" t="str">
        <f>IF(AP128="","",OFFSET(Biblioteca!$G$2,MATCH(AP128,Biblioteca!$A$3:$A$200,0),)*(1.05^(10-AW128)))</f>
        <v/>
      </c>
      <c r="BB128" s="640"/>
      <c r="BC128" s="632"/>
      <c r="BD128" s="641">
        <f t="shared" si="78"/>
        <v>4</v>
      </c>
      <c r="BE128" s="645" t="s">
        <v>319</v>
      </c>
      <c r="BJ128" s="705" t="s">
        <v>260</v>
      </c>
      <c r="BK128" s="611">
        <v>3.0</v>
      </c>
      <c r="BL128" s="625">
        <v>10.0</v>
      </c>
      <c r="BM128" s="611">
        <v>60.0</v>
      </c>
      <c r="BN128" s="611">
        <v>1.0</v>
      </c>
      <c r="BO128" s="611">
        <v>2.0</v>
      </c>
      <c r="BP128" s="639">
        <f>IF(BE128="","",OFFSET(Biblioteca!$G$2,MATCH(BE128,Biblioteca!$A$3:$A$200,0),)*(1.05^(10-BL128)))</f>
        <v>10</v>
      </c>
      <c r="BQ128" s="640"/>
      <c r="BR128" s="632"/>
      <c r="BS128" s="641">
        <f t="shared" si="79"/>
        <v>5</v>
      </c>
      <c r="BT128" s="645" t="s">
        <v>320</v>
      </c>
      <c r="BY128" s="705" t="s">
        <v>260</v>
      </c>
      <c r="BZ128" s="644">
        <v>3.0</v>
      </c>
      <c r="CA128" s="644">
        <v>10.0</v>
      </c>
      <c r="CB128" s="640"/>
      <c r="CC128" s="644">
        <v>1.0</v>
      </c>
      <c r="CD128" s="644">
        <v>2.0</v>
      </c>
      <c r="CE128" s="639">
        <f>IF(BT128="","",OFFSET(Biblioteca!$G$2,MATCH(BT128,Biblioteca!$A$3:$A$200,0),)*(1.05^(10-CA128)))</f>
        <v>0</v>
      </c>
      <c r="CF128" s="640"/>
      <c r="CG128" s="632"/>
      <c r="CH128" s="641">
        <f t="shared" si="80"/>
        <v>1</v>
      </c>
      <c r="CI128" s="645"/>
      <c r="CN128" s="610"/>
      <c r="CO128" s="644"/>
      <c r="CP128" s="644"/>
      <c r="CQ128" s="644"/>
      <c r="CR128" s="644"/>
      <c r="CS128" s="644"/>
      <c r="CT128" s="639" t="str">
        <f>IF(CI128="","",OFFSET(Biblioteca!$G$2,MATCH(CI128,Biblioteca!$A$3:$A$200,0),)*(1.05^(10-CP128)))</f>
        <v/>
      </c>
      <c r="CU128" s="640"/>
      <c r="CV128" s="579"/>
      <c r="CW128" s="608">
        <f t="shared" si="81"/>
        <v>1</v>
      </c>
      <c r="CX128" s="619"/>
      <c r="DC128" s="620"/>
      <c r="DD128" s="618"/>
      <c r="DE128" s="618"/>
      <c r="DF128" s="618"/>
      <c r="DG128" s="618"/>
      <c r="DH128" s="618"/>
      <c r="DI128" s="617" t="str">
        <f>IF(CX128="","",OFFSET(Biblioteca!$G$2,MATCH(CX128,Biblioteca!$A$3:$A$200,0),)*(1.05^(10-DE128)))</f>
        <v/>
      </c>
      <c r="DJ128" s="618"/>
      <c r="DK128" s="579"/>
    </row>
    <row r="129" ht="14.25" customHeight="1">
      <c r="A129" s="492" t="str">
        <f>"S "&amp;$AD102&amp;" - "&amp;TEXT(C112,"dd/mm")</f>
        <v>S 3 - 26/01</v>
      </c>
      <c r="B129" s="592" t="s">
        <v>293</v>
      </c>
      <c r="C129" s="541" t="str">
        <f>IF(C119="","",VLOOKUP(C118,'Dados de Base'!$D$10:$G$20,4,FALSE)&amp;" - "&amp;VLOOKUP(C119,'Dados de Base'!$D$10:$G$20,4,TRUE))</f>
        <v>15,4 - 16,4</v>
      </c>
      <c r="D129" s="541" t="str">
        <f>IF(D119="","",VLOOKUP(D118,'Dados de Base'!$D$10:$G$20,4,FALSE)&amp;" - "&amp;VLOOKUP(D119,'Dados de Base'!$D$10:$G$20,4,FALSE))</f>
        <v>#N/A</v>
      </c>
      <c r="E129" s="541" t="str">
        <f>IF(E119="","",VLOOKUP(E118,'Dados de Base'!$D$10:$G$20,4,FALSE)&amp;" - "&amp;VLOOKUP(E119,'Dados de Base'!$D$10:$G$20,4,FALSE))</f>
        <v/>
      </c>
      <c r="F129" s="541" t="str">
        <f>IF(F119="","",VLOOKUP(F118,'Dados de Base'!$D$10:$G$20,4,FALSE)&amp;" - "&amp;VLOOKUP(F119,'Dados de Base'!$D$10:$G$20,4,FALSE))</f>
        <v>8,5 - 10,9</v>
      </c>
      <c r="G129" s="655" t="str">
        <f>IF(G119="","",VLOOKUP(G118,'Dados de Base'!$D$10:$G$20,4,FALSE)&amp;" - "&amp;VLOOKUP(G119,'Dados de Base'!$D$10:$G$20,4,FALSE))</f>
        <v>#N/A</v>
      </c>
      <c r="H129" s="656" t="str">
        <f>IF(H119="","",VLOOKUP(H118,'Dados de Base'!$D$10:$G$20,4,FALSE)&amp;" - "&amp;VLOOKUP(H119,'Dados de Base'!$D$10:$G$20,4,FALSE))</f>
        <v/>
      </c>
      <c r="I129" s="593" t="str">
        <f>IF(I119="","",VLOOKUP(I118,'Dados de Base'!$D$10:$G$20,4,FALSE)&amp;" - "&amp;VLOOKUP(I119,'Dados de Base'!$D$10:$G$20,4,FALSE))</f>
        <v/>
      </c>
      <c r="J129" s="505"/>
      <c r="K129" s="608">
        <f t="shared" si="75"/>
        <v>6</v>
      </c>
      <c r="L129" s="609" t="s">
        <v>299</v>
      </c>
      <c r="Q129" s="705" t="s">
        <v>260</v>
      </c>
      <c r="R129" s="611">
        <v>3.0</v>
      </c>
      <c r="S129" s="625">
        <v>10.0</v>
      </c>
      <c r="T129" s="611">
        <v>60.0</v>
      </c>
      <c r="U129" s="611">
        <v>1.0</v>
      </c>
      <c r="V129" s="611">
        <v>2.0</v>
      </c>
      <c r="W129" s="639">
        <f>IF(L129="","",OFFSET(Biblioteca!$G$2,MATCH(L129,Biblioteca!$A$3:$A$200,0),)*(1.05^(10-S129)))</f>
        <v>20</v>
      </c>
      <c r="X129" s="640"/>
      <c r="Y129" s="632"/>
      <c r="Z129" s="641">
        <f t="shared" si="76"/>
        <v>6</v>
      </c>
      <c r="AA129" s="609" t="s">
        <v>273</v>
      </c>
      <c r="AF129" s="705" t="s">
        <v>260</v>
      </c>
      <c r="AG129" s="611">
        <v>3.0</v>
      </c>
      <c r="AH129" s="625">
        <v>10.0</v>
      </c>
      <c r="AI129" s="611">
        <v>60.0</v>
      </c>
      <c r="AJ129" s="611">
        <v>1.0</v>
      </c>
      <c r="AK129" s="611">
        <v>2.0</v>
      </c>
      <c r="AL129" s="639">
        <f>IF(AA129="","",OFFSET(Biblioteca!$G$2,MATCH(AA129,Biblioteca!$A$3:$A$200,0),)*(1.05^(10-AH129)))</f>
        <v>220.5</v>
      </c>
      <c r="AM129" s="640"/>
      <c r="AN129" s="632"/>
      <c r="AO129" s="641">
        <f t="shared" si="77"/>
        <v>1</v>
      </c>
      <c r="AP129" s="645"/>
      <c r="AU129" s="610"/>
      <c r="AV129" s="611"/>
      <c r="AW129" s="611"/>
      <c r="AX129" s="614"/>
      <c r="AY129" s="611"/>
      <c r="AZ129" s="644"/>
      <c r="BA129" s="639" t="str">
        <f>IF(AP129="","",OFFSET(Biblioteca!$G$2,MATCH(AP129,Biblioteca!$A$3:$A$200,0),)*(1.05^(10-AW129)))</f>
        <v/>
      </c>
      <c r="BB129" s="640"/>
      <c r="BC129" s="632"/>
      <c r="BD129" s="641">
        <f t="shared" si="78"/>
        <v>5</v>
      </c>
      <c r="BE129" s="645" t="s">
        <v>321</v>
      </c>
      <c r="BJ129" s="705" t="s">
        <v>322</v>
      </c>
      <c r="BK129" s="644">
        <v>3.0</v>
      </c>
      <c r="BL129" s="644">
        <v>20.0</v>
      </c>
      <c r="BM129" s="640"/>
      <c r="BN129" s="644">
        <v>1.0</v>
      </c>
      <c r="BO129" s="644">
        <v>1.0</v>
      </c>
      <c r="BP129" s="639">
        <f>IF(BE129="","",OFFSET(Biblioteca!$G$2,MATCH(BE129,Biblioteca!$A$3:$A$200,0),)*(1.05^(10-BL129)))</f>
        <v>0</v>
      </c>
      <c r="BQ129" s="640"/>
      <c r="BR129" s="632"/>
      <c r="BS129" s="641">
        <f t="shared" si="79"/>
        <v>5</v>
      </c>
      <c r="BT129" s="645" t="s">
        <v>323</v>
      </c>
      <c r="BY129" s="705" t="s">
        <v>260</v>
      </c>
      <c r="BZ129" s="611">
        <v>3.0</v>
      </c>
      <c r="CA129" s="611">
        <v>10.0</v>
      </c>
      <c r="CB129" s="611">
        <v>60.0</v>
      </c>
      <c r="CC129" s="611">
        <v>1.0</v>
      </c>
      <c r="CD129" s="611">
        <v>2.0</v>
      </c>
      <c r="CE129" s="639">
        <f>IF(BT129="","",OFFSET(Biblioteca!$G$2,MATCH(BT129,Biblioteca!$A$3:$A$200,0),)*(1.05^(10-CA129)))</f>
        <v>0</v>
      </c>
      <c r="CF129" s="640"/>
      <c r="CG129" s="632"/>
      <c r="CH129" s="641">
        <f t="shared" si="80"/>
        <v>1</v>
      </c>
      <c r="CI129" s="645"/>
      <c r="CN129" s="610"/>
      <c r="CO129" s="611"/>
      <c r="CP129" s="611"/>
      <c r="CQ129" s="614"/>
      <c r="CR129" s="611"/>
      <c r="CS129" s="644"/>
      <c r="CT129" s="639" t="str">
        <f>IF(CI129="","",OFFSET(Biblioteca!$G$2,MATCH(CI129,Biblioteca!$A$3:$A$200,0),)*(1.05^(10-CP129)))</f>
        <v/>
      </c>
      <c r="CU129" s="640"/>
      <c r="CV129" s="588"/>
      <c r="CW129" s="608">
        <f t="shared" si="81"/>
        <v>1</v>
      </c>
      <c r="CX129" s="619"/>
      <c r="DC129" s="620"/>
      <c r="DD129" s="618"/>
      <c r="DE129" s="618"/>
      <c r="DF129" s="618"/>
      <c r="DG129" s="618"/>
      <c r="DH129" s="618"/>
      <c r="DI129" s="617" t="str">
        <f>IF(CX129="","",OFFSET(Biblioteca!$G$2,MATCH(CX129,Biblioteca!$A$3:$A$200,0),)*(1.05^(10-DE129)))</f>
        <v/>
      </c>
      <c r="DJ129" s="618"/>
      <c r="DK129" s="588"/>
    </row>
    <row r="130">
      <c r="A130" s="492" t="str">
        <f>"S "&amp;$AD102&amp;" - "&amp;TEXT(C112,"dd/mm")</f>
        <v>S 3 - 26/01</v>
      </c>
      <c r="B130" s="592" t="s">
        <v>298</v>
      </c>
      <c r="C130" s="657" t="str">
        <f>IFS(C117="","",OR(C117="CEXT",C117="CINT"),"Mantenha "&amp;(C115/C121)-3&amp;"-"&amp;(C115/C121)&amp;"min em intensidade constante com frequência cardíaca entre "&amp;C128&amp;" bpm ("&amp;C118*100&amp;" - "&amp;C119*100&amp;"% VO2Máx"&amp;IF(C116="Esteira", " -&gt; "&amp;C129&amp;"km/h",IF(C116="Pista", " -&gt; "&amp;C129&amp;"km/h "&amp;"Pace de "&amp;C132&amp;"min/km",""))&amp;")",OR(C117="IEXT",C117="IINT"),C122&amp;"x ("&amp;IF(C123&gt;=60,INT(C123/60)&amp;"m ","")&amp;IF((C123/60)-INT(C123/60)&gt;0,((C123/60)-INT(C123/60))*60&amp;"s ","")&amp;IF(C119=1.2,"all out","a "&amp;C128&amp;" bpm"&amp;IF(C116="Esteira", "-&gt; "&amp;C129&amp;"km/h",IF(C116="Pista", " -&gt; "&amp;C129&amp;"km/h "&amp;"Pace de "&amp;C132&amp;"min/km","")))&amp;IF(C124=0,""," + "&amp;IF(C124/60&gt;=1,INT(C124/60)&amp;"m ","")&amp;IF((C124/60)-INT(C124/60)&gt;0,((C124/60)-INT(C124/60))*60&amp;"s ","")&amp;IFS(C125=0," repouso",C125&lt;0.5," leve",TRUE," a "&amp;VLOOKUP(C125,'Dados de Base'!$D$10:$G$20,2,FALSE)&amp;" bpm"&amp;IF(C116="Esteira", "-&gt; "&amp;VLOOKUP(C125,'Dados de Base'!$D$10:$G$20,4,FALSE)&amp;"km/h",IF(C116="Pista", " -&gt; "&amp;C129&amp;"km/h "&amp;"Pace de "&amp;C132&amp;"min/km",""))))&amp;")")&amp;C131</f>
        <v>1x (3m a 142,95 - 148,3 bpm-&gt; 15,4 - 16,4km/h)</v>
      </c>
      <c r="D130" s="657" t="str">
        <f>IFS(D117="","",OR(D117="CEXT",D117="CINT"),"Mantenha "&amp;(D115/D121)-3&amp;"-"&amp;(D115/D121)&amp;"min em intensidade constante com frequência cardíaca entre "&amp;D128&amp;" bpm ("&amp;D118*100&amp;" - "&amp;D119*100&amp;"% VO2Máx"&amp;IF(D116="Esteira", " -&gt; "&amp;D129&amp;"km/h",IF(D116="Pista", " -&gt; "&amp;D129&amp;"km/h "&amp;"Pace de "&amp;D132&amp;"min/km",""))&amp;")",OR(D117="IEXT",D117="IINT"),D122&amp;"x ("&amp;IF(D123&gt;=60,INT(D123/60)&amp;"m ","")&amp;IF((D123/60)-INT(D123/60)&gt;0,((D123/60)-INT(D123/60))*60&amp;"s ","")&amp;IF(D119=1.2,"all out","a "&amp;D128&amp;" bpm"&amp;IF(D116="Esteira", "-&gt; "&amp;D129&amp;"km/h",IF(D116="Pista", " -&gt; "&amp;D129&amp;"km/h "&amp;"Pace de "&amp;D132&amp;"min/km","")))&amp;IF(D124=0,""," + "&amp;IF(D124/60&gt;=1,INT(D124/60)&amp;"m ","")&amp;IF((D124/60)-INT(D124/60)&gt;0,((D124/60)-INT(D124/60))*60&amp;"s ","")&amp;IFS(D125=0," repouso",D125&lt;0.5," leve",TRUE," a "&amp;VLOOKUP(D125,'Dados de Base'!$D$10:$G$20,2,FALSE)&amp;" bpm"&amp;IF(D116="Esteira", "-&gt; "&amp;VLOOKUP(D125,'Dados de Base'!$D$10:$G$20,4,FALSE)&amp;"km/h",IF(D116="Pista", " -&gt; "&amp;D129&amp;"km/h "&amp;"Pace de "&amp;D132&amp;"min/km",""))))&amp;")")&amp;D131</f>
        <v>1x (3m all out)</v>
      </c>
      <c r="E130" s="657" t="str">
        <f>IFS(E117="","",OR(E117="CEXT",E117="CINT"),"Mantenha "&amp;(E115/E121)-3&amp;"-"&amp;(E115/E121)&amp;"min em intensidade constante com frequência cardíaca entre "&amp;E128&amp;" bpm ("&amp;E118*100&amp;" - "&amp;E119*100&amp;"% VO2Máx"&amp;IF(E116="Esteira", " -&gt; "&amp;E129&amp;"km/h",IF(E116="Pista", " -&gt; "&amp;E129&amp;"km/h "&amp;"Pace de "&amp;E132&amp;"min/km",""))&amp;")",OR(E117="IEXT",E117="IINT"),E122&amp;"x ("&amp;IF(E123&gt;=60,INT(E123/60)&amp;"m ","")&amp;IF((E123/60)-INT(E123/60)&gt;0,((E123/60)-INT(E123/60))*60&amp;"s ","")&amp;IF(E119=1.2,"all out","a "&amp;E128&amp;" bpm"&amp;IF(E116="Esteira", "-&gt; "&amp;E129&amp;"km/h",IF(E116="Pista", " -&gt; "&amp;E129&amp;"km/h "&amp;"Pace de "&amp;E132&amp;"min/km","")))&amp;IF(E124=0,""," + "&amp;IF(E124/60&gt;=1,INT(E124/60)&amp;"m ","")&amp;IF((E124/60)-INT(E124/60)&gt;0,((E124/60)-INT(E124/60))*60&amp;"s ","")&amp;IFS(E125=0," repouso",E125&lt;0.5," leve",TRUE," a "&amp;VLOOKUP(E125,'Dados de Base'!$D$10:$G$20,2,FALSE)&amp;" bpm"&amp;IF(E116="Esteira", "-&gt; "&amp;VLOOKUP(E125,'Dados de Base'!$D$10:$G$20,4,FALSE)&amp;"km/h",IF(E116="Pista", " -&gt; "&amp;E129&amp;"km/h "&amp;"Pace de "&amp;E132&amp;"min/km",""))))&amp;")")&amp;E131</f>
        <v>- Correr 15 km no menor tempo possível.
</v>
      </c>
      <c r="F130" s="657" t="str">
        <f>IFS(F117="","",OR(F117="CEXT",F117="CINT"),"Mantenha "&amp;(F115/F121)-3&amp;"-"&amp;(F115/F121)&amp;"min em intensidade constante com frequência cardíaca entre "&amp;F128&amp;" bpm ("&amp;F118*100&amp;" - "&amp;F119*100&amp;"% VO2Máx"&amp;IF(F116="Esteira", " -&gt; "&amp;F129&amp;"km/h",IF(F116="Pista", " -&gt; "&amp;F129&amp;"km/h "&amp;"Pace de "&amp;F132&amp;"min/km",""))&amp;")",OR(F117="IEXT",F117="IINT"),F122&amp;"x ("&amp;IF(F123&gt;=60,INT(F123/60)&amp;"m ","")&amp;IF((F123/60)-INT(F123/60)&gt;0,((F123/60)-INT(F123/60))*60&amp;"s ","")&amp;IF(F119=1.2,"all out","a "&amp;F128&amp;" bpm"&amp;IF(F116="Esteira", "-&gt; "&amp;F129&amp;"km/h",IF(F116="Pista", " -&gt; "&amp;F129&amp;"km/h "&amp;"Pace de "&amp;F132&amp;"min/km","")))&amp;IF(F124=0,""," + "&amp;IF(F124/60&gt;=1,INT(F124/60)&amp;"m ","")&amp;IF((F124/60)-INT(F124/60)&gt;0,((F124/60)-INT(F124/60))*60&amp;"s ","")&amp;IFS(F125=0," repouso",F125&lt;0.5," leve",TRUE," a "&amp;VLOOKUP(F125,'Dados de Base'!$D$10:$G$20,2,FALSE)&amp;" bpm"&amp;IF(F116="Esteira", "-&gt; "&amp;VLOOKUP(F125,'Dados de Base'!$D$10:$G$20,4,FALSE)&amp;"km/h",IF(F116="Pista", " -&gt; "&amp;F129&amp;"km/h "&amp;"Pace de "&amp;F132&amp;"min/km",""))))&amp;")")&amp;F131</f>
        <v>Mantenha 37-40min em intensidade constante com frequência cardíaca entre 105,5 - 116,2 bpm (50 - 60% VO2Máx -&gt; 8,5 - 10,9km/h)</v>
      </c>
      <c r="G130" s="658" t="str">
        <f>IFS(G117="","",OR(G117="CEXT",G117="CINT"),"Mantenha "&amp;(G115/G121)-3&amp;"-"&amp;(G115/G121)&amp;"min em intensidade constante com frequência cardíaca entre "&amp;G128&amp;" bpm ("&amp;G118*100&amp;" - "&amp;G119*100&amp;"% VO2Máx"&amp;IF(G116="Esteira", " -&gt; "&amp;G129&amp;"km/h",IF(G116="Pista", " -&gt; "&amp;G129&amp;"km/h "&amp;"Pace de "&amp;G132&amp;"min/km",""))&amp;")",OR(G117="IEXT",G117="IINT"),G122&amp;"x ("&amp;IF(G123&gt;=60,INT(G123/60)&amp;"m ","")&amp;IF((G123/60)-INT(G123/60)&gt;0,((G123/60)-INT(G123/60))*60&amp;"s ","")&amp;IF(G119=1.2,"all out","a "&amp;G128&amp;" bpm"&amp;IF(G116="Esteira", "-&gt; "&amp;G129&amp;"km/h",IF(G116="Pista", " -&gt; "&amp;G129&amp;"km/h "&amp;"Pace de "&amp;G132&amp;"min/km","")))&amp;IF(G124=0,""," + "&amp;IF(G124/60&gt;=1,INT(G124/60)&amp;"m ","")&amp;IF((G124/60)-INT(G124/60)&gt;0,((G124/60)-INT(G124/60))*60&amp;"s ","")&amp;IFS(G125=0," repouso",G125&lt;0.5," leve",TRUE," a "&amp;VLOOKUP(G125,'Dados de Base'!$D$10:$G$20,2,FALSE)&amp;" bpm"&amp;IF(G116="Esteira", "-&gt; "&amp;VLOOKUP(G125,'Dados de Base'!$D$10:$G$20,4,FALSE)&amp;"km/h",IF(G116="Pista", " -&gt; "&amp;G129&amp;"km/h "&amp;"Pace de "&amp;G132&amp;"min/km",""))))&amp;")")&amp;G131</f>
        <v>1x (5m all out)</v>
      </c>
      <c r="H130" s="658" t="str">
        <f>IFS(H117="","",OR(H117="CEXT",H117="CINT"),"Mantenha "&amp;(H115/H121)-3&amp;"-"&amp;(H115/H121)&amp;"min em intensidade constante com frequência cardíaca entre "&amp;H128&amp;" bpm ("&amp;H118*100&amp;" - "&amp;H119*100&amp;"% VO2Máx"&amp;IF(H116="Esteira", " -&gt; "&amp;H129&amp;"km/h",IF(H116="Pista", " -&gt; "&amp;H129&amp;"km/h "&amp;"Pace de "&amp;H132&amp;"min/km",""))&amp;")",OR(H117="IEXT",H117="IINT"),H122&amp;"x ("&amp;IF(H123&gt;=60,INT(H123/60)&amp;"m ","")&amp;IF((H123/60)-INT(H123/60)&gt;0,((H123/60)-INT(H123/60))*60&amp;"s ","")&amp;IF(H119=1.2,"all out","a "&amp;H128&amp;" bpm"&amp;IF(H116="Esteira", "-&gt; "&amp;H129&amp;"km/h",IF(H116="Pista", " -&gt; "&amp;H129&amp;"km/h "&amp;"Pace de "&amp;H132&amp;"min/km","")))&amp;IF(H124=0,""," + "&amp;IF(H124/60&gt;=1,INT(H124/60)&amp;"m ","")&amp;IF((H124/60)-INT(H124/60)&gt;0,((H124/60)-INT(H124/60))*60&amp;"s ","")&amp;IFS(H125=0," repouso",H125&lt;0.5," leve",TRUE," a "&amp;VLOOKUP(H125,'Dados de Base'!$D$10:$G$20,2,FALSE)&amp;" bpm"&amp;IF(H116="Esteira", "-&gt; "&amp;VLOOKUP(H125,'Dados de Base'!$D$10:$G$20,4,FALSE)&amp;"km/h",IF(H116="Pista", " -&gt; "&amp;H129&amp;"km/h "&amp;"Pace de "&amp;H132&amp;"min/km",""))))&amp;")")&amp;H131</f>
        <v>***TRAJETO***
- 2 km à 11,0km/h;
- 20km à 12,5 km/h;
- 2 km All out </v>
      </c>
      <c r="I130" s="657" t="str">
        <f>IFS(I117="","",OR(I117="CEXT",I117="CINT"),"Mantenha "&amp;(I115/I121)-3&amp;"-"&amp;(I115/I121)&amp;"min em intensidade constante com frequência cardíaca entre "&amp;I128&amp;" bpm ("&amp;I118*100&amp;" - "&amp;I119*100&amp;"% VO2Máx"&amp;IF(I116="Esteira", " -&gt; "&amp;I129&amp;"km/h",IF(I116="Pista", " -&gt; "&amp;I129&amp;"km/h "&amp;"Pace de "&amp;I132&amp;"min/km",""))&amp;")",OR(I117="IEXT",I117="IINT"),I122&amp;"x ("&amp;IF(I123&gt;=60,INT(I123/60)&amp;"m ","")&amp;IF((I123/60)-INT(I123/60)&gt;0,((I123/60)-INT(I123/60))*60&amp;"s ","")&amp;IF(I119=1.2,"all out","a "&amp;I128&amp;" bpm"&amp;IF(I116="Esteira", "-&gt; "&amp;I129&amp;"km/h",IF(I116="Pista", " -&gt; "&amp;I129&amp;"km/h "&amp;"Pace de "&amp;I132&amp;"min/km","")))&amp;IF(I124=0,""," + "&amp;IF(I124/60&gt;=1,INT(I124/60)&amp;"m ","")&amp;IF((I124/60)-INT(I124/60)&gt;0,((I124/60)-INT(I124/60))*60&amp;"s ","")&amp;IFS(I125=0," repouso",I125&lt;0.5," leve",TRUE," a "&amp;VLOOKUP(I125,'Dados de Base'!$D$10:$G$20,2,FALSE)&amp;" bpm"&amp;IF(I116="Esteira", "-&gt; "&amp;VLOOKUP(I125,'Dados de Base'!$D$10:$G$20,4,FALSE)&amp;"km/h",IF(I116="Pista", " -&gt; "&amp;I129&amp;"km/h "&amp;"Pace de "&amp;I132&amp;"min/km",""))))&amp;")")&amp;I131</f>
        <v/>
      </c>
      <c r="J130" s="659"/>
      <c r="K130" s="608">
        <f t="shared" si="75"/>
        <v>7</v>
      </c>
      <c r="L130" s="609" t="s">
        <v>232</v>
      </c>
      <c r="Q130" s="609"/>
      <c r="R130" s="614"/>
      <c r="S130" s="614"/>
      <c r="T130" s="611">
        <v>60.0</v>
      </c>
      <c r="U130" s="614"/>
      <c r="V130" s="614"/>
      <c r="W130" s="639">
        <f>IF(L130="","",OFFSET(Biblioteca!$G$2,MATCH(L130,Biblioteca!$A$3:$A$200,0),)*(1.05^(10-S130)))</f>
        <v>0</v>
      </c>
      <c r="X130" s="640"/>
      <c r="Y130" s="632"/>
      <c r="Z130" s="641">
        <f t="shared" si="76"/>
        <v>7</v>
      </c>
      <c r="AA130" s="609" t="s">
        <v>233</v>
      </c>
      <c r="AF130" s="609"/>
      <c r="AG130" s="614"/>
      <c r="AH130" s="614"/>
      <c r="AI130" s="611">
        <v>60.0</v>
      </c>
      <c r="AJ130" s="614"/>
      <c r="AK130" s="614"/>
      <c r="AL130" s="639">
        <f>IF(AA130="","",OFFSET(Biblioteca!$G$2,MATCH(AA130,Biblioteca!$A$3:$A$200,0),)*(1.05^(10-AH130)))</f>
        <v>0</v>
      </c>
      <c r="AM130" s="640"/>
      <c r="AN130" s="632"/>
      <c r="AO130" s="641">
        <f t="shared" si="77"/>
        <v>1</v>
      </c>
      <c r="AP130" s="645"/>
      <c r="AU130" s="610"/>
      <c r="AV130" s="644"/>
      <c r="AW130" s="644"/>
      <c r="AX130" s="644"/>
      <c r="AY130" s="644"/>
      <c r="AZ130" s="644"/>
      <c r="BA130" s="639" t="str">
        <f>IF(AP130="","",OFFSET(Biblioteca!$G$2,MATCH(AP130,Biblioteca!$A$3:$A$200,0),)*(1.05^(10-AW130)))</f>
        <v/>
      </c>
      <c r="BB130" s="640"/>
      <c r="BC130" s="632"/>
      <c r="BD130" s="641">
        <f t="shared" si="78"/>
        <v>5</v>
      </c>
      <c r="BE130" s="645" t="s">
        <v>324</v>
      </c>
      <c r="BJ130" s="705" t="s">
        <v>322</v>
      </c>
      <c r="BK130" s="644">
        <v>3.0</v>
      </c>
      <c r="BL130" s="644">
        <v>15.0</v>
      </c>
      <c r="BM130" s="640"/>
      <c r="BN130" s="644">
        <v>1.0</v>
      </c>
      <c r="BO130" s="644">
        <v>1.0</v>
      </c>
      <c r="BP130" s="639">
        <f>IF(BE130="","",OFFSET(Biblioteca!$G$2,MATCH(BE130,Biblioteca!$A$3:$A$200,0),)*(1.05^(10-BL130)))</f>
        <v>0</v>
      </c>
      <c r="BQ130" s="640"/>
      <c r="BR130" s="632"/>
      <c r="BS130" s="641">
        <f t="shared" si="79"/>
        <v>6</v>
      </c>
      <c r="BT130" s="645" t="s">
        <v>325</v>
      </c>
      <c r="BY130" s="705" t="s">
        <v>260</v>
      </c>
      <c r="BZ130" s="644">
        <v>3.0</v>
      </c>
      <c r="CA130" s="644">
        <v>15.0</v>
      </c>
      <c r="CB130" s="640"/>
      <c r="CC130" s="644">
        <v>1.0</v>
      </c>
      <c r="CD130" s="644">
        <v>1.0</v>
      </c>
      <c r="CE130" s="639">
        <f>IF(BT130="","",OFFSET(Biblioteca!$G$2,MATCH(BT130,Biblioteca!$A$3:$A$200,0),)*(1.05^(10-CA130)))</f>
        <v>0</v>
      </c>
      <c r="CF130" s="640"/>
      <c r="CG130" s="632"/>
      <c r="CH130" s="641">
        <f t="shared" si="80"/>
        <v>1</v>
      </c>
      <c r="CI130" s="645"/>
      <c r="CN130" s="610"/>
      <c r="CO130" s="644"/>
      <c r="CP130" s="644"/>
      <c r="CQ130" s="644"/>
      <c r="CR130" s="644"/>
      <c r="CS130" s="644"/>
      <c r="CT130" s="639" t="str">
        <f>IF(CI130="","",OFFSET(Biblioteca!$G$2,MATCH(CI130,Biblioteca!$A$3:$A$200,0),)*(1.05^(10-CP130)))</f>
        <v/>
      </c>
      <c r="CU130" s="640"/>
      <c r="CV130" s="579"/>
      <c r="CW130" s="608">
        <f t="shared" si="81"/>
        <v>1</v>
      </c>
      <c r="CX130" s="619"/>
      <c r="DC130" s="620"/>
      <c r="DD130" s="618"/>
      <c r="DE130" s="618"/>
      <c r="DF130" s="618"/>
      <c r="DG130" s="618"/>
      <c r="DH130" s="618"/>
      <c r="DI130" s="617" t="str">
        <f>IF(CX130="","",OFFSET(Biblioteca!$G$2,MATCH(CX130,Biblioteca!$A$3:$A$200,0),)*(1.05^(10-DE130)))</f>
        <v/>
      </c>
      <c r="DJ130" s="618"/>
      <c r="DK130" s="579"/>
    </row>
    <row r="131" ht="72.0" customHeight="1">
      <c r="A131" s="492" t="str">
        <f>"S "&amp;$AD102&amp;" - "&amp;TEXT(C112,"dd/mm")</f>
        <v>S 3 - 26/01</v>
      </c>
      <c r="B131" s="647" t="s">
        <v>302</v>
      </c>
      <c r="C131" s="660"/>
      <c r="D131" s="661"/>
      <c r="E131" s="662" t="s">
        <v>303</v>
      </c>
      <c r="F131" s="660"/>
      <c r="G131" s="601"/>
      <c r="H131" s="662" t="s">
        <v>333</v>
      </c>
      <c r="I131" s="600"/>
      <c r="J131" s="505"/>
      <c r="K131" s="608">
        <f t="shared" si="75"/>
        <v>8</v>
      </c>
      <c r="L131" s="645" t="s">
        <v>283</v>
      </c>
      <c r="Q131" s="705" t="s">
        <v>260</v>
      </c>
      <c r="R131" s="644">
        <v>3.0</v>
      </c>
      <c r="S131" s="646">
        <v>10.0</v>
      </c>
      <c r="T131" s="640"/>
      <c r="U131" s="644">
        <v>1.0</v>
      </c>
      <c r="V131" s="644">
        <v>2.0</v>
      </c>
      <c r="W131" s="639">
        <f>IF(L131="","",OFFSET(Biblioteca!$G$2,MATCH(L131,Biblioteca!$A$3:$A$200,0),)*(1.05^(10-S131)))</f>
        <v>8</v>
      </c>
      <c r="X131" s="640"/>
      <c r="Y131" s="632"/>
      <c r="Z131" s="641">
        <f t="shared" si="76"/>
        <v>8</v>
      </c>
      <c r="AA131" s="645" t="s">
        <v>327</v>
      </c>
      <c r="AF131" s="705" t="s">
        <v>260</v>
      </c>
      <c r="AG131" s="644">
        <v>3.0</v>
      </c>
      <c r="AH131" s="646">
        <v>10.0</v>
      </c>
      <c r="AI131" s="640"/>
      <c r="AJ131" s="644">
        <v>1.0</v>
      </c>
      <c r="AK131" s="644">
        <v>2.0</v>
      </c>
      <c r="AL131" s="639">
        <f>IF(AA131="","",OFFSET(Biblioteca!$G$2,MATCH(AA131,Biblioteca!$A$3:$A$200,0),)*(1.05^(10-AH131)))</f>
        <v>36</v>
      </c>
      <c r="AM131" s="640"/>
      <c r="AN131" s="632"/>
      <c r="AO131" s="641">
        <f t="shared" si="77"/>
        <v>1</v>
      </c>
      <c r="AP131" s="664"/>
      <c r="AU131" s="664"/>
      <c r="AV131" s="640"/>
      <c r="AW131" s="640"/>
      <c r="AX131" s="640"/>
      <c r="AY131" s="640"/>
      <c r="AZ131" s="640"/>
      <c r="BA131" s="639" t="str">
        <f>IF(AP131="","",OFFSET(Biblioteca!$G$2,MATCH(AP131,Biblioteca!$A$3:$A$200,0),)*(1.05^(10-AW131)))</f>
        <v/>
      </c>
      <c r="BB131" s="640"/>
      <c r="BC131" s="632"/>
      <c r="BD131" s="641">
        <f t="shared" si="78"/>
        <v>5</v>
      </c>
      <c r="BE131" s="645" t="s">
        <v>328</v>
      </c>
      <c r="BJ131" s="705" t="s">
        <v>322</v>
      </c>
      <c r="BK131" s="611">
        <v>3.0</v>
      </c>
      <c r="BL131" s="611">
        <v>15.0</v>
      </c>
      <c r="BM131" s="611">
        <v>60.0</v>
      </c>
      <c r="BN131" s="611">
        <v>1.0</v>
      </c>
      <c r="BO131" s="611">
        <v>1.0</v>
      </c>
      <c r="BP131" s="639">
        <f>IF(BE131="","",OFFSET(Biblioteca!$G$2,MATCH(BE131,Biblioteca!$A$3:$A$200,0),)*(1.05^(10-BL131)))</f>
        <v>0</v>
      </c>
      <c r="BQ131" s="640"/>
      <c r="BR131" s="632"/>
      <c r="BS131" s="641">
        <f t="shared" si="79"/>
        <v>6</v>
      </c>
      <c r="BT131" s="609" t="s">
        <v>329</v>
      </c>
      <c r="BY131" s="705" t="s">
        <v>260</v>
      </c>
      <c r="BZ131" s="611">
        <v>3.0</v>
      </c>
      <c r="CA131" s="611">
        <v>15.0</v>
      </c>
      <c r="CB131" s="611">
        <v>45.0</v>
      </c>
      <c r="CC131" s="611">
        <v>1.0</v>
      </c>
      <c r="CD131" s="611">
        <v>1.0</v>
      </c>
      <c r="CE131" s="639">
        <f>IF(BT131="","",OFFSET(Biblioteca!$G$2,MATCH(BT131,Biblioteca!$A$3:$A$200,0),)*(1.05^(10-CA131)))</f>
        <v>0</v>
      </c>
      <c r="CF131" s="640"/>
      <c r="CG131" s="632"/>
      <c r="CH131" s="641">
        <f t="shared" si="80"/>
        <v>1</v>
      </c>
      <c r="CI131" s="664"/>
      <c r="CN131" s="664"/>
      <c r="CO131" s="640"/>
      <c r="CP131" s="640"/>
      <c r="CQ131" s="640"/>
      <c r="CR131" s="640"/>
      <c r="CS131" s="640"/>
      <c r="CT131" s="639" t="str">
        <f>IF(CI131="","",OFFSET(Biblioteca!$G$2,MATCH(CI131,Biblioteca!$A$3:$A$200,0),)*(1.05^(10-CP131)))</f>
        <v/>
      </c>
      <c r="CU131" s="640"/>
      <c r="CV131" s="588"/>
      <c r="CW131" s="608">
        <f t="shared" si="81"/>
        <v>1</v>
      </c>
      <c r="CX131" s="619"/>
      <c r="DC131" s="620"/>
      <c r="DD131" s="618"/>
      <c r="DE131" s="618"/>
      <c r="DF131" s="618"/>
      <c r="DG131" s="618"/>
      <c r="DH131" s="618"/>
      <c r="DI131" s="617" t="str">
        <f>IF(CX131="","",OFFSET(Biblioteca!$G$2,MATCH(CX131,Biblioteca!$A$3:$A$200,0),)*(1.05^(10-DE131)))</f>
        <v/>
      </c>
      <c r="DJ131" s="618"/>
      <c r="DK131" s="588"/>
    </row>
    <row r="132" ht="14.25" customHeight="1">
      <c r="A132" s="492" t="str">
        <f>"S "&amp;$AD102&amp;" - "&amp;TEXT(C112,"dd/mm")</f>
        <v>S 3 - 26/01</v>
      </c>
      <c r="B132" s="666" t="s">
        <v>306</v>
      </c>
      <c r="C132" s="667" t="str">
        <f>IF(C119="","",ROUND(VLOOKUP(C118,'Dados de Base'!$D$10:$H$20,5,FALSE),1)&amp;" - "&amp;ROUND(VLOOKUP(C119,'Dados de Base'!$D$10:$H$20,5,TRUE),1))</f>
        <v>3,9 - 3,7</v>
      </c>
      <c r="D132" s="667" t="str">
        <f>IF(D119="","",ROUND(VLOOKUP(D118,'Dados de Base'!$D$10:$H$20,5,FALSE),1)&amp;" - "&amp;ROUND(VLOOKUP(D119,'Dados de Base'!$D$10:$H$20,5,TRUE),1))</f>
        <v>#N/A</v>
      </c>
      <c r="E132" s="667" t="str">
        <f>IF(E119="","",ROUND(VLOOKUP(E118,'Dados de Base'!$D$10:$H$20,5,FALSE),1)&amp;" - "&amp;ROUND(VLOOKUP(E119,'Dados de Base'!$D$10:$H$20,5,TRUE),1))</f>
        <v/>
      </c>
      <c r="F132" s="667" t="str">
        <f>IF(F119="","",ROUND(VLOOKUP(F118,'Dados de Base'!$D$10:$H$20,5,FALSE),1)&amp;" - "&amp;ROUND(VLOOKUP(F119,'Dados de Base'!$D$10:$H$20,5,TRUE),1))</f>
        <v>7,1 - 5,5</v>
      </c>
      <c r="G132" s="667" t="str">
        <f>IF(G119="","",ROUND(VLOOKUP(G118,'Dados de Base'!$D$10:$H$20,5,FALSE),1)&amp;" - "&amp;ROUND(VLOOKUP(G119,'Dados de Base'!$D$10:$H$20,5,TRUE),1))</f>
        <v>#N/A</v>
      </c>
      <c r="H132" s="667" t="str">
        <f>IF(H119="","",ROUND(VLOOKUP(H118,'Dados de Base'!$D$10:$H$20,5,FALSE),1)&amp;" - "&amp;ROUND(VLOOKUP(H119,'Dados de Base'!$D$10:$H$20,5,TRUE),1))</f>
        <v/>
      </c>
      <c r="I132" s="667" t="str">
        <f>IF(I119="","",ROUND(VLOOKUP(I118,'Dados de Base'!$D$10:$H$20,5,FALSE),1)&amp;" - "&amp;ROUND(VLOOKUP(I119,'Dados de Base'!$D$10:$H$20,5,TRUE),1))</f>
        <v/>
      </c>
      <c r="J132" s="505"/>
      <c r="K132" s="608">
        <f t="shared" si="75"/>
        <v>8</v>
      </c>
      <c r="L132" s="609" t="s">
        <v>300</v>
      </c>
      <c r="Q132" s="705" t="s">
        <v>260</v>
      </c>
      <c r="R132" s="611">
        <v>3.0</v>
      </c>
      <c r="S132" s="625">
        <v>10.0</v>
      </c>
      <c r="T132" s="611">
        <v>60.0</v>
      </c>
      <c r="U132" s="611">
        <v>1.0</v>
      </c>
      <c r="V132" s="611">
        <v>2.0</v>
      </c>
      <c r="W132" s="639">
        <f>IF(L132="","",OFFSET(Biblioteca!$G$2,MATCH(L132,Biblioteca!$A$3:$A$200,0),)*(1.05^(10-S132)))</f>
        <v>7.6</v>
      </c>
      <c r="X132" s="640"/>
      <c r="Y132" s="632"/>
      <c r="Z132" s="641">
        <f t="shared" si="76"/>
        <v>8</v>
      </c>
      <c r="AA132" s="609" t="s">
        <v>330</v>
      </c>
      <c r="AF132" s="705" t="s">
        <v>260</v>
      </c>
      <c r="AG132" s="611">
        <v>3.0</v>
      </c>
      <c r="AH132" s="625">
        <v>10.0</v>
      </c>
      <c r="AI132" s="611">
        <v>60.0</v>
      </c>
      <c r="AJ132" s="611">
        <v>1.0</v>
      </c>
      <c r="AK132" s="611">
        <v>2.0</v>
      </c>
      <c r="AL132" s="639">
        <f>IF(AA132="","",OFFSET(Biblioteca!$G$2,MATCH(AA132,Biblioteca!$A$3:$A$200,0),)*(1.05^(10-AH132)))</f>
        <v>150</v>
      </c>
      <c r="AM132" s="640"/>
      <c r="AN132" s="632"/>
      <c r="AO132" s="641">
        <f t="shared" si="77"/>
        <v>1</v>
      </c>
      <c r="AP132" s="664"/>
      <c r="AU132" s="664"/>
      <c r="AV132" s="640"/>
      <c r="AW132" s="640"/>
      <c r="AX132" s="640"/>
      <c r="AY132" s="640"/>
      <c r="AZ132" s="640"/>
      <c r="BA132" s="639" t="str">
        <f>IF(AP132="","",OFFSET(Biblioteca!$G$2,MATCH(AP132,Biblioteca!$A$3:$A$200,0),)*(1.05^(10-AW132)))</f>
        <v/>
      </c>
      <c r="BB132" s="640"/>
      <c r="BC132" s="632"/>
      <c r="BD132" s="641">
        <f t="shared" si="78"/>
        <v>6</v>
      </c>
      <c r="BE132" s="609" t="s">
        <v>232</v>
      </c>
      <c r="BJ132" s="609"/>
      <c r="BK132" s="614"/>
      <c r="BL132" s="614"/>
      <c r="BM132" s="611">
        <v>60.0</v>
      </c>
      <c r="BN132" s="640"/>
      <c r="BO132" s="640"/>
      <c r="BP132" s="639">
        <f>IF(BE132="","",OFFSET(Biblioteca!$G$2,MATCH(BE132,Biblioteca!$A$3:$A$200,0),)*(1.05^(10-BL132)))</f>
        <v>0</v>
      </c>
      <c r="BQ132" s="640"/>
      <c r="BR132" s="632"/>
      <c r="BS132" s="641">
        <f t="shared" si="79"/>
        <v>7</v>
      </c>
      <c r="BT132" s="642" t="s">
        <v>234</v>
      </c>
      <c r="BY132" s="609"/>
      <c r="BZ132" s="614"/>
      <c r="CA132" s="614"/>
      <c r="CB132" s="611">
        <v>60.0</v>
      </c>
      <c r="CC132" s="640"/>
      <c r="CD132" s="640"/>
      <c r="CE132" s="665">
        <f>IF(BT132="","",OFFSET(Biblioteca!$G$2,MATCH(BT132,Biblioteca!$A$3:$A$200,0),)*(1.05^(10-CA132)))</f>
        <v>0</v>
      </c>
      <c r="CF132" s="640"/>
      <c r="CG132" s="632"/>
      <c r="CH132" s="641">
        <f t="shared" si="80"/>
        <v>1</v>
      </c>
      <c r="CI132" s="664"/>
      <c r="CN132" s="664"/>
      <c r="CO132" s="640"/>
      <c r="CP132" s="640"/>
      <c r="CQ132" s="640"/>
      <c r="CR132" s="640"/>
      <c r="CS132" s="640"/>
      <c r="CT132" s="665" t="str">
        <f>IF(CI132="","",OFFSET(Biblioteca!$G$2,MATCH(CI132,Biblioteca!$A$3:$A$200,0),)*(1.05^(10-CP132)))</f>
        <v/>
      </c>
      <c r="CU132" s="640"/>
      <c r="CV132" s="579"/>
      <c r="CW132" s="608">
        <f t="shared" si="81"/>
        <v>1</v>
      </c>
      <c r="CX132" s="619"/>
      <c r="DC132" s="620"/>
      <c r="DD132" s="618"/>
      <c r="DE132" s="618"/>
      <c r="DF132" s="618"/>
      <c r="DG132" s="618"/>
      <c r="DH132" s="618"/>
      <c r="DI132" s="617" t="str">
        <f>IF(CX132="","",OFFSET(Biblioteca!$G$2,MATCH(CX132,Biblioteca!$A$3:$A$200,0),)*(1.05^(10-DE132)))</f>
        <v/>
      </c>
      <c r="DJ132" s="618"/>
      <c r="DK132" s="579"/>
    </row>
    <row r="133" ht="14.25" customHeight="1">
      <c r="A133" s="492" t="str">
        <f>"S "&amp;$AD102&amp;" - "&amp;TEXT(C112,"dd/mm")</f>
        <v>S 3 - 26/01</v>
      </c>
      <c r="B133" s="592" t="s">
        <v>307</v>
      </c>
      <c r="C133" s="668" t="str">
        <f>'Anotações gerais'!$B$3</f>
        <v/>
      </c>
      <c r="D133" s="60"/>
      <c r="E133" s="60"/>
      <c r="F133" s="60"/>
      <c r="G133" s="60"/>
      <c r="H133" s="61"/>
      <c r="I133" s="669"/>
      <c r="J133" s="505"/>
      <c r="K133" s="608">
        <f t="shared" si="75"/>
        <v>9</v>
      </c>
      <c r="L133" s="609" t="s">
        <v>232</v>
      </c>
      <c r="Q133" s="609"/>
      <c r="R133" s="614"/>
      <c r="S133" s="614"/>
      <c r="T133" s="611">
        <v>60.0</v>
      </c>
      <c r="U133" s="614"/>
      <c r="V133" s="614"/>
      <c r="W133" s="639">
        <f>IF(L133="","",OFFSET(Biblioteca!$G$2,MATCH(L133,Biblioteca!$A$3:$A$200,0),)*(1.05^(10-S133)))</f>
        <v>0</v>
      </c>
      <c r="X133" s="640"/>
      <c r="Y133" s="632"/>
      <c r="Z133" s="641">
        <f t="shared" si="76"/>
        <v>9</v>
      </c>
      <c r="AA133" s="609" t="s">
        <v>233</v>
      </c>
      <c r="AF133" s="609"/>
      <c r="AG133" s="614"/>
      <c r="AH133" s="614"/>
      <c r="AI133" s="611">
        <v>60.0</v>
      </c>
      <c r="AJ133" s="614"/>
      <c r="AK133" s="614"/>
      <c r="AL133" s="639">
        <f>IF(AA133="","",OFFSET(Biblioteca!$G$2,MATCH(AA133,Biblioteca!$A$3:$A$200,0),)*(1.05^(10-AH133)))</f>
        <v>0</v>
      </c>
      <c r="AM133" s="640"/>
      <c r="AN133" s="632"/>
      <c r="AO133" s="641">
        <f t="shared" si="77"/>
        <v>1</v>
      </c>
      <c r="AP133" s="619"/>
      <c r="AU133" s="620"/>
      <c r="AV133" s="618"/>
      <c r="AW133" s="618"/>
      <c r="AX133" s="618"/>
      <c r="AY133" s="618"/>
      <c r="AZ133" s="618"/>
      <c r="BA133" s="639" t="str">
        <f>IF(AP133="","",OFFSET(Biblioteca!$G$2,MATCH(AP133,Biblioteca!$A$3:$A$200,0),)*(1.05^(10-AW133)))</f>
        <v/>
      </c>
      <c r="BB133" s="640"/>
      <c r="BC133" s="632"/>
      <c r="BD133" s="641">
        <f t="shared" si="78"/>
        <v>7</v>
      </c>
      <c r="BE133" s="664"/>
      <c r="BJ133" s="664"/>
      <c r="BK133" s="640"/>
      <c r="BL133" s="640"/>
      <c r="BM133" s="640"/>
      <c r="BN133" s="640"/>
      <c r="BO133" s="640"/>
      <c r="BP133" s="639" t="str">
        <f>IF(BE133="","",OFFSET(Biblioteca!$G$2,MATCH(BE133,Biblioteca!$A$3:$A$200,0),)*(1.05^(10-BL133)))</f>
        <v/>
      </c>
      <c r="BQ133" s="640"/>
      <c r="BR133" s="632"/>
      <c r="BS133" s="641">
        <f t="shared" si="79"/>
        <v>8</v>
      </c>
      <c r="BT133" s="664"/>
      <c r="BY133" s="664"/>
      <c r="BZ133" s="640"/>
      <c r="CA133" s="640"/>
      <c r="CB133" s="640"/>
      <c r="CC133" s="640"/>
      <c r="CD133" s="640"/>
      <c r="CE133" s="665" t="str">
        <f>IF(BT133="","",OFFSET(Biblioteca!$G$2,MATCH(BT133,Biblioteca!$A$3:$A$200,0),)*(1.05^(10-CA133)))</f>
        <v/>
      </c>
      <c r="CF133" s="640"/>
      <c r="CG133" s="632"/>
      <c r="CH133" s="641">
        <f t="shared" si="80"/>
        <v>1</v>
      </c>
      <c r="CI133" s="619"/>
      <c r="CN133" s="620"/>
      <c r="CO133" s="618"/>
      <c r="CP133" s="618"/>
      <c r="CQ133" s="618"/>
      <c r="CR133" s="618"/>
      <c r="CS133" s="618"/>
      <c r="CT133" s="665" t="str">
        <f>IF(CI133="","",OFFSET(Biblioteca!$G$2,MATCH(CI133,Biblioteca!$A$3:$A$200,0),)*(1.05^(10-CP133)))</f>
        <v/>
      </c>
      <c r="CU133" s="640"/>
      <c r="CV133" s="579"/>
      <c r="CW133" s="608">
        <f t="shared" si="81"/>
        <v>1</v>
      </c>
      <c r="CX133" s="619"/>
      <c r="DC133" s="620"/>
      <c r="DD133" s="618"/>
      <c r="DE133" s="618"/>
      <c r="DF133" s="618"/>
      <c r="DG133" s="618"/>
      <c r="DH133" s="618"/>
      <c r="DI133" s="617" t="str">
        <f>IF(CX133="","",OFFSET(Biblioteca!$G$2,MATCH(CX133,Biblioteca!$A$3:$A$200,0),)*(1.05^(10-DE133)))</f>
        <v/>
      </c>
      <c r="DJ133" s="618"/>
      <c r="DK133" s="579"/>
    </row>
    <row r="134" ht="14.25" customHeight="1">
      <c r="A134" s="492" t="str">
        <f>"S "&amp;$AD102&amp;" - "&amp;TEXT(C112,"dd/mm")</f>
        <v>S 3 - 26/01</v>
      </c>
      <c r="B134" s="592" t="s">
        <v>308</v>
      </c>
      <c r="C134" s="668" t="str">
        <f>OFFSET('Periodização Macrociclo'!$D$8,0,MATCH(C102,'Periodização Macrociclo'!$D$4:$BP$4,0))</f>
        <v>Força</v>
      </c>
      <c r="D134" s="60"/>
      <c r="E134" s="60"/>
      <c r="F134" s="60"/>
      <c r="G134" s="60"/>
      <c r="H134" s="61"/>
      <c r="I134" s="669"/>
      <c r="J134" s="505"/>
      <c r="K134" s="608">
        <f t="shared" si="75"/>
        <v>10</v>
      </c>
      <c r="L134" s="645" t="s">
        <v>331</v>
      </c>
      <c r="Q134" s="705" t="s">
        <v>260</v>
      </c>
      <c r="R134" s="644">
        <v>3.0</v>
      </c>
      <c r="S134" s="644">
        <v>15.0</v>
      </c>
      <c r="T134" s="640"/>
      <c r="U134" s="644">
        <v>1.0</v>
      </c>
      <c r="V134" s="644">
        <v>2.0</v>
      </c>
      <c r="W134" s="639">
        <f>IF(L134="","",OFFSET(Biblioteca!$G$2,MATCH(L134,Biblioteca!$A$3:$A$200,0),)*(1.05^(10-S134)))</f>
        <v>0</v>
      </c>
      <c r="X134" s="640"/>
      <c r="Y134" s="632"/>
      <c r="Z134" s="641">
        <f t="shared" si="76"/>
        <v>10</v>
      </c>
      <c r="AA134" s="645" t="s">
        <v>291</v>
      </c>
      <c r="AF134" s="705" t="s">
        <v>260</v>
      </c>
      <c r="AG134" s="644">
        <v>3.0</v>
      </c>
      <c r="AH134" s="644">
        <v>15.0</v>
      </c>
      <c r="AI134" s="640"/>
      <c r="AJ134" s="644">
        <v>1.0</v>
      </c>
      <c r="AK134" s="644">
        <v>2.0</v>
      </c>
      <c r="AL134" s="639">
        <f>IF(AA134="","",OFFSET(Biblioteca!$G$2,MATCH(AA134,Biblioteca!$A$3:$A$200,0),)*(1.05^(10-AH134)))</f>
        <v>0</v>
      </c>
      <c r="AM134" s="640"/>
      <c r="AN134" s="632"/>
      <c r="AO134" s="641">
        <f t="shared" si="77"/>
        <v>1</v>
      </c>
      <c r="AP134" s="619"/>
      <c r="AU134" s="620"/>
      <c r="AV134" s="618"/>
      <c r="AW134" s="618"/>
      <c r="AX134" s="618"/>
      <c r="AY134" s="618"/>
      <c r="AZ134" s="618"/>
      <c r="BA134" s="665" t="str">
        <f>IF(AP134="","",OFFSET(Biblioteca!$G$2,MATCH(AP134,Biblioteca!$A$3:$A$200,0),)*(1.05^(10-AW134)))</f>
        <v/>
      </c>
      <c r="BB134" s="640"/>
      <c r="BC134" s="632"/>
      <c r="BD134" s="641">
        <f t="shared" si="78"/>
        <v>7</v>
      </c>
      <c r="BE134" s="664"/>
      <c r="BJ134" s="664"/>
      <c r="BK134" s="640"/>
      <c r="BL134" s="640"/>
      <c r="BM134" s="640"/>
      <c r="BN134" s="640"/>
      <c r="BO134" s="640"/>
      <c r="BP134" s="665" t="str">
        <f>IF(BE134="","",OFFSET(Biblioteca!$G$2,MATCH(BE134,Biblioteca!$A$3:$A$200,0),)*(1.05^(10-BL134)))</f>
        <v/>
      </c>
      <c r="BQ134" s="640"/>
      <c r="BR134" s="632"/>
      <c r="BS134" s="641">
        <f t="shared" si="79"/>
        <v>8</v>
      </c>
      <c r="BT134" s="664"/>
      <c r="BY134" s="664"/>
      <c r="BZ134" s="640"/>
      <c r="CA134" s="640"/>
      <c r="CB134" s="640"/>
      <c r="CC134" s="640"/>
      <c r="CD134" s="640"/>
      <c r="CE134" s="665" t="str">
        <f>IF(BT134="","",OFFSET(Biblioteca!$G$2,MATCH(BT134,Biblioteca!$A$3:$A$200,0),)*(1.05^(10-CA134)))</f>
        <v/>
      </c>
      <c r="CF134" s="640"/>
      <c r="CG134" s="632"/>
      <c r="CH134" s="641">
        <f t="shared" si="80"/>
        <v>1</v>
      </c>
      <c r="CI134" s="619"/>
      <c r="CN134" s="620"/>
      <c r="CO134" s="618"/>
      <c r="CP134" s="618"/>
      <c r="CQ134" s="618"/>
      <c r="CR134" s="618"/>
      <c r="CS134" s="618"/>
      <c r="CT134" s="665" t="str">
        <f>IF(CI134="","",OFFSET(Biblioteca!$G$2,MATCH(CI134,Biblioteca!$A$3:$A$200,0),)*(1.05^(10-CP134)))</f>
        <v/>
      </c>
      <c r="CU134" s="640"/>
      <c r="CV134" s="579"/>
      <c r="CW134" s="608">
        <f t="shared" si="81"/>
        <v>1</v>
      </c>
      <c r="CX134" s="619"/>
      <c r="DC134" s="620"/>
      <c r="DD134" s="618"/>
      <c r="DE134" s="618"/>
      <c r="DF134" s="618"/>
      <c r="DG134" s="618"/>
      <c r="DH134" s="618"/>
      <c r="DI134" s="617" t="str">
        <f>IF(CX134="","",OFFSET(Biblioteca!$G$2,MATCH(CX134,Biblioteca!$A$3:$A$200,0),)*(1.05^(10-DE134)))</f>
        <v/>
      </c>
      <c r="DJ134" s="618"/>
      <c r="DK134" s="579"/>
    </row>
    <row r="135" ht="14.25" customHeight="1">
      <c r="A135" s="492" t="str">
        <f>"S "&amp;$AD102&amp;" - "&amp;TEXT(C112,"dd/mm")</f>
        <v>S 3 - 26/01</v>
      </c>
      <c r="B135" s="647" t="s">
        <v>309</v>
      </c>
      <c r="C135" s="668" t="str">
        <f>'Anotações gerais'!$B$5</f>
        <v/>
      </c>
      <c r="D135" s="60"/>
      <c r="E135" s="60"/>
      <c r="F135" s="60"/>
      <c r="G135" s="60"/>
      <c r="H135" s="61"/>
      <c r="I135" s="669"/>
      <c r="J135" s="505"/>
      <c r="K135" s="608">
        <f t="shared" si="75"/>
        <v>10</v>
      </c>
      <c r="L135" s="609" t="s">
        <v>332</v>
      </c>
      <c r="Q135" s="705" t="s">
        <v>260</v>
      </c>
      <c r="R135" s="611">
        <v>3.0</v>
      </c>
      <c r="S135" s="611">
        <v>15.0</v>
      </c>
      <c r="T135" s="611">
        <v>60.0</v>
      </c>
      <c r="U135" s="611">
        <v>1.0</v>
      </c>
      <c r="V135" s="611">
        <v>2.0</v>
      </c>
      <c r="W135" s="639">
        <f>IF(L135="","",OFFSET(Biblioteca!$G$2,MATCH(L135,Biblioteca!$A$3:$A$200,0),)*(1.05^(10-S135)))</f>
        <v>0</v>
      </c>
      <c r="X135" s="640"/>
      <c r="Y135" s="632"/>
      <c r="Z135" s="641">
        <f t="shared" si="76"/>
        <v>10</v>
      </c>
      <c r="AA135" s="609" t="s">
        <v>281</v>
      </c>
      <c r="AF135" s="705" t="s">
        <v>260</v>
      </c>
      <c r="AG135" s="611">
        <v>3.0</v>
      </c>
      <c r="AH135" s="611">
        <v>10.0</v>
      </c>
      <c r="AI135" s="611">
        <v>60.0</v>
      </c>
      <c r="AJ135" s="611">
        <v>1.0</v>
      </c>
      <c r="AK135" s="611">
        <v>2.0</v>
      </c>
      <c r="AL135" s="639">
        <f>IF(AA135="","",OFFSET(Biblioteca!$G$2,MATCH(AA135,Biblioteca!$A$3:$A$200,0),)*(1.05^(10-AH135)))</f>
        <v>4</v>
      </c>
      <c r="AM135" s="640"/>
      <c r="AN135" s="632"/>
      <c r="AO135" s="641">
        <f t="shared" si="77"/>
        <v>1</v>
      </c>
      <c r="AP135" s="619"/>
      <c r="AU135" s="620"/>
      <c r="AV135" s="618"/>
      <c r="AW135" s="618"/>
      <c r="AX135" s="618"/>
      <c r="AY135" s="618"/>
      <c r="AZ135" s="618"/>
      <c r="BA135" s="665" t="str">
        <f>IF(AP135="","",OFFSET(Biblioteca!$G$2,MATCH(AP135,Biblioteca!$A$3:$A$200,0),)*(1.05^(10-AW135)))</f>
        <v/>
      </c>
      <c r="BB135" s="640"/>
      <c r="BC135" s="632"/>
      <c r="BD135" s="641">
        <f t="shared" si="78"/>
        <v>7</v>
      </c>
      <c r="BE135" s="664"/>
      <c r="BJ135" s="664"/>
      <c r="BK135" s="640"/>
      <c r="BL135" s="640"/>
      <c r="BM135" s="640"/>
      <c r="BN135" s="640"/>
      <c r="BO135" s="640"/>
      <c r="BP135" s="665" t="str">
        <f>IF(BE135="","",OFFSET(Biblioteca!$G$2,MATCH(BE135,Biblioteca!$A$3:$A$200,0),)*(1.05^(10-BL135)))</f>
        <v/>
      </c>
      <c r="BQ135" s="640"/>
      <c r="BR135" s="632"/>
      <c r="BS135" s="641">
        <f t="shared" si="79"/>
        <v>8</v>
      </c>
      <c r="BT135" s="664"/>
      <c r="BY135" s="664"/>
      <c r="BZ135" s="640"/>
      <c r="CA135" s="640"/>
      <c r="CB135" s="640"/>
      <c r="CC135" s="640"/>
      <c r="CD135" s="640"/>
      <c r="CE135" s="665" t="str">
        <f>IF(BT135="","",OFFSET(Biblioteca!$G$2,MATCH(BT135,Biblioteca!$A$3:$A$200,0),)*(1.05^(10-CA135)))</f>
        <v/>
      </c>
      <c r="CF135" s="640"/>
      <c r="CG135" s="632"/>
      <c r="CH135" s="641">
        <f t="shared" si="80"/>
        <v>1</v>
      </c>
      <c r="CI135" s="619"/>
      <c r="CN135" s="620"/>
      <c r="CO135" s="618"/>
      <c r="CP135" s="618"/>
      <c r="CQ135" s="618"/>
      <c r="CR135" s="618"/>
      <c r="CS135" s="618"/>
      <c r="CT135" s="665" t="str">
        <f>IF(CI135="","",OFFSET(Biblioteca!$G$2,MATCH(CI135,Biblioteca!$A$3:$A$200,0),)*(1.05^(10-CP135)))</f>
        <v/>
      </c>
      <c r="CU135" s="640"/>
      <c r="CV135" s="604"/>
      <c r="CW135" s="608">
        <f t="shared" si="81"/>
        <v>1</v>
      </c>
      <c r="CX135" s="619"/>
      <c r="DC135" s="620"/>
      <c r="DD135" s="618"/>
      <c r="DE135" s="618"/>
      <c r="DF135" s="618"/>
      <c r="DG135" s="618"/>
      <c r="DH135" s="618"/>
      <c r="DI135" s="617" t="str">
        <f>IF(CX135="","",OFFSET(Biblioteca!$G$2,MATCH(CX135,Biblioteca!$A$3:$A$200,0),)*(1.05^(10-DE135)))</f>
        <v/>
      </c>
      <c r="DJ135" s="618"/>
      <c r="DK135" s="604"/>
    </row>
    <row r="136" ht="14.25" customHeight="1">
      <c r="A136" s="492" t="str">
        <f>"S "&amp;$AD102&amp;" - "&amp;TEXT(C112,"dd/mm")</f>
        <v>S 3 - 26/01</v>
      </c>
      <c r="B136" s="647" t="s">
        <v>310</v>
      </c>
      <c r="C136" s="668" t="str">
        <f>'Anotações gerais'!$B$6</f>
        <v/>
      </c>
      <c r="D136" s="60"/>
      <c r="E136" s="60"/>
      <c r="F136" s="60"/>
      <c r="G136" s="60"/>
      <c r="H136" s="61"/>
      <c r="I136" s="669"/>
      <c r="J136" s="505"/>
      <c r="K136" s="608">
        <f t="shared" si="75"/>
        <v>11</v>
      </c>
      <c r="L136" s="664"/>
      <c r="Q136" s="664"/>
      <c r="R136" s="640"/>
      <c r="S136" s="640"/>
      <c r="T136" s="640"/>
      <c r="U136" s="640"/>
      <c r="V136" s="640"/>
      <c r="W136" s="665" t="str">
        <f>IF(L136="","",OFFSET(Biblioteca!$G$2,MATCH(L136,Biblioteca!$A$3:$A$200,0),)*(1.05^(10-S136)))</f>
        <v/>
      </c>
      <c r="X136" s="640"/>
      <c r="Y136" s="632"/>
      <c r="Z136" s="641">
        <f t="shared" si="76"/>
        <v>11</v>
      </c>
      <c r="AA136" s="664"/>
      <c r="AF136" s="664"/>
      <c r="AG136" s="640"/>
      <c r="AH136" s="640"/>
      <c r="AI136" s="640"/>
      <c r="AJ136" s="640"/>
      <c r="AK136" s="640"/>
      <c r="AL136" s="665" t="str">
        <f>IF(AA136="","",OFFSET(Biblioteca!$G$2,MATCH(AA136,Biblioteca!$A$3:$A$200,0),)*(1.05^(10-AH136)))</f>
        <v/>
      </c>
      <c r="AM136" s="640"/>
      <c r="AN136" s="632"/>
      <c r="AO136" s="641">
        <f t="shared" si="77"/>
        <v>1</v>
      </c>
      <c r="AP136" s="619"/>
      <c r="AU136" s="620"/>
      <c r="AV136" s="618"/>
      <c r="AW136" s="618"/>
      <c r="AX136" s="618"/>
      <c r="AY136" s="618"/>
      <c r="AZ136" s="618"/>
      <c r="BA136" s="665" t="str">
        <f>IF(AP136="","",OFFSET(Biblioteca!$G$2,MATCH(AP136,Biblioteca!$A$3:$A$200,0),)*(1.05^(10-AW136)))</f>
        <v/>
      </c>
      <c r="BB136" s="640"/>
      <c r="BC136" s="632"/>
      <c r="BD136" s="641">
        <f t="shared" si="78"/>
        <v>7</v>
      </c>
      <c r="BE136" s="664"/>
      <c r="BJ136" s="664"/>
      <c r="BK136" s="640"/>
      <c r="BL136" s="640"/>
      <c r="BM136" s="640"/>
      <c r="BN136" s="640"/>
      <c r="BO136" s="640"/>
      <c r="BP136" s="665" t="str">
        <f>IF(BE136="","",OFFSET(Biblioteca!$G$2,MATCH(BE136,Biblioteca!$A$3:$A$200,0),)*(1.05^(10-BL136)))</f>
        <v/>
      </c>
      <c r="BQ136" s="640"/>
      <c r="BR136" s="632"/>
      <c r="BS136" s="641">
        <f t="shared" si="79"/>
        <v>8</v>
      </c>
      <c r="BT136" s="664"/>
      <c r="BY136" s="664"/>
      <c r="BZ136" s="640"/>
      <c r="CA136" s="640"/>
      <c r="CB136" s="640"/>
      <c r="CC136" s="640"/>
      <c r="CD136" s="640"/>
      <c r="CE136" s="665" t="str">
        <f>IF(BT136="","",OFFSET(Biblioteca!$G$2,MATCH(BT136,Biblioteca!$A$3:$A$200,0),)*(1.05^(10-CA136)))</f>
        <v/>
      </c>
      <c r="CF136" s="640"/>
      <c r="CG136" s="632"/>
      <c r="CH136" s="641">
        <f t="shared" si="80"/>
        <v>1</v>
      </c>
      <c r="CI136" s="619"/>
      <c r="CN136" s="620"/>
      <c r="CO136" s="618"/>
      <c r="CP136" s="618"/>
      <c r="CQ136" s="618"/>
      <c r="CR136" s="618"/>
      <c r="CS136" s="618"/>
      <c r="CT136" s="665" t="str">
        <f>IF(CI136="","",OFFSET(Biblioteca!$G$2,MATCH(CI136,Biblioteca!$A$3:$A$200,0),)*(1.05^(10-CP136)))</f>
        <v/>
      </c>
      <c r="CU136" s="640"/>
      <c r="CV136" s="579"/>
      <c r="CW136" s="608">
        <f t="shared" si="81"/>
        <v>1</v>
      </c>
      <c r="CX136" s="619"/>
      <c r="DC136" s="620"/>
      <c r="DD136" s="618"/>
      <c r="DE136" s="618"/>
      <c r="DF136" s="618"/>
      <c r="DG136" s="618"/>
      <c r="DH136" s="618"/>
      <c r="DI136" s="617" t="str">
        <f>IF(CX136="","",OFFSET(Biblioteca!$G$2,MATCH(CX136,Biblioteca!$A$3:$A$200,0),)*(1.05^(10-DE136)))</f>
        <v/>
      </c>
      <c r="DJ136" s="618"/>
      <c r="DK136" s="579"/>
    </row>
    <row r="137" ht="14.25" customHeight="1">
      <c r="A137" s="492" t="str">
        <f>"S "&amp;$AD102&amp;" - "&amp;TEXT(C112,"dd/mm")</f>
        <v>S 3 - 26/01</v>
      </c>
      <c r="B137" s="537"/>
      <c r="C137" s="669"/>
      <c r="D137" s="669"/>
      <c r="E137" s="669"/>
      <c r="F137" s="669"/>
      <c r="G137" s="669"/>
      <c r="H137" s="669"/>
      <c r="I137" s="669"/>
      <c r="J137" s="505"/>
      <c r="K137" s="608">
        <f t="shared" si="75"/>
        <v>11</v>
      </c>
      <c r="L137" s="664"/>
      <c r="Q137" s="664"/>
      <c r="R137" s="640"/>
      <c r="S137" s="640"/>
      <c r="T137" s="640"/>
      <c r="U137" s="640"/>
      <c r="V137" s="640"/>
      <c r="W137" s="665" t="str">
        <f>IF(L137="","",OFFSET(Biblioteca!$G$2,MATCH(L137,Biblioteca!$A$3:$A$200,0),)*(1.05^(10-S137)))</f>
        <v/>
      </c>
      <c r="X137" s="640"/>
      <c r="Y137" s="632"/>
      <c r="Z137" s="641">
        <f t="shared" si="76"/>
        <v>11</v>
      </c>
      <c r="AA137" s="664"/>
      <c r="AF137" s="664"/>
      <c r="AG137" s="640"/>
      <c r="AH137" s="640"/>
      <c r="AI137" s="640"/>
      <c r="AJ137" s="640"/>
      <c r="AK137" s="640"/>
      <c r="AL137" s="665" t="str">
        <f>IF(AA137="","",OFFSET(Biblioteca!$G$2,MATCH(AA137,Biblioteca!$A$3:$A$200,0),)*(1.05^(10-AH137)))</f>
        <v/>
      </c>
      <c r="AM137" s="640"/>
      <c r="AN137" s="632"/>
      <c r="AO137" s="641">
        <f t="shared" si="77"/>
        <v>1</v>
      </c>
      <c r="AP137" s="619"/>
      <c r="AU137" s="620"/>
      <c r="AV137" s="618"/>
      <c r="AW137" s="618"/>
      <c r="AX137" s="618"/>
      <c r="AY137" s="618"/>
      <c r="AZ137" s="618"/>
      <c r="BA137" s="665" t="str">
        <f>IF(AP137="","",OFFSET(Biblioteca!$G$2,MATCH(AP137,Biblioteca!$A$3:$A$200,0),)*(1.05^(10-AW137)))</f>
        <v/>
      </c>
      <c r="BB137" s="640"/>
      <c r="BC137" s="632"/>
      <c r="BD137" s="641">
        <f t="shared" si="78"/>
        <v>7</v>
      </c>
      <c r="BE137" s="664"/>
      <c r="BJ137" s="664"/>
      <c r="BK137" s="640"/>
      <c r="BL137" s="640"/>
      <c r="BM137" s="640"/>
      <c r="BN137" s="640"/>
      <c r="BO137" s="640"/>
      <c r="BP137" s="665" t="str">
        <f>IF(BE137="","",OFFSET(Biblioteca!$G$2,MATCH(BE137,Biblioteca!$A$3:$A$200,0),)*(1.05^(10-BL137)))</f>
        <v/>
      </c>
      <c r="BQ137" s="640"/>
      <c r="BR137" s="632"/>
      <c r="BS137" s="641">
        <f t="shared" si="79"/>
        <v>8</v>
      </c>
      <c r="BT137" s="664"/>
      <c r="BY137" s="664"/>
      <c r="BZ137" s="640"/>
      <c r="CA137" s="640"/>
      <c r="CB137" s="640"/>
      <c r="CC137" s="640"/>
      <c r="CD137" s="640"/>
      <c r="CE137" s="665" t="str">
        <f>IF(BT137="","",OFFSET(Biblioteca!$G$2,MATCH(BT137,Biblioteca!$A$3:$A$200,0),)*(1.05^(10-CA137)))</f>
        <v/>
      </c>
      <c r="CF137" s="640"/>
      <c r="CG137" s="632"/>
      <c r="CH137" s="641">
        <f t="shared" si="80"/>
        <v>1</v>
      </c>
      <c r="CI137" s="619"/>
      <c r="CN137" s="620"/>
      <c r="CO137" s="618"/>
      <c r="CP137" s="618"/>
      <c r="CQ137" s="618"/>
      <c r="CR137" s="618"/>
      <c r="CS137" s="618"/>
      <c r="CT137" s="665" t="str">
        <f>IF(CI137="","",OFFSET(Biblioteca!$G$2,MATCH(CI137,Biblioteca!$A$3:$A$200,0),)*(1.05^(10-CP137)))</f>
        <v/>
      </c>
      <c r="CU137" s="640"/>
      <c r="CV137" s="579"/>
      <c r="CW137" s="608">
        <f t="shared" si="81"/>
        <v>1</v>
      </c>
      <c r="CX137" s="619"/>
      <c r="DC137" s="620"/>
      <c r="DD137" s="618"/>
      <c r="DE137" s="618"/>
      <c r="DF137" s="618"/>
      <c r="DG137" s="618"/>
      <c r="DH137" s="618"/>
      <c r="DI137" s="617" t="str">
        <f>IF(CX137="","",OFFSET(Biblioteca!$G$2,MATCH(CX137,Biblioteca!$A$3:$A$200,0),)*(1.05^(10-DE137)))</f>
        <v/>
      </c>
      <c r="DJ137" s="618"/>
      <c r="DK137" s="579"/>
    </row>
    <row r="138" ht="14.25" customHeight="1">
      <c r="A138" s="492" t="str">
        <f>"S "&amp;$AD102&amp;" - "&amp;TEXT(C112,"dd/mm")</f>
        <v>S 3 - 26/01</v>
      </c>
      <c r="B138" s="537"/>
      <c r="C138" s="669"/>
      <c r="D138" s="669"/>
      <c r="E138" s="669"/>
      <c r="F138" s="669"/>
      <c r="G138" s="669"/>
      <c r="H138" s="669"/>
      <c r="I138" s="669"/>
      <c r="J138" s="505"/>
      <c r="K138" s="608">
        <f t="shared" si="75"/>
        <v>11</v>
      </c>
      <c r="L138" s="664"/>
      <c r="Q138" s="664"/>
      <c r="R138" s="640"/>
      <c r="S138" s="640"/>
      <c r="T138" s="640"/>
      <c r="U138" s="640"/>
      <c r="V138" s="640"/>
      <c r="W138" s="665" t="str">
        <f>IF(L138="","",OFFSET(Biblioteca!$G$2,MATCH(L138,Biblioteca!$A$3:$A$200,0),)*(1.05^(10-S138)))</f>
        <v/>
      </c>
      <c r="X138" s="640"/>
      <c r="Y138" s="632"/>
      <c r="Z138" s="641">
        <f t="shared" si="76"/>
        <v>11</v>
      </c>
      <c r="AA138" s="664"/>
      <c r="AF138" s="664"/>
      <c r="AG138" s="640"/>
      <c r="AH138" s="640"/>
      <c r="AI138" s="640"/>
      <c r="AJ138" s="640"/>
      <c r="AK138" s="640"/>
      <c r="AL138" s="665" t="str">
        <f>IF(AA138="","",OFFSET(Biblioteca!$G$2,MATCH(AA138,Biblioteca!$A$3:$A$200,0),)*(1.05^(10-AH138)))</f>
        <v/>
      </c>
      <c r="AM138" s="640"/>
      <c r="AN138" s="632"/>
      <c r="AO138" s="641">
        <f t="shared" si="77"/>
        <v>1</v>
      </c>
      <c r="AP138" s="664"/>
      <c r="AU138" s="664"/>
      <c r="AV138" s="640"/>
      <c r="AW138" s="640"/>
      <c r="AX138" s="640"/>
      <c r="AY138" s="640"/>
      <c r="AZ138" s="640"/>
      <c r="BA138" s="665" t="str">
        <f>IF(AP138="","",OFFSET(Biblioteca!$G$2,MATCH(AP138,Biblioteca!$A$3:$A$200,0),)*(1.05^(10-AW138)))</f>
        <v/>
      </c>
      <c r="BB138" s="640"/>
      <c r="BC138" s="632"/>
      <c r="BD138" s="641">
        <f t="shared" si="78"/>
        <v>7</v>
      </c>
      <c r="BE138" s="664"/>
      <c r="BJ138" s="664"/>
      <c r="BK138" s="640"/>
      <c r="BL138" s="640"/>
      <c r="BM138" s="640"/>
      <c r="BN138" s="640"/>
      <c r="BO138" s="640"/>
      <c r="BP138" s="665" t="str">
        <f>IF(BE138="","",OFFSET(Biblioteca!$G$2,MATCH(BE138,Biblioteca!$A$3:$A$200,0),)*(1.05^(10-BL138)))</f>
        <v/>
      </c>
      <c r="BQ138" s="640"/>
      <c r="BR138" s="632"/>
      <c r="BS138" s="641">
        <f t="shared" si="79"/>
        <v>8</v>
      </c>
      <c r="BT138" s="664"/>
      <c r="BY138" s="664"/>
      <c r="BZ138" s="640"/>
      <c r="CA138" s="640"/>
      <c r="CB138" s="640"/>
      <c r="CC138" s="640"/>
      <c r="CD138" s="640"/>
      <c r="CE138" s="665" t="str">
        <f>IF(BT138="","",OFFSET(Biblioteca!$G$2,MATCH(BT138,Biblioteca!$A$3:$A$200,0),)*(1.05^(10-CA138)))</f>
        <v/>
      </c>
      <c r="CF138" s="640"/>
      <c r="CG138" s="632"/>
      <c r="CH138" s="641">
        <f t="shared" si="80"/>
        <v>1</v>
      </c>
      <c r="CI138" s="664"/>
      <c r="CN138" s="664"/>
      <c r="CO138" s="640"/>
      <c r="CP138" s="640"/>
      <c r="CQ138" s="640"/>
      <c r="CR138" s="640"/>
      <c r="CS138" s="640"/>
      <c r="CT138" s="665" t="str">
        <f>IF(CI138="","",OFFSET(Biblioteca!$G$2,MATCH(CI138,Biblioteca!$A$3:$A$200,0),)*(1.05^(10-CP138)))</f>
        <v/>
      </c>
      <c r="CU138" s="640"/>
      <c r="CV138" s="579"/>
      <c r="CW138" s="608">
        <f t="shared" si="81"/>
        <v>1</v>
      </c>
      <c r="CX138" s="619"/>
      <c r="DC138" s="620"/>
      <c r="DD138" s="618"/>
      <c r="DE138" s="618"/>
      <c r="DF138" s="618"/>
      <c r="DG138" s="618"/>
      <c r="DH138" s="618"/>
      <c r="DI138" s="617" t="str">
        <f>IF(CX138="","",OFFSET(Biblioteca!$G$2,MATCH(CX138,Biblioteca!$A$3:$A$200,0),)*(1.05^(10-DE138)))</f>
        <v/>
      </c>
      <c r="DJ138" s="618"/>
      <c r="DK138" s="579"/>
    </row>
    <row r="139" ht="14.25" customHeight="1">
      <c r="A139" s="492" t="str">
        <f>"S "&amp;$AD102&amp;" - "&amp;TEXT(C112,"dd/mm")</f>
        <v>S 3 - 26/01</v>
      </c>
      <c r="B139" s="537"/>
      <c r="C139" s="669"/>
      <c r="D139" s="669"/>
      <c r="E139" s="669"/>
      <c r="F139" s="669"/>
      <c r="G139" s="669"/>
      <c r="H139" s="669"/>
      <c r="I139" s="669"/>
      <c r="J139" s="505"/>
      <c r="K139" s="608">
        <f t="shared" si="75"/>
        <v>11</v>
      </c>
      <c r="L139" s="619"/>
      <c r="Q139" s="620"/>
      <c r="R139" s="618"/>
      <c r="S139" s="618"/>
      <c r="T139" s="618"/>
      <c r="U139" s="618"/>
      <c r="V139" s="618"/>
      <c r="W139" s="617" t="str">
        <f>IF(L139="","",OFFSET(Biblioteca!$G$2,MATCH(L139,Biblioteca!$A$3:$A$200,0),)*(1.05^(10-S139)))</f>
        <v/>
      </c>
      <c r="X139" s="618"/>
      <c r="Y139" s="670"/>
      <c r="Z139" s="608">
        <f t="shared" si="76"/>
        <v>11</v>
      </c>
      <c r="AA139" s="619"/>
      <c r="AF139" s="620"/>
      <c r="AG139" s="618"/>
      <c r="AH139" s="618"/>
      <c r="AI139" s="618"/>
      <c r="AJ139" s="618"/>
      <c r="AK139" s="618"/>
      <c r="AL139" s="617" t="str">
        <f>IF(AA139="","",OFFSET(Biblioteca!$G$2,MATCH(AA139,Biblioteca!$A$3:$A$200,0),)*(1.05^(10-AH139)))</f>
        <v/>
      </c>
      <c r="AM139" s="618"/>
      <c r="AN139" s="670"/>
      <c r="AO139" s="608">
        <f t="shared" si="77"/>
        <v>1</v>
      </c>
      <c r="AP139" s="619"/>
      <c r="AU139" s="620"/>
      <c r="AV139" s="618"/>
      <c r="AW139" s="618"/>
      <c r="AX139" s="618"/>
      <c r="AY139" s="618"/>
      <c r="AZ139" s="618"/>
      <c r="BA139" s="617" t="str">
        <f>IF(AP139="","",OFFSET(Biblioteca!$G$2,MATCH(AP139,Biblioteca!$A$3:$A$200,0),)*(1.05^(10-AW139)))</f>
        <v/>
      </c>
      <c r="BB139" s="618"/>
      <c r="BC139" s="670"/>
      <c r="BD139" s="608">
        <f t="shared" si="78"/>
        <v>7</v>
      </c>
      <c r="BE139" s="619"/>
      <c r="BJ139" s="620"/>
      <c r="BK139" s="618"/>
      <c r="BL139" s="618"/>
      <c r="BM139" s="618"/>
      <c r="BN139" s="618"/>
      <c r="BO139" s="618"/>
      <c r="BP139" s="617" t="str">
        <f>IF(BE139="","",OFFSET(Biblioteca!$G$2,MATCH(BE139,Biblioteca!$A$3:$A$200,0),)*(1.05^(10-BL139)))</f>
        <v/>
      </c>
      <c r="BQ139" s="618"/>
      <c r="BR139" s="670"/>
      <c r="BS139" s="608">
        <f t="shared" si="79"/>
        <v>8</v>
      </c>
      <c r="BT139" s="619"/>
      <c r="BY139" s="620"/>
      <c r="BZ139" s="618"/>
      <c r="CA139" s="618"/>
      <c r="CB139" s="618"/>
      <c r="CC139" s="618"/>
      <c r="CD139" s="618"/>
      <c r="CE139" s="617" t="str">
        <f>IF(BT139="","",OFFSET(Biblioteca!$G$2,MATCH(BT139,Biblioteca!$A$3:$A$200,0),)*(1.05^(10-CA139)))</f>
        <v/>
      </c>
      <c r="CF139" s="618"/>
      <c r="CG139" s="670"/>
      <c r="CH139" s="608">
        <f t="shared" si="80"/>
        <v>1</v>
      </c>
      <c r="CI139" s="619"/>
      <c r="CN139" s="620"/>
      <c r="CO139" s="618"/>
      <c r="CP139" s="618"/>
      <c r="CQ139" s="618"/>
      <c r="CR139" s="618"/>
      <c r="CS139" s="618"/>
      <c r="CT139" s="617" t="str">
        <f>IF(CI139="","",OFFSET(Biblioteca!$G$2,MATCH(CI139,Biblioteca!$A$3:$A$200,0),)*(1.05^(10-CP139)))</f>
        <v/>
      </c>
      <c r="CU139" s="618"/>
      <c r="CV139" s="670"/>
      <c r="CW139" s="608">
        <f t="shared" si="81"/>
        <v>1</v>
      </c>
      <c r="CX139" s="619"/>
      <c r="DC139" s="620"/>
      <c r="DD139" s="618"/>
      <c r="DE139" s="618"/>
      <c r="DF139" s="618"/>
      <c r="DG139" s="618"/>
      <c r="DH139" s="618"/>
      <c r="DI139" s="617" t="str">
        <f>IF(CX139="","",OFFSET(Biblioteca!$G$2,MATCH(CX139,Biblioteca!$A$3:$A$200,0),)*(1.05^(10-DE139)))</f>
        <v/>
      </c>
      <c r="DJ139" s="618"/>
      <c r="DK139" s="670"/>
    </row>
    <row r="140" ht="14.25" customHeight="1">
      <c r="A140" s="492" t="str">
        <f>"S "&amp;$AD102&amp;" - "&amp;TEXT(C112,"dd/mm")</f>
        <v>S 3 - 26/01</v>
      </c>
      <c r="B140" s="537"/>
      <c r="C140" s="669"/>
      <c r="D140" s="669"/>
      <c r="E140" s="669"/>
      <c r="F140" s="669"/>
      <c r="G140" s="669"/>
      <c r="H140" s="669"/>
      <c r="I140" s="669"/>
      <c r="J140" s="505"/>
      <c r="K140" s="608">
        <f t="shared" si="75"/>
        <v>11</v>
      </c>
      <c r="L140" s="619"/>
      <c r="Q140" s="620"/>
      <c r="R140" s="618"/>
      <c r="S140" s="618"/>
      <c r="T140" s="618"/>
      <c r="U140" s="618"/>
      <c r="V140" s="618"/>
      <c r="W140" s="617" t="str">
        <f>IF(L140="","",OFFSET(Biblioteca!$G$2,MATCH(L140,Biblioteca!$A$3:$A$200,0),)*(1.05^(10-S140)))</f>
        <v/>
      </c>
      <c r="X140" s="618"/>
      <c r="Y140" s="670"/>
      <c r="Z140" s="608">
        <f t="shared" si="76"/>
        <v>11</v>
      </c>
      <c r="AA140" s="619"/>
      <c r="AF140" s="620"/>
      <c r="AG140" s="618"/>
      <c r="AH140" s="618"/>
      <c r="AI140" s="618"/>
      <c r="AJ140" s="618"/>
      <c r="AK140" s="618"/>
      <c r="AL140" s="617" t="str">
        <f>IF(AA140="","",OFFSET(Biblioteca!$G$2,MATCH(AA140,Biblioteca!$A$3:$A$200,0),)*(1.05^(10-AH140)))</f>
        <v/>
      </c>
      <c r="AM140" s="618"/>
      <c r="AN140" s="670"/>
      <c r="AO140" s="608">
        <f t="shared" si="77"/>
        <v>1</v>
      </c>
      <c r="AP140" s="619"/>
      <c r="AU140" s="620"/>
      <c r="AV140" s="618"/>
      <c r="AW140" s="618"/>
      <c r="AX140" s="618"/>
      <c r="AY140" s="618"/>
      <c r="AZ140" s="618"/>
      <c r="BA140" s="617" t="str">
        <f>IF(AP140="","",OFFSET(Biblioteca!$G$2,MATCH(AP140,Biblioteca!$A$3:$A$200,0),)*(1.05^(10-AW140)))</f>
        <v/>
      </c>
      <c r="BB140" s="618"/>
      <c r="BC140" s="670"/>
      <c r="BD140" s="608">
        <f t="shared" si="78"/>
        <v>7</v>
      </c>
      <c r="BE140" s="619"/>
      <c r="BJ140" s="620"/>
      <c r="BK140" s="618"/>
      <c r="BL140" s="618"/>
      <c r="BM140" s="618"/>
      <c r="BN140" s="618"/>
      <c r="BO140" s="618"/>
      <c r="BP140" s="617" t="str">
        <f>IF(BE140="","",OFFSET(Biblioteca!$G$2,MATCH(BE140,Biblioteca!$A$3:$A$200,0),)*(1.05^(10-BL140)))</f>
        <v/>
      </c>
      <c r="BQ140" s="618"/>
      <c r="BR140" s="670"/>
      <c r="BS140" s="608">
        <f t="shared" si="79"/>
        <v>8</v>
      </c>
      <c r="BT140" s="619"/>
      <c r="BY140" s="620"/>
      <c r="BZ140" s="618"/>
      <c r="CA140" s="618"/>
      <c r="CB140" s="618"/>
      <c r="CC140" s="618"/>
      <c r="CD140" s="618"/>
      <c r="CE140" s="617" t="str">
        <f>IF(BT140="","",OFFSET(Biblioteca!$G$2,MATCH(BT140,Biblioteca!$A$3:$A$200,0),)*(1.05^(10-CA140)))</f>
        <v/>
      </c>
      <c r="CF140" s="618"/>
      <c r="CG140" s="670"/>
      <c r="CH140" s="608">
        <f t="shared" si="80"/>
        <v>1</v>
      </c>
      <c r="CI140" s="619"/>
      <c r="CN140" s="620"/>
      <c r="CO140" s="618"/>
      <c r="CP140" s="618"/>
      <c r="CQ140" s="618"/>
      <c r="CR140" s="618"/>
      <c r="CS140" s="618"/>
      <c r="CT140" s="617" t="str">
        <f>IF(CI140="","",OFFSET(Biblioteca!$G$2,MATCH(CI140,Biblioteca!$A$3:$A$200,0),)*(1.05^(10-CP140)))</f>
        <v/>
      </c>
      <c r="CU140" s="618"/>
      <c r="CV140" s="670"/>
      <c r="CW140" s="608">
        <f t="shared" si="81"/>
        <v>1</v>
      </c>
      <c r="CX140" s="619"/>
      <c r="DC140" s="620"/>
      <c r="DD140" s="618"/>
      <c r="DE140" s="618"/>
      <c r="DF140" s="618"/>
      <c r="DG140" s="618"/>
      <c r="DH140" s="618"/>
      <c r="DI140" s="617" t="str">
        <f>IF(CX140="","",OFFSET(Biblioteca!$G$2,MATCH(CX140,Biblioteca!$A$3:$A$200,0),)*(1.05^(10-DE140)))</f>
        <v/>
      </c>
      <c r="DJ140" s="618"/>
      <c r="DK140" s="670"/>
    </row>
    <row r="141" ht="14.25" customHeight="1">
      <c r="A141" s="492" t="str">
        <f>"S "&amp;$AD102&amp;" - "&amp;TEXT(C112,"dd/mm")</f>
        <v>S 3 - 26/01</v>
      </c>
      <c r="B141" s="537"/>
      <c r="C141" s="669"/>
      <c r="D141" s="669"/>
      <c r="E141" s="669"/>
      <c r="F141" s="669"/>
      <c r="G141" s="669"/>
      <c r="H141" s="669"/>
      <c r="I141" s="669"/>
      <c r="J141" s="505"/>
      <c r="K141" s="581"/>
      <c r="L141" s="581"/>
      <c r="M141" s="581"/>
      <c r="N141" s="581"/>
      <c r="O141" s="581"/>
      <c r="P141" s="627" t="s">
        <v>48</v>
      </c>
      <c r="Q141" s="627"/>
      <c r="R141" s="627"/>
      <c r="S141" s="627"/>
      <c r="T141" s="627"/>
      <c r="U141" s="627"/>
      <c r="V141" s="627"/>
      <c r="W141" s="627"/>
      <c r="X141" s="627"/>
      <c r="Y141" s="627"/>
      <c r="Z141" s="581"/>
      <c r="AA141" s="581"/>
      <c r="AB141" s="581"/>
      <c r="AC141" s="581"/>
      <c r="AD141" s="581"/>
      <c r="AE141" s="627" t="s">
        <v>48</v>
      </c>
      <c r="AF141" s="627"/>
      <c r="AG141" s="627"/>
      <c r="AH141" s="627"/>
      <c r="AI141" s="627"/>
      <c r="AJ141" s="627"/>
      <c r="AK141" s="627"/>
      <c r="AL141" s="627"/>
      <c r="AM141" s="627"/>
      <c r="AN141" s="670"/>
      <c r="AO141" s="581"/>
      <c r="AP141" s="581"/>
      <c r="AQ141" s="581"/>
      <c r="AR141" s="581"/>
      <c r="AS141" s="581"/>
      <c r="AT141" s="627" t="s">
        <v>48</v>
      </c>
      <c r="AU141" s="627"/>
      <c r="AV141" s="627"/>
      <c r="AW141" s="627"/>
      <c r="AX141" s="627"/>
      <c r="AY141" s="627"/>
      <c r="AZ141" s="627"/>
      <c r="BA141" s="627"/>
      <c r="BB141" s="627"/>
      <c r="BC141" s="671"/>
      <c r="BD141" s="581"/>
      <c r="BE141" s="581"/>
      <c r="BF141" s="581"/>
      <c r="BG141" s="581"/>
      <c r="BH141" s="581"/>
      <c r="BI141" s="627" t="s">
        <v>48</v>
      </c>
      <c r="BJ141" s="627"/>
      <c r="BK141" s="627"/>
      <c r="BL141" s="627"/>
      <c r="BM141" s="627"/>
      <c r="BN141" s="627"/>
      <c r="BO141" s="627"/>
      <c r="BP141" s="627"/>
      <c r="BQ141" s="627"/>
      <c r="BR141" s="671"/>
      <c r="BS141" s="581"/>
      <c r="BT141" s="581"/>
      <c r="BU141" s="581"/>
      <c r="BV141" s="581"/>
      <c r="BW141" s="581"/>
      <c r="BX141" s="627" t="s">
        <v>48</v>
      </c>
      <c r="BY141" s="627"/>
      <c r="BZ141" s="627"/>
      <c r="CA141" s="627"/>
      <c r="CB141" s="627"/>
      <c r="CC141" s="627"/>
      <c r="CD141" s="627"/>
      <c r="CE141" s="627"/>
      <c r="CF141" s="627"/>
      <c r="CG141" s="671"/>
      <c r="CH141" s="581"/>
      <c r="CI141" s="581"/>
      <c r="CJ141" s="581"/>
      <c r="CK141" s="581"/>
      <c r="CL141" s="581"/>
      <c r="CM141" s="627" t="s">
        <v>48</v>
      </c>
      <c r="CN141" s="627"/>
      <c r="CO141" s="627"/>
      <c r="CP141" s="627"/>
      <c r="CQ141" s="627"/>
      <c r="CR141" s="627"/>
      <c r="CS141" s="627"/>
      <c r="CT141" s="627"/>
      <c r="CU141" s="627"/>
      <c r="CV141" s="671"/>
      <c r="CW141" s="581"/>
      <c r="CX141" s="581"/>
      <c r="CY141" s="581"/>
      <c r="CZ141" s="581"/>
      <c r="DA141" s="581"/>
      <c r="DB141" s="627" t="s">
        <v>48</v>
      </c>
      <c r="DC141" s="627"/>
      <c r="DD141" s="627"/>
      <c r="DE141" s="627"/>
      <c r="DF141" s="627"/>
      <c r="DG141" s="627"/>
      <c r="DH141" s="627"/>
      <c r="DI141" s="627"/>
      <c r="DJ141" s="627"/>
      <c r="DK141" s="670"/>
    </row>
    <row r="142" ht="14.25" customHeight="1">
      <c r="A142" s="492" t="str">
        <f>"S "&amp;$AD102&amp;" - "&amp;TEXT(C112,"dd/mm")</f>
        <v>S 3 - 26/01</v>
      </c>
      <c r="B142" s="537"/>
      <c r="C142" s="672"/>
      <c r="D142" s="672"/>
      <c r="E142" s="672"/>
      <c r="F142" s="672"/>
      <c r="G142" s="672"/>
      <c r="H142" s="672"/>
      <c r="I142" s="672"/>
      <c r="J142" s="505"/>
      <c r="K142" s="608">
        <v>1.0</v>
      </c>
      <c r="L142" s="619"/>
      <c r="Q142" s="620"/>
      <c r="R142" s="618"/>
      <c r="S142" s="618"/>
      <c r="T142" s="618"/>
      <c r="U142" s="618"/>
      <c r="V142" s="618"/>
      <c r="W142" s="617" t="str">
        <f>IF(L142="","",OFFSET(Biblioteca!$G$2,MATCH(L142,Biblioteca!$A$3:$A$200,0),)*(1.05^(10-S142)))</f>
        <v/>
      </c>
      <c r="X142" s="618"/>
      <c r="Y142" s="670"/>
      <c r="Z142" s="608">
        <v>1.0</v>
      </c>
      <c r="AA142" s="619"/>
      <c r="AF142" s="620"/>
      <c r="AG142" s="618"/>
      <c r="AH142" s="618"/>
      <c r="AI142" s="618"/>
      <c r="AJ142" s="618"/>
      <c r="AK142" s="618"/>
      <c r="AL142" s="617" t="str">
        <f>IF(AA142="","",OFFSET(Biblioteca!$G$2,MATCH(AA142,Biblioteca!$A$3:$A$200,0),)*(1.05^(10-AH142)))</f>
        <v/>
      </c>
      <c r="AM142" s="618"/>
      <c r="AN142" s="670"/>
      <c r="AO142" s="608">
        <v>1.0</v>
      </c>
      <c r="AP142" s="619"/>
      <c r="AU142" s="620"/>
      <c r="AV142" s="618"/>
      <c r="AW142" s="618"/>
      <c r="AX142" s="618"/>
      <c r="AY142" s="618"/>
      <c r="AZ142" s="618"/>
      <c r="BA142" s="617" t="str">
        <f>IF(AP142="","",OFFSET(Biblioteca!$G$2,MATCH(AP142,Biblioteca!$A$3:$A$200,0),)*(1.05^(10-AW142)))</f>
        <v/>
      </c>
      <c r="BB142" s="618"/>
      <c r="BC142" s="670"/>
      <c r="BD142" s="608">
        <v>1.0</v>
      </c>
      <c r="BE142" s="619"/>
      <c r="BJ142" s="620"/>
      <c r="BK142" s="618"/>
      <c r="BL142" s="618"/>
      <c r="BM142" s="618"/>
      <c r="BN142" s="618"/>
      <c r="BO142" s="618"/>
      <c r="BP142" s="617" t="str">
        <f>IF(BE142="","",OFFSET(Biblioteca!$G$2,MATCH(BE142,Biblioteca!$A$3:$A$200,0),)*(1.05^(10-BL142)))</f>
        <v/>
      </c>
      <c r="BQ142" s="618"/>
      <c r="BR142" s="670"/>
      <c r="BS142" s="608">
        <v>1.0</v>
      </c>
      <c r="BT142" s="619"/>
      <c r="BY142" s="620"/>
      <c r="BZ142" s="618"/>
      <c r="CA142" s="618"/>
      <c r="CB142" s="618"/>
      <c r="CC142" s="618"/>
      <c r="CD142" s="618"/>
      <c r="CE142" s="617" t="str">
        <f>IF(BT142="","",OFFSET(Biblioteca!$G$2,MATCH(BT142,Biblioteca!$A$3:$A$200,0),)*(1.05^(10-CA142)))</f>
        <v/>
      </c>
      <c r="CF142" s="618"/>
      <c r="CG142" s="670"/>
      <c r="CH142" s="608">
        <v>1.0</v>
      </c>
      <c r="CI142" s="619"/>
      <c r="CN142" s="620"/>
      <c r="CO142" s="618"/>
      <c r="CP142" s="618"/>
      <c r="CQ142" s="618"/>
      <c r="CR142" s="618"/>
      <c r="CS142" s="618"/>
      <c r="CT142" s="617" t="str">
        <f>IF(CI142="","",OFFSET(Biblioteca!$G$2,MATCH(CI142,Biblioteca!$A$3:$A$200,0),)*(1.05^(10-CP142)))</f>
        <v/>
      </c>
      <c r="CU142" s="618"/>
      <c r="CV142" s="670"/>
      <c r="CW142" s="608">
        <v>1.0</v>
      </c>
      <c r="CX142" s="619"/>
      <c r="DC142" s="620"/>
      <c r="DD142" s="618"/>
      <c r="DE142" s="618"/>
      <c r="DF142" s="618"/>
      <c r="DG142" s="618"/>
      <c r="DH142" s="618"/>
      <c r="DI142" s="617" t="str">
        <f>IF(CX142="","",OFFSET(Biblioteca!$G$2,MATCH(CX142,Biblioteca!$A$3:$A$200,0),)*(1.05^(10-DE142)))</f>
        <v/>
      </c>
      <c r="DJ142" s="618"/>
      <c r="DK142" s="670"/>
    </row>
    <row r="143" ht="14.25" customHeight="1">
      <c r="A143" s="492" t="str">
        <f>"S "&amp;$AD102&amp;" - "&amp;TEXT(C112,"dd/mm")</f>
        <v>S 3 - 26/01</v>
      </c>
      <c r="B143" s="673">
        <f>MAX(C143:I143)</f>
        <v>6</v>
      </c>
      <c r="C143" s="674">
        <f>IF(C114=0,0,1)</f>
        <v>1</v>
      </c>
      <c r="D143" s="674">
        <f>IF(D114=0,0,C143+1)</f>
        <v>2</v>
      </c>
      <c r="E143" s="674">
        <f>IF(E114=0,0,MAX(C143:D143)+1)</f>
        <v>3</v>
      </c>
      <c r="F143" s="674">
        <f>IF(F114=0,0,MAX(C143:E143)+1)</f>
        <v>4</v>
      </c>
      <c r="G143" s="674">
        <f>IF(G114=0,0,MAX(C143:F143)+1)</f>
        <v>5</v>
      </c>
      <c r="H143" s="674">
        <f>IF(H114=0,0,MAX(C143:G143)+1)</f>
        <v>6</v>
      </c>
      <c r="I143" s="674">
        <f>IF(I114=0,0,MAX(C143:H143)+1)</f>
        <v>0</v>
      </c>
      <c r="J143" s="505"/>
      <c r="K143" s="608">
        <f t="shared" ref="K143:K144" si="86">IF(T142="",K142,K142+1)</f>
        <v>1</v>
      </c>
      <c r="L143" s="619"/>
      <c r="Q143" s="620"/>
      <c r="R143" s="618"/>
      <c r="S143" s="618"/>
      <c r="T143" s="618"/>
      <c r="U143" s="618"/>
      <c r="V143" s="618"/>
      <c r="W143" s="617" t="str">
        <f>IF(L143="","",OFFSET(Biblioteca!$G$2,MATCH(L143,Biblioteca!$A$3:$A$200,0),)*(1.05^(10-S143)))</f>
        <v/>
      </c>
      <c r="X143" s="618"/>
      <c r="Y143" s="670"/>
      <c r="Z143" s="608">
        <f t="shared" ref="Z143:Z144" si="87">IF(AI142="",Z142,Z142+1)</f>
        <v>1</v>
      </c>
      <c r="AA143" s="619"/>
      <c r="AF143" s="620"/>
      <c r="AG143" s="618"/>
      <c r="AH143" s="618"/>
      <c r="AI143" s="618"/>
      <c r="AJ143" s="618"/>
      <c r="AK143" s="618"/>
      <c r="AL143" s="617" t="str">
        <f>IF(AA143="","",OFFSET(Biblioteca!$G$2,MATCH(AA143,Biblioteca!$A$3:$A$200,0),)*(1.05^(10-AH143)))</f>
        <v/>
      </c>
      <c r="AM143" s="618"/>
      <c r="AN143" s="670"/>
      <c r="AO143" s="608">
        <f t="shared" ref="AO143:AO144" si="88">IF(AX142="",AO142,AO142+1)</f>
        <v>1</v>
      </c>
      <c r="AP143" s="619"/>
      <c r="AU143" s="620"/>
      <c r="AV143" s="618"/>
      <c r="AW143" s="618"/>
      <c r="AX143" s="618"/>
      <c r="AY143" s="618"/>
      <c r="AZ143" s="618"/>
      <c r="BA143" s="617" t="str">
        <f>IF(AP143="","",OFFSET(Biblioteca!$G$2,MATCH(AP143,Biblioteca!$A$3:$A$200,0),)*(1.05^(10-AW143)))</f>
        <v/>
      </c>
      <c r="BB143" s="618"/>
      <c r="BC143" s="670"/>
      <c r="BD143" s="608">
        <f t="shared" ref="BD143:BD144" si="89">IF(BM142="",BD142,BD142+1)</f>
        <v>1</v>
      </c>
      <c r="BE143" s="619"/>
      <c r="BJ143" s="620"/>
      <c r="BK143" s="618"/>
      <c r="BL143" s="618"/>
      <c r="BM143" s="618"/>
      <c r="BN143" s="618"/>
      <c r="BO143" s="618"/>
      <c r="BP143" s="617" t="str">
        <f>IF(BE143="","",OFFSET(Biblioteca!$G$2,MATCH(BE143,Biblioteca!$A$3:$A$200,0),)*(1.05^(10-BL143)))</f>
        <v/>
      </c>
      <c r="BQ143" s="618"/>
      <c r="BR143" s="670"/>
      <c r="BS143" s="608">
        <f t="shared" ref="BS143:BS144" si="90">IF(CB142="",BS142,BS142+1)</f>
        <v>1</v>
      </c>
      <c r="BT143" s="619"/>
      <c r="BY143" s="620"/>
      <c r="BZ143" s="618"/>
      <c r="CA143" s="618"/>
      <c r="CB143" s="618"/>
      <c r="CC143" s="618"/>
      <c r="CD143" s="618"/>
      <c r="CE143" s="617" t="str">
        <f>IF(BT143="","",OFFSET(Biblioteca!$G$2,MATCH(BT143,Biblioteca!$A$3:$A$200,0),)*(1.05^(10-CA143)))</f>
        <v/>
      </c>
      <c r="CF143" s="618"/>
      <c r="CG143" s="670"/>
      <c r="CH143" s="608">
        <f t="shared" ref="CH143:CH144" si="91">IF(CQ142="",CH142,CH142+1)</f>
        <v>1</v>
      </c>
      <c r="CI143" s="619"/>
      <c r="CN143" s="620"/>
      <c r="CO143" s="618"/>
      <c r="CP143" s="618"/>
      <c r="CQ143" s="618"/>
      <c r="CR143" s="618"/>
      <c r="CS143" s="618"/>
      <c r="CT143" s="617" t="str">
        <f>IF(CI143="","",OFFSET(Biblioteca!$G$2,MATCH(CI143,Biblioteca!$A$3:$A$200,0),)*(1.05^(10-CP143)))</f>
        <v/>
      </c>
      <c r="CU143" s="618"/>
      <c r="CV143" s="670"/>
      <c r="CW143" s="608">
        <f t="shared" ref="CW143:CW144" si="92">IF(DF142="",CW142,CW142+1)</f>
        <v>1</v>
      </c>
      <c r="CX143" s="619"/>
      <c r="DC143" s="620"/>
      <c r="DD143" s="618"/>
      <c r="DE143" s="618"/>
      <c r="DF143" s="618"/>
      <c r="DG143" s="618"/>
      <c r="DH143" s="618"/>
      <c r="DI143" s="617" t="str">
        <f>IF(CX143="","",OFFSET(Biblioteca!$G$2,MATCH(CX143,Biblioteca!$A$3:$A$200,0),)*(1.05^(10-DE143)))</f>
        <v/>
      </c>
      <c r="DJ143" s="618"/>
      <c r="DK143" s="670"/>
    </row>
    <row r="144" ht="14.25" customHeight="1">
      <c r="A144" s="492" t="str">
        <f>"S "&amp;$AD102&amp;" - "&amp;TEXT(C112,"dd/mm")</f>
        <v>S 3 - 26/01</v>
      </c>
      <c r="B144" s="673"/>
      <c r="C144" s="675">
        <f t="shared" ref="C144:I144" si="85">C112</f>
        <v>46048</v>
      </c>
      <c r="D144" s="675">
        <f t="shared" si="85"/>
        <v>46049</v>
      </c>
      <c r="E144" s="675">
        <f t="shared" si="85"/>
        <v>46050</v>
      </c>
      <c r="F144" s="675">
        <f t="shared" si="85"/>
        <v>46051</v>
      </c>
      <c r="G144" s="675">
        <f t="shared" si="85"/>
        <v>46052</v>
      </c>
      <c r="H144" s="675">
        <f t="shared" si="85"/>
        <v>46053</v>
      </c>
      <c r="I144" s="675">
        <f t="shared" si="85"/>
        <v>46054</v>
      </c>
      <c r="J144" s="505"/>
      <c r="K144" s="608">
        <f t="shared" si="86"/>
        <v>1</v>
      </c>
      <c r="L144" s="619"/>
      <c r="Q144" s="620"/>
      <c r="R144" s="618"/>
      <c r="S144" s="618"/>
      <c r="T144" s="618"/>
      <c r="U144" s="618"/>
      <c r="V144" s="618"/>
      <c r="W144" s="617" t="str">
        <f>IF(L144="","",OFFSET(Biblioteca!$G$2,MATCH(L144,Biblioteca!$A$3:$A$200,0),)*(1.05^(10-S144)))</f>
        <v/>
      </c>
      <c r="X144" s="618"/>
      <c r="Y144" s="670"/>
      <c r="Z144" s="608">
        <f t="shared" si="87"/>
        <v>1</v>
      </c>
      <c r="AA144" s="619"/>
      <c r="AF144" s="620"/>
      <c r="AG144" s="618"/>
      <c r="AH144" s="618"/>
      <c r="AI144" s="618"/>
      <c r="AJ144" s="618"/>
      <c r="AK144" s="618"/>
      <c r="AL144" s="617" t="str">
        <f>IF(AA144="","",OFFSET(Biblioteca!$G$2,MATCH(AA144,Biblioteca!$A$3:$A$200,0),)*(1.05^(10-AH144)))</f>
        <v/>
      </c>
      <c r="AM144" s="618"/>
      <c r="AN144" s="670"/>
      <c r="AO144" s="608">
        <f t="shared" si="88"/>
        <v>1</v>
      </c>
      <c r="AP144" s="619"/>
      <c r="AU144" s="620"/>
      <c r="AV144" s="618"/>
      <c r="AW144" s="618"/>
      <c r="AX144" s="618"/>
      <c r="AY144" s="618"/>
      <c r="AZ144" s="618"/>
      <c r="BA144" s="617" t="str">
        <f>IF(AP144="","",OFFSET(Biblioteca!$G$2,MATCH(AP144,Biblioteca!$A$3:$A$200,0),)*(1.05^(10-AW144)))</f>
        <v/>
      </c>
      <c r="BB144" s="618"/>
      <c r="BC144" s="670"/>
      <c r="BD144" s="608">
        <f t="shared" si="89"/>
        <v>1</v>
      </c>
      <c r="BE144" s="619"/>
      <c r="BJ144" s="620"/>
      <c r="BK144" s="618"/>
      <c r="BL144" s="618"/>
      <c r="BM144" s="618"/>
      <c r="BN144" s="618"/>
      <c r="BO144" s="618"/>
      <c r="BP144" s="617" t="str">
        <f>IF(BE144="","",OFFSET(Biblioteca!$G$2,MATCH(BE144,Biblioteca!$A$3:$A$200,0),)*(1.05^(10-BL144)))</f>
        <v/>
      </c>
      <c r="BQ144" s="618"/>
      <c r="BR144" s="670"/>
      <c r="BS144" s="608">
        <f t="shared" si="90"/>
        <v>1</v>
      </c>
      <c r="BT144" s="619"/>
      <c r="BY144" s="620"/>
      <c r="BZ144" s="618"/>
      <c r="CA144" s="618"/>
      <c r="CB144" s="618"/>
      <c r="CC144" s="618"/>
      <c r="CD144" s="618"/>
      <c r="CE144" s="617" t="str">
        <f>IF(BT144="","",OFFSET(Biblioteca!$G$2,MATCH(BT144,Biblioteca!$A$3:$A$200,0),)*(1.05^(10-CA144)))</f>
        <v/>
      </c>
      <c r="CF144" s="618"/>
      <c r="CG144" s="670"/>
      <c r="CH144" s="608">
        <f t="shared" si="91"/>
        <v>1</v>
      </c>
      <c r="CI144" s="619"/>
      <c r="CN144" s="620"/>
      <c r="CO144" s="618"/>
      <c r="CP144" s="618"/>
      <c r="CQ144" s="618"/>
      <c r="CR144" s="618"/>
      <c r="CS144" s="618"/>
      <c r="CT144" s="617" t="str">
        <f>IF(CI144="","",OFFSET(Biblioteca!$G$2,MATCH(CI144,Biblioteca!$A$3:$A$200,0),)*(1.05^(10-CP144)))</f>
        <v/>
      </c>
      <c r="CU144" s="618"/>
      <c r="CV144" s="670"/>
      <c r="CW144" s="608">
        <f t="shared" si="92"/>
        <v>1</v>
      </c>
      <c r="CX144" s="619"/>
      <c r="DC144" s="620"/>
      <c r="DD144" s="618"/>
      <c r="DE144" s="618"/>
      <c r="DF144" s="618"/>
      <c r="DG144" s="618"/>
      <c r="DH144" s="618"/>
      <c r="DI144" s="617" t="str">
        <f>IF(CX144="","",OFFSET(Biblioteca!$G$2,MATCH(CX144,Biblioteca!$A$3:$A$200,0),)*(1.05^(10-DE144)))</f>
        <v/>
      </c>
      <c r="DJ144" s="618"/>
      <c r="DK144" s="670"/>
    </row>
    <row r="145" ht="14.25" customHeight="1">
      <c r="A145" s="492" t="str">
        <f>"S "&amp;$AD102&amp;" - "&amp;TEXT(C112,"dd/mm")</f>
        <v>S 3 - 26/01</v>
      </c>
      <c r="B145" s="673"/>
      <c r="C145" s="676">
        <f>OFFSET($B144,0,MATCH(1,$C143:$I143,0))</f>
        <v>46048</v>
      </c>
      <c r="D145" s="676">
        <f>OFFSET($B144,0,MATCH(2,$C143:$I143,0))</f>
        <v>46049</v>
      </c>
      <c r="E145" s="676">
        <f>OFFSET($B144,0,MATCH(3,$C143:$I143,0))</f>
        <v>46050</v>
      </c>
      <c r="F145" s="676">
        <f>OFFSET($B144,0,MATCH(4,$C143:$I143,0))</f>
        <v>46051</v>
      </c>
      <c r="G145" s="676">
        <f>OFFSET($B144,0,MATCH(5,$C143:$I143,0))</f>
        <v>46052</v>
      </c>
      <c r="H145" s="676">
        <f>OFFSET($B144,0,MATCH(6,$C143:$I143,0))</f>
        <v>46053</v>
      </c>
      <c r="I145" s="672" t="str">
        <f>OFFSET($B144,0,MATCH(7,$C143:$I143,0))</f>
        <v>#N/A</v>
      </c>
      <c r="J145" s="505"/>
      <c r="K145" s="581"/>
      <c r="L145" s="582"/>
      <c r="M145" s="582"/>
      <c r="N145" s="582"/>
      <c r="O145" s="582"/>
      <c r="P145" s="582" t="s">
        <v>174</v>
      </c>
      <c r="Q145" s="582"/>
      <c r="R145" s="582"/>
      <c r="S145" s="582"/>
      <c r="T145" s="582"/>
      <c r="U145" s="582"/>
      <c r="V145" s="582"/>
      <c r="W145" s="582"/>
      <c r="X145" s="582"/>
      <c r="Y145" s="670"/>
      <c r="Z145" s="581"/>
      <c r="AA145" s="582"/>
      <c r="AB145" s="582"/>
      <c r="AC145" s="582"/>
      <c r="AD145" s="582"/>
      <c r="AE145" s="582" t="s">
        <v>174</v>
      </c>
      <c r="AF145" s="582"/>
      <c r="AG145" s="582"/>
      <c r="AH145" s="582"/>
      <c r="AI145" s="582"/>
      <c r="AJ145" s="582"/>
      <c r="AK145" s="582"/>
      <c r="AL145" s="582"/>
      <c r="AM145" s="582"/>
      <c r="AN145" s="670"/>
      <c r="AO145" s="581"/>
      <c r="AP145" s="582"/>
      <c r="AQ145" s="582"/>
      <c r="AR145" s="582"/>
      <c r="AS145" s="582"/>
      <c r="AT145" s="582" t="s">
        <v>174</v>
      </c>
      <c r="AU145" s="582"/>
      <c r="AV145" s="582"/>
      <c r="AW145" s="582"/>
      <c r="AX145" s="582"/>
      <c r="AY145" s="582"/>
      <c r="AZ145" s="582"/>
      <c r="BA145" s="582"/>
      <c r="BB145" s="582"/>
      <c r="BC145" s="671"/>
      <c r="BD145" s="581"/>
      <c r="BE145" s="582"/>
      <c r="BF145" s="582"/>
      <c r="BG145" s="582"/>
      <c r="BH145" s="582"/>
      <c r="BI145" s="582" t="s">
        <v>174</v>
      </c>
      <c r="BJ145" s="582"/>
      <c r="BK145" s="582"/>
      <c r="BL145" s="582"/>
      <c r="BM145" s="582"/>
      <c r="BN145" s="582"/>
      <c r="BO145" s="582"/>
      <c r="BP145" s="582"/>
      <c r="BQ145" s="582"/>
      <c r="BR145" s="671"/>
      <c r="BS145" s="581"/>
      <c r="BT145" s="582"/>
      <c r="BU145" s="582"/>
      <c r="BV145" s="582"/>
      <c r="BW145" s="582"/>
      <c r="BX145" s="582" t="s">
        <v>174</v>
      </c>
      <c r="BY145" s="582"/>
      <c r="BZ145" s="582"/>
      <c r="CA145" s="582"/>
      <c r="CB145" s="582"/>
      <c r="CC145" s="582"/>
      <c r="CD145" s="582"/>
      <c r="CE145" s="582"/>
      <c r="CF145" s="582"/>
      <c r="CG145" s="671"/>
      <c r="CH145" s="581"/>
      <c r="CI145" s="582"/>
      <c r="CJ145" s="582"/>
      <c r="CK145" s="582"/>
      <c r="CL145" s="582"/>
      <c r="CM145" s="582" t="s">
        <v>174</v>
      </c>
      <c r="CN145" s="582"/>
      <c r="CO145" s="582"/>
      <c r="CP145" s="582"/>
      <c r="CQ145" s="582"/>
      <c r="CR145" s="582"/>
      <c r="CS145" s="582"/>
      <c r="CT145" s="582"/>
      <c r="CU145" s="582"/>
      <c r="CV145" s="671"/>
      <c r="CW145" s="581"/>
      <c r="CX145" s="582"/>
      <c r="CY145" s="582"/>
      <c r="CZ145" s="582"/>
      <c r="DA145" s="582"/>
      <c r="DB145" s="582" t="s">
        <v>174</v>
      </c>
      <c r="DC145" s="582"/>
      <c r="DD145" s="582"/>
      <c r="DE145" s="582"/>
      <c r="DF145" s="582"/>
      <c r="DG145" s="582"/>
      <c r="DH145" s="582"/>
      <c r="DI145" s="582"/>
      <c r="DJ145" s="582"/>
      <c r="DK145" s="670"/>
    </row>
    <row r="146" ht="14.25" customHeight="1">
      <c r="A146" s="492" t="str">
        <f>"S "&amp;$AD102&amp;" - "&amp;TEXT(C112,"dd/mm")</f>
        <v>S 3 - 26/01</v>
      </c>
      <c r="B146" s="666" t="s">
        <v>267</v>
      </c>
      <c r="C146" s="672">
        <f t="shared" ref="C146:I146" si="93">(C123/60)*C122*C121</f>
        <v>15</v>
      </c>
      <c r="D146" s="672">
        <f t="shared" si="93"/>
        <v>15</v>
      </c>
      <c r="E146" s="672">
        <f t="shared" si="93"/>
        <v>0</v>
      </c>
      <c r="F146" s="672">
        <f t="shared" si="93"/>
        <v>0</v>
      </c>
      <c r="G146" s="672">
        <f t="shared" si="93"/>
        <v>10</v>
      </c>
      <c r="H146" s="672">
        <f t="shared" si="93"/>
        <v>0</v>
      </c>
      <c r="I146" s="672">
        <f t="shared" si="93"/>
        <v>0</v>
      </c>
      <c r="J146" s="505"/>
      <c r="K146" s="498"/>
      <c r="T146" s="677" t="s">
        <v>311</v>
      </c>
      <c r="X146" s="678"/>
      <c r="Y146" s="670"/>
      <c r="Z146" s="498"/>
      <c r="AI146" s="677" t="s">
        <v>311</v>
      </c>
      <c r="AM146" s="678"/>
      <c r="AN146" s="670"/>
      <c r="AO146" s="498"/>
      <c r="AX146" s="677" t="s">
        <v>311</v>
      </c>
      <c r="BB146" s="678"/>
      <c r="BC146" s="670"/>
      <c r="BD146" s="498"/>
      <c r="BM146" s="677" t="s">
        <v>311</v>
      </c>
      <c r="BQ146" s="678"/>
      <c r="BR146" s="670"/>
      <c r="BS146" s="498"/>
      <c r="CB146" s="677" t="s">
        <v>311</v>
      </c>
      <c r="CF146" s="678"/>
      <c r="CG146" s="670"/>
      <c r="CH146" s="498"/>
      <c r="CQ146" s="677" t="s">
        <v>311</v>
      </c>
      <c r="CU146" s="678"/>
      <c r="CV146" s="670"/>
      <c r="CW146" s="498"/>
      <c r="DF146" s="677" t="s">
        <v>311</v>
      </c>
      <c r="DJ146" s="678"/>
      <c r="DK146" s="670"/>
    </row>
    <row r="147" ht="14.25" customHeight="1">
      <c r="A147" s="492" t="str">
        <f>"S "&amp;$AD102&amp;" - "&amp;TEXT(C112,"dd/mm")</f>
        <v>S 3 - 26/01</v>
      </c>
      <c r="B147" s="666" t="s">
        <v>272</v>
      </c>
      <c r="C147" s="672">
        <f t="shared" ref="C147:I147" si="94">(C124/60)*C122*C121</f>
        <v>0</v>
      </c>
      <c r="D147" s="672">
        <f t="shared" si="94"/>
        <v>0</v>
      </c>
      <c r="E147" s="672">
        <f t="shared" si="94"/>
        <v>0</v>
      </c>
      <c r="F147" s="672">
        <f t="shared" si="94"/>
        <v>0</v>
      </c>
      <c r="G147" s="672">
        <f t="shared" si="94"/>
        <v>0</v>
      </c>
      <c r="H147" s="672">
        <f t="shared" si="94"/>
        <v>0</v>
      </c>
      <c r="I147" s="672">
        <f t="shared" si="94"/>
        <v>0</v>
      </c>
      <c r="J147" s="505"/>
      <c r="K147" s="498"/>
      <c r="Y147" s="670"/>
      <c r="Z147" s="498"/>
      <c r="AN147" s="670"/>
      <c r="AO147" s="498"/>
      <c r="BC147" s="670"/>
      <c r="BD147" s="498"/>
      <c r="BR147" s="670"/>
      <c r="BS147" s="498"/>
      <c r="CG147" s="670"/>
      <c r="CH147" s="498"/>
      <c r="CV147" s="670"/>
      <c r="CW147" s="498"/>
      <c r="DK147" s="670"/>
    </row>
    <row r="148" ht="14.25" customHeight="1">
      <c r="A148" s="492" t="str">
        <f>"S "&amp;$AD102&amp;" - "&amp;TEXT(C112,"dd/mm")</f>
        <v>S 3 - 26/01</v>
      </c>
      <c r="B148" s="537"/>
      <c r="C148" s="672"/>
      <c r="D148" s="672"/>
      <c r="E148" s="672"/>
      <c r="F148" s="672"/>
      <c r="G148" s="672"/>
      <c r="H148" s="672"/>
      <c r="I148" s="672"/>
      <c r="J148" s="505"/>
      <c r="K148" s="498"/>
      <c r="Y148" s="670"/>
      <c r="Z148" s="498"/>
      <c r="AN148" s="670"/>
      <c r="AO148" s="498"/>
      <c r="BC148" s="670"/>
      <c r="BD148" s="498"/>
      <c r="BR148" s="670"/>
      <c r="BS148" s="498"/>
      <c r="CG148" s="670"/>
      <c r="CH148" s="498"/>
      <c r="CV148" s="670"/>
      <c r="CW148" s="498"/>
      <c r="DK148" s="670"/>
    </row>
    <row r="149" ht="14.25" customHeight="1">
      <c r="A149" s="492" t="str">
        <f>"S "&amp;$AD102&amp;" - "&amp;TEXT(C112,"dd/mm")</f>
        <v>S 3 - 26/01</v>
      </c>
      <c r="B149" s="537"/>
      <c r="C149" s="498"/>
      <c r="D149" s="498"/>
      <c r="E149" s="498"/>
      <c r="F149" s="498"/>
      <c r="G149" s="498"/>
      <c r="H149" s="498"/>
      <c r="I149" s="498"/>
      <c r="J149" s="505"/>
      <c r="K149" s="498"/>
      <c r="Y149" s="670"/>
      <c r="Z149" s="498"/>
      <c r="AN149" s="670"/>
      <c r="AO149" s="498"/>
      <c r="BC149" s="670"/>
      <c r="BD149" s="498"/>
      <c r="BR149" s="670"/>
      <c r="BS149" s="498"/>
      <c r="CG149" s="670"/>
      <c r="CH149" s="498"/>
      <c r="CV149" s="670"/>
      <c r="CW149" s="498"/>
      <c r="DK149" s="670"/>
    </row>
    <row r="150" ht="14.25" customHeight="1">
      <c r="A150" s="492" t="str">
        <f>"S "&amp;$AD102&amp;" - "&amp;TEXT(C112,"dd/mm")</f>
        <v>S 3 - 26/01</v>
      </c>
      <c r="B150" s="537"/>
      <c r="C150" s="498"/>
      <c r="D150" s="498"/>
      <c r="E150" s="498"/>
      <c r="F150" s="498"/>
      <c r="G150" s="498"/>
      <c r="H150" s="498"/>
      <c r="I150" s="498"/>
      <c r="J150" s="679"/>
      <c r="K150" s="498"/>
      <c r="Y150" s="670"/>
      <c r="Z150" s="498"/>
      <c r="AN150" s="670"/>
      <c r="AO150" s="498"/>
      <c r="BC150" s="670"/>
      <c r="BD150" s="498"/>
      <c r="BR150" s="670"/>
      <c r="BS150" s="498"/>
      <c r="CG150" s="670"/>
      <c r="CH150" s="498"/>
      <c r="CV150" s="670"/>
      <c r="CW150" s="498"/>
      <c r="DK150" s="670"/>
    </row>
    <row r="151" ht="14.25" customHeight="1">
      <c r="A151" s="680" t="str">
        <f>"S "&amp;$F$2&amp;" - "&amp;TEXT($C$12,"dd/mm")</f>
        <v>S 29 - 12/01</v>
      </c>
      <c r="B151" s="681"/>
      <c r="C151" s="682"/>
      <c r="D151" s="681"/>
      <c r="E151" s="681"/>
      <c r="F151" s="682"/>
      <c r="G151" s="681"/>
      <c r="H151" s="681"/>
      <c r="I151" s="681"/>
      <c r="J151" s="683"/>
      <c r="K151" s="681"/>
      <c r="L151" s="681"/>
      <c r="M151" s="681"/>
      <c r="N151" s="681"/>
      <c r="O151" s="681"/>
      <c r="P151" s="681"/>
      <c r="Q151" s="684"/>
      <c r="R151" s="685"/>
      <c r="S151" s="685"/>
      <c r="T151" s="685"/>
      <c r="U151" s="685"/>
      <c r="V151" s="685"/>
      <c r="W151" s="685"/>
      <c r="X151" s="684"/>
      <c r="Y151" s="686"/>
      <c r="Z151" s="686"/>
      <c r="AA151" s="671"/>
      <c r="AB151" s="671"/>
      <c r="AC151" s="671"/>
      <c r="AD151" s="671"/>
      <c r="AE151" s="686"/>
      <c r="AF151" s="671"/>
      <c r="AG151" s="671"/>
      <c r="AH151" s="671"/>
      <c r="AI151" s="671"/>
      <c r="AJ151" s="671"/>
      <c r="AK151" s="671"/>
      <c r="AL151" s="686"/>
      <c r="AM151" s="687"/>
      <c r="AN151" s="686"/>
      <c r="AO151" s="686"/>
      <c r="AP151" s="671"/>
      <c r="AQ151" s="671"/>
      <c r="AR151" s="671"/>
      <c r="AS151" s="671"/>
      <c r="AT151" s="686"/>
      <c r="AU151" s="671"/>
      <c r="AV151" s="671"/>
      <c r="AW151" s="671"/>
      <c r="AX151" s="671"/>
      <c r="AY151" s="671"/>
      <c r="AZ151" s="686"/>
      <c r="BA151" s="686"/>
      <c r="BB151" s="687"/>
      <c r="BC151" s="686"/>
      <c r="BD151" s="686"/>
      <c r="BE151" s="671"/>
      <c r="BF151" s="671"/>
      <c r="BG151" s="671"/>
      <c r="BH151" s="671"/>
      <c r="BI151" s="686"/>
      <c r="BJ151" s="671"/>
      <c r="BK151" s="671"/>
      <c r="BL151" s="671"/>
      <c r="BM151" s="671"/>
      <c r="BN151" s="671"/>
      <c r="BO151" s="686"/>
      <c r="BP151" s="686"/>
      <c r="BQ151" s="687"/>
      <c r="BR151" s="686"/>
      <c r="BS151" s="686"/>
      <c r="BT151" s="671"/>
      <c r="BU151" s="671"/>
      <c r="BV151" s="671"/>
      <c r="BW151" s="671"/>
      <c r="BX151" s="686"/>
      <c r="BY151" s="671"/>
      <c r="BZ151" s="671"/>
      <c r="CA151" s="671"/>
      <c r="CB151" s="671"/>
      <c r="CC151" s="671"/>
      <c r="CD151" s="686"/>
      <c r="CE151" s="686"/>
      <c r="CF151" s="687"/>
      <c r="CG151" s="686"/>
      <c r="CH151" s="686"/>
      <c r="CI151" s="671"/>
      <c r="CJ151" s="671"/>
      <c r="CK151" s="671"/>
      <c r="CL151" s="671"/>
      <c r="CM151" s="686"/>
      <c r="CN151" s="671"/>
      <c r="CO151" s="671"/>
      <c r="CP151" s="671"/>
      <c r="CQ151" s="671"/>
      <c r="CR151" s="671"/>
      <c r="CS151" s="686"/>
      <c r="CT151" s="686"/>
      <c r="CU151" s="687"/>
      <c r="CV151" s="686"/>
      <c r="CW151" s="686"/>
      <c r="CX151" s="671"/>
      <c r="CY151" s="671"/>
      <c r="CZ151" s="671"/>
      <c r="DA151" s="671"/>
      <c r="DB151" s="686"/>
      <c r="DC151" s="671"/>
      <c r="DD151" s="671"/>
      <c r="DE151" s="671"/>
      <c r="DF151" s="671"/>
      <c r="DG151" s="671"/>
      <c r="DH151" s="686"/>
      <c r="DI151" s="686"/>
      <c r="DJ151" s="687"/>
      <c r="DK151" s="686"/>
    </row>
    <row r="152" ht="14.25" customHeight="1">
      <c r="A152" s="492" t="str">
        <f>"S "&amp;$AD152&amp;" - "&amp;TEXT(C162,"dd/mm")</f>
        <v>S 4 - 02/02</v>
      </c>
      <c r="B152" s="493" t="s">
        <v>5</v>
      </c>
      <c r="C152" s="503">
        <f>OFFSET('Periodização Macrociclo'!$D$37,0,MATCH(F152,'Periodização Macrociclo'!$E$5:$BN$5,0))</f>
        <v>8</v>
      </c>
      <c r="D152" s="493" t="s">
        <v>6</v>
      </c>
      <c r="E152" s="168"/>
      <c r="F152" s="504">
        <f>F102+1</f>
        <v>32</v>
      </c>
      <c r="G152" s="493" t="s">
        <v>180</v>
      </c>
      <c r="H152" s="168"/>
      <c r="I152" s="494">
        <f>COUNT(C165:I165)</f>
        <v>4</v>
      </c>
      <c r="J152" s="505"/>
      <c r="K152" s="494" t="str">
        <f>B152</f>
        <v>Meso </v>
      </c>
      <c r="L152" s="168"/>
      <c r="M152" s="506">
        <f t="shared" ref="M152:N152" si="95">C152</f>
        <v>8</v>
      </c>
      <c r="N152" s="493" t="str">
        <f t="shared" si="95"/>
        <v>Micro</v>
      </c>
      <c r="O152" s="168"/>
      <c r="P152" s="168"/>
      <c r="Q152" s="507">
        <f>F152</f>
        <v>32</v>
      </c>
      <c r="R152" s="496" t="s">
        <v>181</v>
      </c>
      <c r="S152" s="168"/>
      <c r="T152" s="168"/>
      <c r="U152" s="168"/>
      <c r="V152" s="168"/>
      <c r="W152" s="168"/>
      <c r="X152" s="508">
        <f>SUM(IF(V160&gt;0,1,0),IF(AK160&gt;0,1,0),IF(AZ160&gt;0,1,0),IF(BO160&gt;0,1,0),IF(CD160&gt;0,1,0),IF(CS160&gt;0,1,0),IF(DH160&gt;0,1,0))</f>
        <v>6</v>
      </c>
      <c r="Y152" s="498"/>
      <c r="Z152" s="498"/>
      <c r="AA152" s="509"/>
      <c r="AB152" s="513" t="s">
        <v>0</v>
      </c>
      <c r="AC152" s="61"/>
      <c r="AD152" s="511">
        <f>AD102+1</f>
        <v>4</v>
      </c>
      <c r="AE152" s="498"/>
      <c r="AF152" s="512" t="s">
        <v>182</v>
      </c>
      <c r="AG152" s="60"/>
      <c r="AH152" s="60"/>
      <c r="AI152" s="60"/>
      <c r="AJ152" s="60"/>
      <c r="AK152" s="61"/>
      <c r="AL152" s="498"/>
      <c r="AM152" s="501"/>
      <c r="AN152" s="498"/>
      <c r="AO152" s="498"/>
      <c r="AP152" s="509"/>
      <c r="AQ152" s="513" t="s">
        <v>0</v>
      </c>
      <c r="AR152" s="61"/>
      <c r="AS152" s="511">
        <f>$AD152</f>
        <v>4</v>
      </c>
      <c r="AT152" s="498"/>
      <c r="AU152" s="512" t="s">
        <v>182</v>
      </c>
      <c r="AV152" s="60"/>
      <c r="AW152" s="60"/>
      <c r="AX152" s="60"/>
      <c r="AY152" s="60"/>
      <c r="AZ152" s="61"/>
      <c r="BA152" s="498"/>
      <c r="BB152" s="501"/>
      <c r="BC152" s="498"/>
      <c r="BD152" s="498"/>
      <c r="BE152" s="509"/>
      <c r="BF152" s="513" t="s">
        <v>0</v>
      </c>
      <c r="BG152" s="61"/>
      <c r="BH152" s="511">
        <f>$AD152</f>
        <v>4</v>
      </c>
      <c r="BI152" s="498"/>
      <c r="BJ152" s="512" t="s">
        <v>182</v>
      </c>
      <c r="BK152" s="60"/>
      <c r="BL152" s="60"/>
      <c r="BM152" s="60"/>
      <c r="BN152" s="60"/>
      <c r="BO152" s="61"/>
      <c r="BP152" s="498"/>
      <c r="BQ152" s="501"/>
      <c r="BR152" s="498"/>
      <c r="BS152" s="498"/>
      <c r="BT152" s="509"/>
      <c r="BU152" s="513" t="s">
        <v>0</v>
      </c>
      <c r="BV152" s="61"/>
      <c r="BW152" s="511">
        <f>$AD152</f>
        <v>4</v>
      </c>
      <c r="BX152" s="498"/>
      <c r="BY152" s="512" t="s">
        <v>182</v>
      </c>
      <c r="BZ152" s="60"/>
      <c r="CA152" s="60"/>
      <c r="CB152" s="60"/>
      <c r="CC152" s="60"/>
      <c r="CD152" s="61"/>
      <c r="CE152" s="498"/>
      <c r="CF152" s="501"/>
      <c r="CG152" s="498"/>
      <c r="CH152" s="498"/>
      <c r="CI152" s="509"/>
      <c r="CJ152" s="513" t="s">
        <v>0</v>
      </c>
      <c r="CK152" s="61"/>
      <c r="CL152" s="511">
        <f>$AD152</f>
        <v>4</v>
      </c>
      <c r="CM152" s="498"/>
      <c r="CN152" s="512" t="s">
        <v>182</v>
      </c>
      <c r="CO152" s="60"/>
      <c r="CP152" s="60"/>
      <c r="CQ152" s="60"/>
      <c r="CR152" s="60"/>
      <c r="CS152" s="61"/>
      <c r="CT152" s="498"/>
      <c r="CU152" s="501"/>
      <c r="CV152" s="498"/>
      <c r="CW152" s="498"/>
      <c r="CX152" s="509"/>
      <c r="CY152" s="513" t="s">
        <v>0</v>
      </c>
      <c r="CZ152" s="61"/>
      <c r="DA152" s="511">
        <f>$AD152</f>
        <v>4</v>
      </c>
      <c r="DB152" s="498"/>
      <c r="DC152" s="512" t="s">
        <v>182</v>
      </c>
      <c r="DD152" s="60"/>
      <c r="DE152" s="60"/>
      <c r="DF152" s="60"/>
      <c r="DG152" s="60"/>
      <c r="DH152" s="61"/>
      <c r="DI152" s="498"/>
      <c r="DJ152" s="501"/>
      <c r="DK152" s="498"/>
    </row>
    <row r="153" ht="14.25" customHeight="1">
      <c r="A153" s="492" t="str">
        <f>"S "&amp;$AD152&amp;" - "&amp;TEXT(C162,"dd/mm")</f>
        <v>S 4 - 02/02</v>
      </c>
      <c r="B153" s="514" t="s">
        <v>183</v>
      </c>
      <c r="J153" s="505"/>
      <c r="K153" s="515" t="s">
        <v>184</v>
      </c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70"/>
      <c r="Y153" s="498"/>
      <c r="Z153" s="498"/>
      <c r="AA153" s="509"/>
      <c r="AB153" s="509"/>
      <c r="AC153" s="509"/>
      <c r="AD153" s="509"/>
      <c r="AE153" s="498"/>
      <c r="AF153" s="516" t="s">
        <v>185</v>
      </c>
      <c r="AG153" s="516">
        <f>$C164</f>
        <v>58</v>
      </c>
      <c r="AH153" s="517" t="s">
        <v>186</v>
      </c>
      <c r="AI153" s="61"/>
      <c r="AJ153" s="517">
        <f>$H164</f>
        <v>14</v>
      </c>
      <c r="AK153" s="61"/>
      <c r="AL153" s="498"/>
      <c r="AM153" s="501"/>
      <c r="AN153" s="498"/>
      <c r="AO153" s="498"/>
      <c r="AP153" s="509"/>
      <c r="AQ153" s="513" t="s">
        <v>187</v>
      </c>
      <c r="AR153" s="61"/>
      <c r="AS153" s="511" t="b">
        <v>1</v>
      </c>
      <c r="AT153" s="498"/>
      <c r="AU153" s="516" t="s">
        <v>185</v>
      </c>
      <c r="AV153" s="516">
        <f>$C164</f>
        <v>58</v>
      </c>
      <c r="AW153" s="517" t="s">
        <v>186</v>
      </c>
      <c r="AX153" s="61"/>
      <c r="AY153" s="517">
        <f>$H164</f>
        <v>14</v>
      </c>
      <c r="AZ153" s="61"/>
      <c r="BA153" s="498"/>
      <c r="BB153" s="501"/>
      <c r="BC153" s="498"/>
      <c r="BD153" s="498"/>
      <c r="BE153" s="509"/>
      <c r="BF153" s="509"/>
      <c r="BG153" s="509"/>
      <c r="BH153" s="509"/>
      <c r="BI153" s="498"/>
      <c r="BJ153" s="516" t="s">
        <v>185</v>
      </c>
      <c r="BK153" s="516">
        <f>$C164</f>
        <v>58</v>
      </c>
      <c r="BL153" s="517" t="s">
        <v>186</v>
      </c>
      <c r="BM153" s="61"/>
      <c r="BN153" s="517">
        <f>$H164</f>
        <v>14</v>
      </c>
      <c r="BO153" s="61"/>
      <c r="BP153" s="498"/>
      <c r="BQ153" s="501"/>
      <c r="BR153" s="498"/>
      <c r="BS153" s="498"/>
      <c r="BT153" s="509"/>
      <c r="BU153" s="509"/>
      <c r="BV153" s="509"/>
      <c r="BW153" s="509"/>
      <c r="BX153" s="498"/>
      <c r="BY153" s="516" t="s">
        <v>185</v>
      </c>
      <c r="BZ153" s="516">
        <f>$C164</f>
        <v>58</v>
      </c>
      <c r="CA153" s="517" t="s">
        <v>186</v>
      </c>
      <c r="CB153" s="61"/>
      <c r="CC153" s="517">
        <f>$H164</f>
        <v>14</v>
      </c>
      <c r="CD153" s="61"/>
      <c r="CE153" s="498"/>
      <c r="CF153" s="501"/>
      <c r="CG153" s="498"/>
      <c r="CH153" s="498"/>
      <c r="CI153" s="509"/>
      <c r="CJ153" s="509"/>
      <c r="CK153" s="509"/>
      <c r="CL153" s="509"/>
      <c r="CM153" s="498"/>
      <c r="CN153" s="516" t="s">
        <v>185</v>
      </c>
      <c r="CO153" s="516">
        <f>$C164</f>
        <v>58</v>
      </c>
      <c r="CP153" s="517" t="s">
        <v>186</v>
      </c>
      <c r="CQ153" s="61"/>
      <c r="CR153" s="517">
        <f>$H164</f>
        <v>14</v>
      </c>
      <c r="CS153" s="61"/>
      <c r="CT153" s="498"/>
      <c r="CU153" s="501"/>
      <c r="CV153" s="498"/>
      <c r="CW153" s="498"/>
      <c r="CX153" s="509"/>
      <c r="CY153" s="509"/>
      <c r="CZ153" s="509"/>
      <c r="DA153" s="509"/>
      <c r="DB153" s="498"/>
      <c r="DC153" s="516" t="s">
        <v>185</v>
      </c>
      <c r="DD153" s="516">
        <f>$C164</f>
        <v>58</v>
      </c>
      <c r="DE153" s="517" t="s">
        <v>186</v>
      </c>
      <c r="DF153" s="61"/>
      <c r="DG153" s="517">
        <f>$H164</f>
        <v>14</v>
      </c>
      <c r="DH153" s="61"/>
      <c r="DI153" s="498"/>
      <c r="DJ153" s="501"/>
      <c r="DK153" s="498"/>
    </row>
    <row r="154" ht="14.25" customHeight="1">
      <c r="A154" s="492" t="str">
        <f>"S "&amp;$AD152&amp;" - "&amp;TEXT(C162,"dd/mm")</f>
        <v>S 4 - 02/02</v>
      </c>
      <c r="B154" s="518" t="s">
        <v>188</v>
      </c>
      <c r="C154" s="519"/>
      <c r="D154" s="520">
        <f>HLOOKUP(F152,'Periodização Macrociclo'!$E$5:$BN$19,15,FALSE)</f>
        <v>0</v>
      </c>
      <c r="E154" s="521" t="s">
        <v>189</v>
      </c>
      <c r="F154" s="522"/>
      <c r="G154" s="519"/>
      <c r="H154" s="698">
        <f>HLOOKUP(F152,'Periodização Macrociclo'!$E$5:$BN$20,16,FALSE)</f>
        <v>0</v>
      </c>
      <c r="I154" s="524">
        <f>MATCH(F152,'Periodização Macrociclo'!$E$5:$BP$5,0)</f>
        <v>39</v>
      </c>
      <c r="J154" s="505"/>
      <c r="K154" s="525" t="s">
        <v>139</v>
      </c>
      <c r="L154" s="240"/>
      <c r="M154" s="526" t="str">
        <f>OFFSET('Periodização Macrociclo'!$D$10,0,$I154)</f>
        <v/>
      </c>
      <c r="N154" s="527" t="s">
        <v>190</v>
      </c>
      <c r="O154" s="528">
        <f>OFFSET('Periodização Macrociclo'!$D$12,0,$I154)</f>
        <v>30</v>
      </c>
      <c r="P154" s="529" t="s">
        <v>143</v>
      </c>
      <c r="Q154" s="530"/>
      <c r="R154" s="531" t="str">
        <f>OFFSET('Periodização Macrociclo'!$D$14,0,$I154)</f>
        <v/>
      </c>
      <c r="S154" s="532" t="s">
        <v>191</v>
      </c>
      <c r="T154" s="239"/>
      <c r="U154" s="239"/>
      <c r="V154" s="239"/>
      <c r="W154" s="240"/>
      <c r="X154" s="533" t="str">
        <f>OFFSET('Periodização Macrociclo'!$D$16,0,$I154)</f>
        <v/>
      </c>
      <c r="Y154" s="498"/>
      <c r="Z154" s="498"/>
      <c r="AA154" s="509"/>
      <c r="AB154" s="509"/>
      <c r="AC154" s="509"/>
      <c r="AD154" s="509"/>
      <c r="AE154" s="498"/>
      <c r="AF154" s="516" t="s">
        <v>192</v>
      </c>
      <c r="AG154" s="516">
        <f>$D164</f>
        <v>57</v>
      </c>
      <c r="AH154" s="517" t="s">
        <v>193</v>
      </c>
      <c r="AI154" s="61"/>
      <c r="AJ154" s="517">
        <f>$I164</f>
        <v>0</v>
      </c>
      <c r="AK154" s="61"/>
      <c r="AL154" s="498"/>
      <c r="AM154" s="501"/>
      <c r="AN154" s="498"/>
      <c r="AO154" s="498"/>
      <c r="AP154" s="509"/>
      <c r="AQ154" s="509"/>
      <c r="AR154" s="509"/>
      <c r="AS154" s="509"/>
      <c r="AT154" s="498"/>
      <c r="AU154" s="516" t="s">
        <v>192</v>
      </c>
      <c r="AV154" s="516">
        <f>$D164</f>
        <v>57</v>
      </c>
      <c r="AW154" s="517" t="s">
        <v>193</v>
      </c>
      <c r="AX154" s="61"/>
      <c r="AY154" s="517">
        <f>$I164</f>
        <v>0</v>
      </c>
      <c r="AZ154" s="61"/>
      <c r="BA154" s="498"/>
      <c r="BB154" s="501"/>
      <c r="BC154" s="498"/>
      <c r="BD154" s="498"/>
      <c r="BE154" s="509"/>
      <c r="BF154" s="509"/>
      <c r="BG154" s="509"/>
      <c r="BH154" s="509"/>
      <c r="BI154" s="498"/>
      <c r="BJ154" s="516" t="s">
        <v>192</v>
      </c>
      <c r="BK154" s="516">
        <f>$D164</f>
        <v>57</v>
      </c>
      <c r="BL154" s="517" t="s">
        <v>193</v>
      </c>
      <c r="BM154" s="61"/>
      <c r="BN154" s="517">
        <f>$I164</f>
        <v>0</v>
      </c>
      <c r="BO154" s="61"/>
      <c r="BP154" s="498"/>
      <c r="BQ154" s="501"/>
      <c r="BR154" s="498"/>
      <c r="BS154" s="498"/>
      <c r="BT154" s="509"/>
      <c r="BU154" s="509"/>
      <c r="BV154" s="509"/>
      <c r="BW154" s="509"/>
      <c r="BX154" s="498"/>
      <c r="BY154" s="516" t="s">
        <v>192</v>
      </c>
      <c r="BZ154" s="516">
        <f>$D164</f>
        <v>57</v>
      </c>
      <c r="CA154" s="517" t="s">
        <v>193</v>
      </c>
      <c r="CB154" s="61"/>
      <c r="CC154" s="517">
        <f>$I164</f>
        <v>0</v>
      </c>
      <c r="CD154" s="61"/>
      <c r="CE154" s="498"/>
      <c r="CF154" s="501"/>
      <c r="CG154" s="498"/>
      <c r="CH154" s="498"/>
      <c r="CI154" s="509"/>
      <c r="CJ154" s="509"/>
      <c r="CK154" s="509"/>
      <c r="CL154" s="509"/>
      <c r="CM154" s="498"/>
      <c r="CN154" s="516" t="s">
        <v>192</v>
      </c>
      <c r="CO154" s="516">
        <f>$D164</f>
        <v>57</v>
      </c>
      <c r="CP154" s="517" t="s">
        <v>193</v>
      </c>
      <c r="CQ154" s="61"/>
      <c r="CR154" s="517">
        <f>$I164</f>
        <v>0</v>
      </c>
      <c r="CS154" s="61"/>
      <c r="CT154" s="498"/>
      <c r="CU154" s="501"/>
      <c r="CV154" s="498"/>
      <c r="CW154" s="498"/>
      <c r="CX154" s="509"/>
      <c r="CY154" s="509"/>
      <c r="CZ154" s="509"/>
      <c r="DA154" s="509"/>
      <c r="DB154" s="498"/>
      <c r="DC154" s="516" t="s">
        <v>192</v>
      </c>
      <c r="DD154" s="516">
        <f>$D164</f>
        <v>57</v>
      </c>
      <c r="DE154" s="517" t="s">
        <v>193</v>
      </c>
      <c r="DF154" s="61"/>
      <c r="DG154" s="517">
        <f>$I164</f>
        <v>0</v>
      </c>
      <c r="DH154" s="61"/>
      <c r="DI154" s="498"/>
      <c r="DJ154" s="501"/>
      <c r="DK154" s="498"/>
    </row>
    <row r="155" ht="14.25" customHeight="1">
      <c r="A155" s="492" t="str">
        <f>"S "&amp;$AD152&amp;" - "&amp;TEXT(C162,"dd/mm")</f>
        <v>S 4 - 02/02</v>
      </c>
      <c r="B155" s="534" t="s">
        <v>194</v>
      </c>
      <c r="C155" s="535" t="s">
        <v>195</v>
      </c>
      <c r="D155" s="535" t="s">
        <v>196</v>
      </c>
      <c r="E155" s="535" t="s">
        <v>197</v>
      </c>
      <c r="F155" s="535" t="s">
        <v>198</v>
      </c>
      <c r="G155" s="535" t="s">
        <v>199</v>
      </c>
      <c r="H155" s="536" t="s">
        <v>200</v>
      </c>
      <c r="I155" s="537"/>
      <c r="J155" s="505"/>
      <c r="K155" s="538" t="s">
        <v>140</v>
      </c>
      <c r="L155" s="61"/>
      <c r="M155" s="539" t="str">
        <f>OFFSET('Periodização Macrociclo'!$D$11,0,$I154)</f>
        <v/>
      </c>
      <c r="N155" s="540" t="s">
        <v>142</v>
      </c>
      <c r="O155" s="541">
        <f>OFFSET('Periodização Macrociclo'!$D$13,0,$I154)</f>
        <v>2</v>
      </c>
      <c r="P155" s="542" t="s">
        <v>15</v>
      </c>
      <c r="Q155" s="543"/>
      <c r="R155" s="544" t="str">
        <f>OFFSET('Periodização Macrociclo'!$D$15,0,$I154)</f>
        <v/>
      </c>
      <c r="S155" s="545" t="s">
        <v>201</v>
      </c>
      <c r="T155" s="60"/>
      <c r="U155" s="60"/>
      <c r="V155" s="60"/>
      <c r="W155" s="61"/>
      <c r="X155" s="533">
        <f>SUM(IF(V160&gt;0,1,0),IF(AK160&gt;0,1,0),IF(AZ160&gt;0,1,0),IF(BO160&gt;0,1,0),IF(CD160&gt;0,1,0),IF(CS160&gt;0,1,0),IF(DH160&gt;0,1,0))</f>
        <v>6</v>
      </c>
      <c r="Y155" s="537"/>
      <c r="Z155" s="498"/>
      <c r="AA155" s="509"/>
      <c r="AB155" s="509"/>
      <c r="AC155" s="509"/>
      <c r="AD155" s="509"/>
      <c r="AE155" s="498"/>
      <c r="AF155" s="516" t="s">
        <v>202</v>
      </c>
      <c r="AG155" s="546">
        <f>$E164</f>
        <v>14</v>
      </c>
      <c r="AH155" s="517" t="s">
        <v>200</v>
      </c>
      <c r="AI155" s="61"/>
      <c r="AJ155" s="547">
        <f>SUM($AG152:$AG156,$AJ152:$AJ153)</f>
        <v>226</v>
      </c>
      <c r="AK155" s="61"/>
      <c r="AL155" s="537"/>
      <c r="AM155" s="548"/>
      <c r="AN155" s="537"/>
      <c r="AO155" s="498"/>
      <c r="AP155" s="509"/>
      <c r="AQ155" s="509"/>
      <c r="AR155" s="509"/>
      <c r="AS155" s="509"/>
      <c r="AT155" s="498"/>
      <c r="AU155" s="516" t="s">
        <v>202</v>
      </c>
      <c r="AV155" s="546">
        <f>$E164</f>
        <v>14</v>
      </c>
      <c r="AW155" s="517" t="s">
        <v>200</v>
      </c>
      <c r="AX155" s="61"/>
      <c r="AY155" s="547">
        <f>SUM($AG152:$AG156,$AJ152:$AJ153)</f>
        <v>226</v>
      </c>
      <c r="AZ155" s="61"/>
      <c r="BA155" s="537"/>
      <c r="BB155" s="548"/>
      <c r="BC155" s="537"/>
      <c r="BD155" s="498"/>
      <c r="BE155" s="509"/>
      <c r="BF155" s="509"/>
      <c r="BG155" s="509"/>
      <c r="BH155" s="509"/>
      <c r="BI155" s="498"/>
      <c r="BJ155" s="516" t="s">
        <v>202</v>
      </c>
      <c r="BK155" s="546">
        <f>$E164</f>
        <v>14</v>
      </c>
      <c r="BL155" s="517" t="s">
        <v>200</v>
      </c>
      <c r="BM155" s="61"/>
      <c r="BN155" s="547">
        <f>SUM($AG152:$AG156,$AJ152:$AJ153)</f>
        <v>226</v>
      </c>
      <c r="BO155" s="61"/>
      <c r="BP155" s="537"/>
      <c r="BQ155" s="548"/>
      <c r="BR155" s="537"/>
      <c r="BS155" s="498"/>
      <c r="BT155" s="509"/>
      <c r="BU155" s="509"/>
      <c r="BV155" s="509"/>
      <c r="BW155" s="509"/>
      <c r="BX155" s="498"/>
      <c r="BY155" s="516" t="s">
        <v>202</v>
      </c>
      <c r="BZ155" s="546">
        <f>$E164</f>
        <v>14</v>
      </c>
      <c r="CA155" s="517" t="s">
        <v>200</v>
      </c>
      <c r="CB155" s="61"/>
      <c r="CC155" s="547">
        <f>SUM($AG152:$AG156,$AJ152:$AJ153)</f>
        <v>226</v>
      </c>
      <c r="CD155" s="61"/>
      <c r="CE155" s="537"/>
      <c r="CF155" s="548"/>
      <c r="CG155" s="537"/>
      <c r="CH155" s="498"/>
      <c r="CI155" s="509"/>
      <c r="CJ155" s="509"/>
      <c r="CK155" s="509"/>
      <c r="CL155" s="509"/>
      <c r="CM155" s="498"/>
      <c r="CN155" s="516" t="s">
        <v>202</v>
      </c>
      <c r="CO155" s="546">
        <f>$E164</f>
        <v>14</v>
      </c>
      <c r="CP155" s="517" t="s">
        <v>200</v>
      </c>
      <c r="CQ155" s="61"/>
      <c r="CR155" s="547">
        <f>SUM($AG152:$AG156,$AJ152:$AJ153)</f>
        <v>226</v>
      </c>
      <c r="CS155" s="61"/>
      <c r="CT155" s="537"/>
      <c r="CU155" s="548"/>
      <c r="CV155" s="537"/>
      <c r="CW155" s="498"/>
      <c r="CX155" s="509"/>
      <c r="CY155" s="509"/>
      <c r="CZ155" s="509"/>
      <c r="DA155" s="509"/>
      <c r="DB155" s="498"/>
      <c r="DC155" s="516" t="s">
        <v>202</v>
      </c>
      <c r="DD155" s="546">
        <f>$E164</f>
        <v>14</v>
      </c>
      <c r="DE155" s="517" t="s">
        <v>200</v>
      </c>
      <c r="DF155" s="61"/>
      <c r="DG155" s="547">
        <f>SUM($AG152:$AG156,$AJ152:$AJ153)</f>
        <v>226</v>
      </c>
      <c r="DH155" s="61"/>
      <c r="DI155" s="537"/>
      <c r="DJ155" s="548"/>
      <c r="DK155" s="537"/>
    </row>
    <row r="156" ht="14.25" customHeight="1">
      <c r="A156" s="492" t="str">
        <f>"S "&amp;$AD152&amp;" - "&amp;TEXT(C162,"dd/mm")</f>
        <v>S 4 - 02/02</v>
      </c>
      <c r="B156" s="549" t="s">
        <v>203</v>
      </c>
      <c r="C156" s="550">
        <f>OFFSET('Periodização Macrociclo'!$D$21,0,$I154)</f>
        <v>25</v>
      </c>
      <c r="D156" s="550">
        <f>OFFSET('Periodização Macrociclo'!$D$22,0,$I154)</f>
        <v>40</v>
      </c>
      <c r="E156" s="550">
        <f>OFFSET('Periodização Macrociclo'!$D$23,0,$I154)</f>
        <v>20</v>
      </c>
      <c r="F156" s="550">
        <f>OFFSET('Periodização Macrociclo'!$D$24,0,$I154)</f>
        <v>10</v>
      </c>
      <c r="G156" s="550">
        <f>OFFSET('Periodização Macrociclo'!$D$25,0,$I154)</f>
        <v>5</v>
      </c>
      <c r="H156" s="551">
        <f>SUM(C156:G156)</f>
        <v>100</v>
      </c>
      <c r="I156" s="498"/>
      <c r="J156" s="505"/>
      <c r="K156" s="552" t="s">
        <v>151</v>
      </c>
      <c r="L156" s="553"/>
      <c r="M156" s="554" t="str">
        <f>OFFSET('Periodização Macrociclo'!$D$18,0,$I154)</f>
        <v/>
      </c>
      <c r="N156" s="472"/>
      <c r="O156" s="553"/>
      <c r="P156" s="555" t="s">
        <v>170</v>
      </c>
      <c r="Q156" s="556"/>
      <c r="R156" s="557" t="str">
        <f>OFFSET('Periodização Macrociclo'!$D$7,0,$I154)</f>
        <v>ORD</v>
      </c>
      <c r="S156" s="558" t="s">
        <v>150</v>
      </c>
      <c r="T156" s="472"/>
      <c r="U156" s="472"/>
      <c r="V156" s="472"/>
      <c r="W156" s="553"/>
      <c r="X156" s="559" t="str">
        <f>OFFSET('Periodização Macrociclo'!$D$17,0,$I154)</f>
        <v/>
      </c>
      <c r="Y156" s="498"/>
      <c r="Z156" s="498"/>
      <c r="AA156" s="509"/>
      <c r="AB156" s="509"/>
      <c r="AC156" s="509"/>
      <c r="AD156" s="509"/>
      <c r="AE156" s="537"/>
      <c r="AF156" s="560" t="s">
        <v>204</v>
      </c>
      <c r="AG156" s="560">
        <f>$F164</f>
        <v>83</v>
      </c>
      <c r="AH156" s="537"/>
      <c r="AL156" s="498"/>
      <c r="AM156" s="501"/>
      <c r="AN156" s="498"/>
      <c r="AO156" s="498"/>
      <c r="AP156" s="509"/>
      <c r="AQ156" s="509"/>
      <c r="AR156" s="509"/>
      <c r="AS156" s="509"/>
      <c r="AT156" s="537"/>
      <c r="AU156" s="560" t="s">
        <v>204</v>
      </c>
      <c r="AV156" s="560">
        <f>$F164</f>
        <v>83</v>
      </c>
      <c r="AW156" s="537"/>
      <c r="BA156" s="498"/>
      <c r="BB156" s="501"/>
      <c r="BC156" s="498"/>
      <c r="BD156" s="498"/>
      <c r="BE156" s="509"/>
      <c r="BF156" s="509"/>
      <c r="BG156" s="509"/>
      <c r="BH156" s="509"/>
      <c r="BI156" s="537"/>
      <c r="BJ156" s="560" t="s">
        <v>204</v>
      </c>
      <c r="BK156" s="560">
        <f>$F164</f>
        <v>83</v>
      </c>
      <c r="BL156" s="537"/>
      <c r="BP156" s="498"/>
      <c r="BQ156" s="501"/>
      <c r="BR156" s="498"/>
      <c r="BS156" s="498"/>
      <c r="BT156" s="509"/>
      <c r="BU156" s="509"/>
      <c r="BV156" s="509"/>
      <c r="BW156" s="509"/>
      <c r="BX156" s="537"/>
      <c r="BY156" s="560" t="s">
        <v>204</v>
      </c>
      <c r="BZ156" s="560">
        <f>$F164</f>
        <v>83</v>
      </c>
      <c r="CA156" s="537"/>
      <c r="CE156" s="498"/>
      <c r="CF156" s="501"/>
      <c r="CG156" s="498"/>
      <c r="CH156" s="498"/>
      <c r="CI156" s="509"/>
      <c r="CJ156" s="509"/>
      <c r="CK156" s="509"/>
      <c r="CL156" s="509"/>
      <c r="CM156" s="537"/>
      <c r="CN156" s="560" t="s">
        <v>204</v>
      </c>
      <c r="CO156" s="560">
        <f>$F164</f>
        <v>83</v>
      </c>
      <c r="CP156" s="537"/>
      <c r="CT156" s="498"/>
      <c r="CU156" s="501"/>
      <c r="CV156" s="498"/>
      <c r="CW156" s="498"/>
      <c r="CX156" s="509"/>
      <c r="CY156" s="509"/>
      <c r="CZ156" s="509"/>
      <c r="DA156" s="509"/>
      <c r="DB156" s="537"/>
      <c r="DC156" s="560" t="s">
        <v>204</v>
      </c>
      <c r="DD156" s="560">
        <f>$F164</f>
        <v>83</v>
      </c>
      <c r="DE156" s="537"/>
      <c r="DI156" s="498"/>
      <c r="DJ156" s="501"/>
      <c r="DK156" s="498"/>
    </row>
    <row r="157" ht="14.25" customHeight="1">
      <c r="A157" s="492" t="str">
        <f>"S "&amp;$AD152&amp;" - "&amp;TEXT(C162,"dd/mm")</f>
        <v>S 4 - 02/02</v>
      </c>
      <c r="B157" s="561" t="s">
        <v>205</v>
      </c>
      <c r="C157" s="562">
        <f>D154*(C156/100)</f>
        <v>0</v>
      </c>
      <c r="D157" s="562">
        <f>D154*(D156/100)</f>
        <v>0</v>
      </c>
      <c r="E157" s="562">
        <f>D154*(E156/100)</f>
        <v>0</v>
      </c>
      <c r="F157" s="550">
        <f>D154*(F156/200)</f>
        <v>0</v>
      </c>
      <c r="G157" s="699">
        <f>D154*(G156/200)</f>
        <v>0</v>
      </c>
      <c r="H157" s="563">
        <f t="shared" ref="H157:H159" si="96">SUM(C157:E157,F157*2,G157*2)</f>
        <v>0</v>
      </c>
      <c r="I157" s="498"/>
      <c r="J157" s="505"/>
      <c r="K157" s="498"/>
      <c r="L157" s="498"/>
      <c r="M157" s="498"/>
      <c r="N157" s="498"/>
      <c r="O157" s="499"/>
      <c r="P157" s="499"/>
      <c r="Q157" s="499"/>
      <c r="R157" s="498"/>
      <c r="S157" s="498"/>
      <c r="T157" s="499"/>
      <c r="U157" s="499"/>
      <c r="V157" s="499"/>
      <c r="W157" s="498"/>
      <c r="X157" s="501"/>
      <c r="Y157" s="498"/>
      <c r="Z157" s="498"/>
      <c r="AA157" s="509"/>
      <c r="AB157" s="509"/>
      <c r="AC157" s="509"/>
      <c r="AD157" s="509"/>
      <c r="AE157" s="498"/>
      <c r="AF157" s="516" t="s">
        <v>206</v>
      </c>
      <c r="AG157" s="546">
        <f>$G164</f>
        <v>51</v>
      </c>
      <c r="AL157" s="498"/>
      <c r="AM157" s="501"/>
      <c r="AN157" s="498"/>
      <c r="AO157" s="498"/>
      <c r="AP157" s="509"/>
      <c r="AQ157" s="509"/>
      <c r="AR157" s="509"/>
      <c r="AS157" s="509"/>
      <c r="AT157" s="498"/>
      <c r="AU157" s="516" t="s">
        <v>206</v>
      </c>
      <c r="AV157" s="546">
        <f>$G164</f>
        <v>51</v>
      </c>
      <c r="BA157" s="498"/>
      <c r="BB157" s="501"/>
      <c r="BC157" s="498"/>
      <c r="BD157" s="498"/>
      <c r="BE157" s="509"/>
      <c r="BF157" s="509"/>
      <c r="BG157" s="509"/>
      <c r="BH157" s="509"/>
      <c r="BI157" s="498"/>
      <c r="BJ157" s="516" t="s">
        <v>206</v>
      </c>
      <c r="BK157" s="546">
        <f>$G164</f>
        <v>51</v>
      </c>
      <c r="BP157" s="498"/>
      <c r="BQ157" s="501"/>
      <c r="BR157" s="498"/>
      <c r="BS157" s="498"/>
      <c r="BT157" s="509"/>
      <c r="BU157" s="509"/>
      <c r="BV157" s="509"/>
      <c r="BW157" s="509"/>
      <c r="BX157" s="498"/>
      <c r="BY157" s="516" t="s">
        <v>206</v>
      </c>
      <c r="BZ157" s="546">
        <f>$G164</f>
        <v>51</v>
      </c>
      <c r="CE157" s="498"/>
      <c r="CF157" s="501"/>
      <c r="CG157" s="498"/>
      <c r="CH157" s="498"/>
      <c r="CI157" s="509"/>
      <c r="CJ157" s="509"/>
      <c r="CK157" s="509"/>
      <c r="CL157" s="509"/>
      <c r="CM157" s="498"/>
      <c r="CN157" s="516" t="s">
        <v>206</v>
      </c>
      <c r="CO157" s="546">
        <f>$G164</f>
        <v>51</v>
      </c>
      <c r="CT157" s="498"/>
      <c r="CU157" s="501"/>
      <c r="CV157" s="498"/>
      <c r="CW157" s="498"/>
      <c r="CX157" s="509"/>
      <c r="CY157" s="509"/>
      <c r="CZ157" s="509"/>
      <c r="DA157" s="509"/>
      <c r="DB157" s="498"/>
      <c r="DC157" s="516" t="s">
        <v>206</v>
      </c>
      <c r="DD157" s="546">
        <f>$G164</f>
        <v>51</v>
      </c>
      <c r="DI157" s="498"/>
      <c r="DJ157" s="501"/>
      <c r="DK157" s="498"/>
    </row>
    <row r="158" ht="14.25" customHeight="1">
      <c r="A158" s="492" t="str">
        <f>"S "&amp;$AD152&amp;" - "&amp;TEXT(C162,"dd/mm")</f>
        <v>S 4 - 02/02</v>
      </c>
      <c r="B158" s="564" t="s">
        <v>207</v>
      </c>
      <c r="C158" s="565">
        <f>SUMIFS(C196:I196,C177:I177,"&lt;=0,6")+SUMIFS(C197:I197,C175:I175,"&lt;=0,6")+SUMIFS(C165:I165,C177:I177,"&lt;=0,6",C196:I196,0)</f>
        <v>40</v>
      </c>
      <c r="D158" s="565">
        <f>SUMIFS(C196:I196,C177:I177,"&gt;0,6",C177:I177,"&lt;=0,8")+SUMIFS(C197:I197,C175:I175,"&gt;0,6",C175:I175,"&lt;=0,8")+SUMIFS(C165:I165,C177:I177,"&gt;0,6",C177:I177,"&lt;=0,8",C196:I196,0)</f>
        <v>0</v>
      </c>
      <c r="E158" s="565">
        <f>SUMIFS(C196:I196,C177:I177,"&gt;0,8",C177:I177,"&lt;=0,9")+SUMIFS(C197:I197,C175:I175,"&gt;0,8",C175:I175,"&lt;=0,9")+SUMIFS(C165:I165,C177:I177,"&gt;0,8",C177:I177,"&lt;=0,9",C196:I196,0)</f>
        <v>15</v>
      </c>
      <c r="F158" s="565">
        <f>SUMIFS(C196:I196,C177:I177,"&gt;0,9",C177:I177,"&lt;=1")+SUMIFS(C197:I197,C175:I175,"&gt;0,9",C175:I175,"&lt;=1")+SUMIFS(C165:I165,C177:I177,"&gt;0,9",C177:I177,"&lt;=1",C196:I196,0)</f>
        <v>0</v>
      </c>
      <c r="G158" s="565">
        <f>SUMIFS(C196:I196,C177:I177,"&gt;1")+SUMIFS(C197:I197,C175:I175,"&gt;1")+SUMIFS(C165:I165,C177:I177,"&gt;1",C196:I196,0)</f>
        <v>0</v>
      </c>
      <c r="H158" s="563">
        <f t="shared" si="96"/>
        <v>55</v>
      </c>
      <c r="I158" s="498"/>
      <c r="J158" s="505"/>
      <c r="K158" s="566">
        <f>C162</f>
        <v>46055</v>
      </c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567"/>
      <c r="Z158" s="568">
        <f>K158+1</f>
        <v>46056</v>
      </c>
      <c r="AA158" s="155"/>
      <c r="AB158" s="155"/>
      <c r="AC158" s="155"/>
      <c r="AD158" s="155"/>
      <c r="AE158" s="155"/>
      <c r="AF158" s="155"/>
      <c r="AG158" s="155"/>
      <c r="AH158" s="155"/>
      <c r="AI158" s="155"/>
      <c r="AJ158" s="155"/>
      <c r="AK158" s="155"/>
      <c r="AL158" s="155"/>
      <c r="AM158" s="155"/>
      <c r="AN158" s="567"/>
      <c r="AO158" s="568">
        <f>Z158+1</f>
        <v>46057</v>
      </c>
      <c r="AP158" s="155"/>
      <c r="AQ158" s="155"/>
      <c r="AR158" s="155"/>
      <c r="AS158" s="155"/>
      <c r="AT158" s="155"/>
      <c r="AU158" s="155"/>
      <c r="AV158" s="155"/>
      <c r="AW158" s="155"/>
      <c r="AX158" s="155"/>
      <c r="AY158" s="155"/>
      <c r="AZ158" s="155"/>
      <c r="BA158" s="155"/>
      <c r="BB158" s="155"/>
      <c r="BC158" s="567"/>
      <c r="BD158" s="568">
        <f>AO158+1</f>
        <v>46058</v>
      </c>
      <c r="BE158" s="155"/>
      <c r="BF158" s="155"/>
      <c r="BG158" s="155"/>
      <c r="BH158" s="155"/>
      <c r="BI158" s="155"/>
      <c r="BJ158" s="155"/>
      <c r="BK158" s="155"/>
      <c r="BL158" s="155"/>
      <c r="BM158" s="155"/>
      <c r="BN158" s="155"/>
      <c r="BO158" s="155"/>
      <c r="BP158" s="155"/>
      <c r="BQ158" s="155"/>
      <c r="BR158" s="567"/>
      <c r="BS158" s="568">
        <f>BD158+1</f>
        <v>46059</v>
      </c>
      <c r="BT158" s="155"/>
      <c r="BU158" s="155"/>
      <c r="BV158" s="155"/>
      <c r="BW158" s="155"/>
      <c r="BX158" s="155"/>
      <c r="BY158" s="155"/>
      <c r="BZ158" s="155"/>
      <c r="CA158" s="155"/>
      <c r="CB158" s="155"/>
      <c r="CC158" s="155"/>
      <c r="CD158" s="155"/>
      <c r="CE158" s="155"/>
      <c r="CF158" s="155"/>
      <c r="CG158" s="567"/>
      <c r="CH158" s="568">
        <f>BS158+1</f>
        <v>46060</v>
      </c>
      <c r="CI158" s="155"/>
      <c r="CJ158" s="155"/>
      <c r="CK158" s="155"/>
      <c r="CL158" s="155"/>
      <c r="CM158" s="155"/>
      <c r="CN158" s="155"/>
      <c r="CO158" s="155"/>
      <c r="CP158" s="155"/>
      <c r="CQ158" s="155"/>
      <c r="CR158" s="155"/>
      <c r="CS158" s="155"/>
      <c r="CT158" s="155"/>
      <c r="CU158" s="155"/>
      <c r="CV158" s="567"/>
      <c r="CW158" s="568">
        <f>CH158+1</f>
        <v>46061</v>
      </c>
      <c r="CX158" s="155"/>
      <c r="CY158" s="155"/>
      <c r="CZ158" s="155"/>
      <c r="DA158" s="155"/>
      <c r="DB158" s="155"/>
      <c r="DC158" s="155"/>
      <c r="DD158" s="155"/>
      <c r="DE158" s="155"/>
      <c r="DF158" s="155"/>
      <c r="DG158" s="155"/>
      <c r="DH158" s="155"/>
      <c r="DI158" s="155"/>
      <c r="DJ158" s="155"/>
      <c r="DK158" s="567"/>
    </row>
    <row r="159" ht="14.25" customHeight="1">
      <c r="A159" s="492" t="str">
        <f>"S "&amp;$AD152&amp;" - "&amp;TEXT(C162,"dd/mm")</f>
        <v>S 4 - 02/02</v>
      </c>
      <c r="B159" s="534" t="s">
        <v>208</v>
      </c>
      <c r="C159" s="528">
        <f t="shared" ref="C159:G159" si="97">C157-C158</f>
        <v>-40</v>
      </c>
      <c r="D159" s="528">
        <f t="shared" si="97"/>
        <v>0</v>
      </c>
      <c r="E159" s="528">
        <f t="shared" si="97"/>
        <v>-15</v>
      </c>
      <c r="F159" s="528">
        <f t="shared" si="97"/>
        <v>0</v>
      </c>
      <c r="G159" s="528">
        <f t="shared" si="97"/>
        <v>0</v>
      </c>
      <c r="H159" s="563">
        <f t="shared" si="96"/>
        <v>-55</v>
      </c>
      <c r="I159" s="498"/>
      <c r="J159" s="505"/>
      <c r="K159" s="569" t="s">
        <v>209</v>
      </c>
      <c r="Y159" s="570"/>
      <c r="Z159" s="571" t="s">
        <v>210</v>
      </c>
      <c r="AN159" s="570"/>
      <c r="AO159" s="571" t="s">
        <v>211</v>
      </c>
      <c r="BC159" s="570"/>
      <c r="BD159" s="571" t="s">
        <v>212</v>
      </c>
      <c r="BR159" s="570"/>
      <c r="BS159" s="571" t="s">
        <v>213</v>
      </c>
      <c r="CG159" s="570"/>
      <c r="CH159" s="571" t="s">
        <v>214</v>
      </c>
      <c r="CV159" s="570"/>
      <c r="CW159" s="571" t="s">
        <v>215</v>
      </c>
      <c r="DK159" s="570"/>
    </row>
    <row r="160" ht="14.25" customHeight="1">
      <c r="A160" s="492" t="str">
        <f>"S "&amp;$AD152&amp;" - "&amp;TEXT(C162,"dd/mm")</f>
        <v>S 4 - 02/02</v>
      </c>
      <c r="B160" s="572" t="s">
        <v>216</v>
      </c>
      <c r="C160" s="573"/>
      <c r="D160" s="472"/>
      <c r="E160" s="553"/>
      <c r="F160" s="554"/>
      <c r="G160" s="472"/>
      <c r="H160" s="574"/>
      <c r="I160" s="498"/>
      <c r="J160" s="505"/>
      <c r="K160" s="575" t="s">
        <v>217</v>
      </c>
      <c r="N160" s="576">
        <f>C164</f>
        <v>58</v>
      </c>
      <c r="O160" s="577" t="s">
        <v>218</v>
      </c>
      <c r="Q160" s="575">
        <f>C165</f>
        <v>15</v>
      </c>
      <c r="S160" s="577" t="s">
        <v>219</v>
      </c>
      <c r="V160" s="578">
        <f>ROUNDUP((SUMPRODUCT(S166:S169,(U166:U169+V166:V169),R166:R169)+SUMPRODUCT(T166:T169,R166:R169)+SUMPRODUCT(S171:S190,(U171:U190+V171:V190),R171:R190)+SUMPRODUCT(T171:T190,R171:R190)+SUMPRODUCT(S192:S194,(U192:U194+V192:V194),R192:R194)+SUMPRODUCT(T192:T194,R192:R194))/60,0)</f>
        <v>33</v>
      </c>
      <c r="Y160" s="579"/>
      <c r="Z160" s="580" t="s">
        <v>217</v>
      </c>
      <c r="AC160" s="576">
        <f>D164</f>
        <v>57</v>
      </c>
      <c r="AD160" s="577" t="s">
        <v>218</v>
      </c>
      <c r="AF160" s="575">
        <f>D165</f>
        <v>15</v>
      </c>
      <c r="AH160" s="577" t="s">
        <v>219</v>
      </c>
      <c r="AK160" s="578">
        <f>ROUNDUP((SUMPRODUCT(AH166:AH169,(AJ166:AJ169+AK166:AK169),AG166:AG169)+SUMPRODUCT(AI166:AI169,AG166:AG169)+SUMPRODUCT(AH171:AH190,(AJ171:AJ190+AK171:AK190),AG171:AG190)+SUMPRODUCT(AI171:AI190,AG171:AG190)+SUMPRODUCT(AH192:AH194,(AJ192:AJ194+AK192:AK194),AG192:AG194)+SUMPRODUCT(AI192:AI194,AG192:AG194))/60,0)</f>
        <v>32</v>
      </c>
      <c r="AN160" s="579"/>
      <c r="AO160" s="580" t="s">
        <v>217</v>
      </c>
      <c r="AR160" s="576">
        <f>E164</f>
        <v>14</v>
      </c>
      <c r="AS160" s="577" t="s">
        <v>218</v>
      </c>
      <c r="AU160" s="575" t="str">
        <f>E165</f>
        <v/>
      </c>
      <c r="AW160" s="577" t="s">
        <v>219</v>
      </c>
      <c r="AZ160" s="578">
        <f>ROUNDUP((SUMPRODUCT(AW166:AW169,(AY166:AY169+AZ166:AZ169),AV166:AV169)+SUMPRODUCT(AX166:AX169,AV166:AV169)+SUMPRODUCT(AW171:AW190,(AY171:AY190+AZ171:AZ190),AV171:AV190)+SUMPRODUCT(AX171:AX190,AV171:AV190)+SUMPRODUCT(AW192:AW194,(AY192:AY194+AZ192:AZ194),AV192:AV194)+SUMPRODUCT(AX192:AX194,AV192:AV194))/60,0)</f>
        <v>4</v>
      </c>
      <c r="BC160" s="579"/>
      <c r="BD160" s="580" t="s">
        <v>217</v>
      </c>
      <c r="BG160" s="576">
        <f>F164</f>
        <v>83</v>
      </c>
      <c r="BH160" s="577" t="s">
        <v>218</v>
      </c>
      <c r="BJ160" s="575">
        <f>F165</f>
        <v>40</v>
      </c>
      <c r="BL160" s="577" t="s">
        <v>219</v>
      </c>
      <c r="BO160" s="578">
        <f>ROUNDUP((SUMPRODUCT(BL166:BL169,(BN166:BN169+BO166:BO169),BK166:BK169)+SUMPRODUCT(BM166:BM169,BK166:BK169)+SUMPRODUCT(BL171:BL190,(BN171:BN190+BO171:BO190),BK171:BK190)+SUMPRODUCT(BM171:BM190,BK171:BK190)+SUMPRODUCT(BL192:BL194,(BN192:BN194+BO192:BO194),BK192:BK194)+SUMPRODUCT(BM192:BM194,BK192:BK194))/60,0)</f>
        <v>33</v>
      </c>
      <c r="BR160" s="579"/>
      <c r="BS160" s="580" t="s">
        <v>217</v>
      </c>
      <c r="BV160" s="576">
        <f>G164</f>
        <v>51</v>
      </c>
      <c r="BW160" s="577" t="s">
        <v>218</v>
      </c>
      <c r="BY160" s="575">
        <f>G165</f>
        <v>10</v>
      </c>
      <c r="CA160" s="577" t="s">
        <v>219</v>
      </c>
      <c r="CD160" s="578">
        <f>ROUNDUP((SUMPRODUCT(CA166:CA169,(CC166:CC169+CD166:CD169),BZ166:BZ169)+SUMPRODUCT(CB166:CB169,BZ166:BZ169)+SUMPRODUCT(CA171:CA190,(CC171:CC190+CD171:CD190),BZ171:BZ190)+SUMPRODUCT(CB171:CB190,BZ171:BZ190)+SUMPRODUCT(CA192:CA194,(CC192:CC194+CD192:CD194),BZ192:BZ194)+SUMPRODUCT(CB192:CB194,BZ192:BZ194))/60,0)</f>
        <v>31</v>
      </c>
      <c r="CG160" s="579"/>
      <c r="CH160" s="580" t="s">
        <v>217</v>
      </c>
      <c r="CK160" s="576">
        <f>H164</f>
        <v>14</v>
      </c>
      <c r="CL160" s="577" t="s">
        <v>218</v>
      </c>
      <c r="CN160" s="575" t="str">
        <f>H165</f>
        <v/>
      </c>
      <c r="CP160" s="577" t="s">
        <v>219</v>
      </c>
      <c r="CS160" s="578">
        <f>ROUNDUP((SUMPRODUCT(CP166:CP169,(CR166:CR169+CS166:CS169),CO166:CO169)+SUMPRODUCT(CQ166:CQ169,CO166:CO169)+SUMPRODUCT(CP171:CP190,(CR171:CR190+CS171:CS190),CO171:CO190)+SUMPRODUCT(CQ171:CQ190,CO171:CO190)+SUMPRODUCT(CP192:CP194,(CR192:CR194+CS192:CS194),CO192:CO194)+SUMPRODUCT(CQ192:CQ194,CO192:CO194))/60,0)</f>
        <v>4</v>
      </c>
      <c r="CV160" s="579"/>
      <c r="CW160" s="580" t="s">
        <v>217</v>
      </c>
      <c r="CZ160" s="576">
        <f>I164</f>
        <v>0</v>
      </c>
      <c r="DA160" s="577" t="s">
        <v>218</v>
      </c>
      <c r="DC160" s="575" t="str">
        <f>I165</f>
        <v/>
      </c>
      <c r="DE160" s="577" t="s">
        <v>219</v>
      </c>
      <c r="DH160" s="578">
        <f>ROUNDUP((SUMPRODUCT(DE166:DE169,(DG166:DG169+DH166:DH169),DD166:DD169)+SUMPRODUCT(DF166:DF169,DD166:DD169)+SUMPRODUCT(DE171:DE190,(DG171:DG190+DH171:DH190),DD171:DD190)+SUMPRODUCT(DF171:DF190,DD171:DD190)+SUMPRODUCT(DE192:DE194,(DG192:DG194+DH192:DH194),DD192:DD194)+SUMPRODUCT(DF192:DF194,DD192:DD194))/60,0)</f>
        <v>0</v>
      </c>
      <c r="DK160" s="579"/>
    </row>
    <row r="161" ht="14.25" customHeight="1">
      <c r="A161" s="492" t="str">
        <f>"S "&amp;$AD152&amp;" - "&amp;TEXT(C162,"dd/mm")</f>
        <v>S 4 - 02/02</v>
      </c>
      <c r="B161" s="498"/>
      <c r="C161" s="498"/>
      <c r="D161" s="498"/>
      <c r="E161" s="498"/>
      <c r="F161" s="498"/>
      <c r="G161" s="498"/>
      <c r="H161" s="498"/>
      <c r="I161" s="498"/>
      <c r="J161" s="505"/>
      <c r="K161" s="700"/>
      <c r="L161" s="9"/>
      <c r="M161" s="9"/>
      <c r="N161" s="9"/>
      <c r="O161" s="9"/>
      <c r="P161" s="701" t="str">
        <f>IF($R$156="","Atualizar Macrociclo","Orientações Gerais")</f>
        <v>Orientações Gerais</v>
      </c>
      <c r="Q161" s="702"/>
      <c r="R161" s="9"/>
      <c r="S161" s="9"/>
      <c r="T161" s="9"/>
      <c r="U161" s="9"/>
      <c r="V161" s="9"/>
      <c r="W161" s="9"/>
      <c r="X161" s="9"/>
      <c r="Y161" s="632"/>
      <c r="Z161" s="702"/>
      <c r="AA161" s="9"/>
      <c r="AB161" s="9"/>
      <c r="AC161" s="9"/>
      <c r="AD161" s="9"/>
      <c r="AE161" s="701" t="str">
        <f>IF($R$156="","Atualizar Macrociclo","Orientações Gerais")</f>
        <v>Orientações Gerais</v>
      </c>
      <c r="AF161" s="702"/>
      <c r="AG161" s="9"/>
      <c r="AH161" s="9"/>
      <c r="AI161" s="9"/>
      <c r="AJ161" s="9"/>
      <c r="AK161" s="9"/>
      <c r="AL161" s="9"/>
      <c r="AM161" s="9"/>
      <c r="AN161" s="632"/>
      <c r="AO161" s="702"/>
      <c r="AP161" s="9"/>
      <c r="AQ161" s="9"/>
      <c r="AR161" s="9"/>
      <c r="AS161" s="9"/>
      <c r="AT161" s="701" t="str">
        <f>IF($R$156="","Atualizar Macrociclo","Orientações Gerais")</f>
        <v>Orientações Gerais</v>
      </c>
      <c r="AU161" s="702"/>
      <c r="AV161" s="9"/>
      <c r="AW161" s="9"/>
      <c r="AX161" s="9"/>
      <c r="AY161" s="9"/>
      <c r="AZ161" s="9"/>
      <c r="BA161" s="9"/>
      <c r="BB161" s="9"/>
      <c r="BC161" s="9"/>
      <c r="BD161" s="702"/>
      <c r="BE161" s="9"/>
      <c r="BF161" s="9"/>
      <c r="BG161" s="9"/>
      <c r="BH161" s="9"/>
      <c r="BI161" s="701" t="str">
        <f>IF($R$156="","Atualizar Macrociclo","Orientações Gerais")</f>
        <v>Orientações Gerais</v>
      </c>
      <c r="BJ161" s="702"/>
      <c r="BK161" s="9"/>
      <c r="BL161" s="9"/>
      <c r="BM161" s="9"/>
      <c r="BN161" s="9"/>
      <c r="BO161" s="9"/>
      <c r="BP161" s="9"/>
      <c r="BQ161" s="9"/>
      <c r="BR161" s="9"/>
      <c r="BS161" s="702"/>
      <c r="BT161" s="9"/>
      <c r="BU161" s="9"/>
      <c r="BV161" s="9"/>
      <c r="BW161" s="9"/>
      <c r="BX161" s="701" t="str">
        <f>IF($R$156="","Atualizar Macrociclo","Orientações Gerais")</f>
        <v>Orientações Gerais</v>
      </c>
      <c r="BY161" s="702"/>
      <c r="BZ161" s="9"/>
      <c r="CA161" s="9"/>
      <c r="CB161" s="9"/>
      <c r="CC161" s="9"/>
      <c r="CD161" s="9"/>
      <c r="CE161" s="9"/>
      <c r="CF161" s="9"/>
      <c r="CG161" s="9"/>
      <c r="CH161" s="702"/>
      <c r="CI161" s="9"/>
      <c r="CJ161" s="9"/>
      <c r="CK161" s="9"/>
      <c r="CL161" s="9"/>
      <c r="CM161" s="701" t="str">
        <f>IF($R$156="","Atualizar Macrociclo","Orientações Gerais")</f>
        <v>Orientações Gerais</v>
      </c>
      <c r="CN161" s="702"/>
      <c r="CO161" s="9"/>
      <c r="CP161" s="9"/>
      <c r="CQ161" s="9"/>
      <c r="CR161" s="9"/>
      <c r="CS161" s="9"/>
      <c r="CT161" s="9"/>
      <c r="CU161" s="9"/>
      <c r="CV161" s="9"/>
      <c r="CW161" s="702"/>
      <c r="CX161" s="9"/>
      <c r="CY161" s="9"/>
      <c r="CZ161" s="9"/>
      <c r="DA161" s="9"/>
      <c r="DB161" s="701" t="str">
        <f>IF($R$156="","Atualizar Macrociclo","Orientações Gerais")</f>
        <v>Orientações Gerais</v>
      </c>
      <c r="DC161" s="702"/>
      <c r="DD161" s="9"/>
      <c r="DE161" s="9"/>
      <c r="DF161" s="9"/>
      <c r="DG161" s="9"/>
      <c r="DH161" s="9"/>
      <c r="DI161" s="9"/>
      <c r="DJ161" s="9"/>
      <c r="DK161" s="632"/>
    </row>
    <row r="162" ht="14.25" customHeight="1">
      <c r="A162" s="492" t="str">
        <f>"S "&amp;$AD152&amp;" - "&amp;TEXT(C162,"dd/mm")</f>
        <v>S 4 - 02/02</v>
      </c>
      <c r="B162" s="537"/>
      <c r="C162" s="584">
        <f>HLOOKUP(F152,'Periodização Macrociclo'!$E$5:$BN$6,2,FALSE)</f>
        <v>46055</v>
      </c>
      <c r="D162" s="584">
        <f t="shared" ref="D162:I162" si="98">C162+1</f>
        <v>46056</v>
      </c>
      <c r="E162" s="584">
        <f t="shared" si="98"/>
        <v>46057</v>
      </c>
      <c r="F162" s="584">
        <f t="shared" si="98"/>
        <v>46058</v>
      </c>
      <c r="G162" s="584">
        <f t="shared" si="98"/>
        <v>46059</v>
      </c>
      <c r="H162" s="584">
        <f t="shared" si="98"/>
        <v>46060</v>
      </c>
      <c r="I162" s="585">
        <f t="shared" si="98"/>
        <v>46061</v>
      </c>
      <c r="J162" s="505"/>
      <c r="K162" s="586"/>
      <c r="Y162" s="587"/>
      <c r="Z162" s="586"/>
      <c r="AN162" s="587"/>
      <c r="AO162" s="586"/>
      <c r="BC162" s="587"/>
      <c r="BD162" s="586"/>
      <c r="BR162" s="587"/>
      <c r="BS162" s="586"/>
      <c r="CG162" s="587"/>
      <c r="CH162" s="586"/>
      <c r="CV162" s="587"/>
      <c r="CW162" s="586"/>
      <c r="DK162" s="588"/>
    </row>
    <row r="163" ht="14.25" customHeight="1">
      <c r="A163" s="492" t="str">
        <f>"S "&amp;$AD152&amp;" - "&amp;TEXT(C162,"dd/mm")</f>
        <v>S 4 - 02/02</v>
      </c>
      <c r="B163" s="537"/>
      <c r="C163" s="589" t="s">
        <v>220</v>
      </c>
      <c r="D163" s="589" t="s">
        <v>221</v>
      </c>
      <c r="E163" s="589" t="s">
        <v>222</v>
      </c>
      <c r="F163" s="589" t="s">
        <v>223</v>
      </c>
      <c r="G163" s="589" t="s">
        <v>224</v>
      </c>
      <c r="H163" s="589" t="s">
        <v>214</v>
      </c>
      <c r="I163" s="590" t="s">
        <v>215</v>
      </c>
      <c r="J163" s="505"/>
      <c r="K163" s="591"/>
      <c r="Y163" s="587"/>
      <c r="Z163" s="591"/>
      <c r="AN163" s="587"/>
      <c r="AO163" s="591"/>
      <c r="BC163" s="587"/>
      <c r="BD163" s="591"/>
      <c r="BR163" s="587"/>
      <c r="BS163" s="591"/>
      <c r="CG163" s="587"/>
      <c r="CH163" s="591"/>
      <c r="CV163" s="587"/>
      <c r="CW163" s="591"/>
      <c r="DK163" s="588"/>
    </row>
    <row r="164" ht="14.25" customHeight="1">
      <c r="A164" s="492" t="str">
        <f>"S "&amp;$AD152&amp;" - "&amp;TEXT(C162,"dd/mm")</f>
        <v>S 4 - 02/02</v>
      </c>
      <c r="B164" s="592" t="s">
        <v>217</v>
      </c>
      <c r="C164" s="541">
        <f>V160+C165+IF(V160+C165&gt;0,+10,0)</f>
        <v>58</v>
      </c>
      <c r="D164" s="541">
        <f>AK160+D165+IF(AK160+D165&gt;0,+10,0)</f>
        <v>57</v>
      </c>
      <c r="E164" s="541">
        <f>AZ160+E165+IF(AZ160+E165&gt;0,+10,0)</f>
        <v>14</v>
      </c>
      <c r="F164" s="541">
        <f>BO160+F165+IF(BO160+F165&gt;0,+10,0)</f>
        <v>83</v>
      </c>
      <c r="G164" s="541">
        <f>CD160+G165+IF(CD160+G165&gt;0,+10,0)</f>
        <v>51</v>
      </c>
      <c r="H164" s="541">
        <f>CS160+H165+IF(CS160+H165&gt;0,+10,0)</f>
        <v>14</v>
      </c>
      <c r="I164" s="593">
        <f>DH160+I165+IF(DH160+I165&gt;0,+10,0)</f>
        <v>0</v>
      </c>
      <c r="J164" s="505"/>
      <c r="K164" s="594" t="s">
        <v>225</v>
      </c>
      <c r="L164" s="595" t="s">
        <v>31</v>
      </c>
      <c r="Q164" s="596" t="s">
        <v>32</v>
      </c>
      <c r="R164" s="597" t="s">
        <v>226</v>
      </c>
      <c r="S164" s="597" t="s">
        <v>227</v>
      </c>
      <c r="T164" s="597" t="s">
        <v>35</v>
      </c>
      <c r="U164" s="597" t="s">
        <v>36</v>
      </c>
      <c r="V164" s="598" t="s">
        <v>37</v>
      </c>
      <c r="W164" s="598" t="s">
        <v>228</v>
      </c>
      <c r="X164" s="598" t="s">
        <v>229</v>
      </c>
      <c r="Y164" s="588"/>
      <c r="Z164" s="594" t="s">
        <v>225</v>
      </c>
      <c r="AA164" s="595" t="s">
        <v>31</v>
      </c>
      <c r="AF164" s="596" t="s">
        <v>32</v>
      </c>
      <c r="AG164" s="597" t="s">
        <v>226</v>
      </c>
      <c r="AH164" s="597" t="s">
        <v>227</v>
      </c>
      <c r="AI164" s="597" t="s">
        <v>35</v>
      </c>
      <c r="AJ164" s="597" t="s">
        <v>36</v>
      </c>
      <c r="AK164" s="598" t="s">
        <v>37</v>
      </c>
      <c r="AL164" s="598" t="s">
        <v>228</v>
      </c>
      <c r="AM164" s="598" t="s">
        <v>229</v>
      </c>
      <c r="AN164" s="588"/>
      <c r="AO164" s="594" t="s">
        <v>225</v>
      </c>
      <c r="AP164" s="595" t="s">
        <v>31</v>
      </c>
      <c r="AU164" s="596" t="s">
        <v>32</v>
      </c>
      <c r="AV164" s="597" t="s">
        <v>226</v>
      </c>
      <c r="AW164" s="597" t="s">
        <v>227</v>
      </c>
      <c r="AX164" s="597" t="s">
        <v>35</v>
      </c>
      <c r="AY164" s="597" t="s">
        <v>36</v>
      </c>
      <c r="AZ164" s="598" t="s">
        <v>37</v>
      </c>
      <c r="BA164" s="598" t="s">
        <v>228</v>
      </c>
      <c r="BB164" s="598" t="s">
        <v>229</v>
      </c>
      <c r="BC164" s="588"/>
      <c r="BD164" s="594" t="s">
        <v>225</v>
      </c>
      <c r="BE164" s="595" t="s">
        <v>31</v>
      </c>
      <c r="BJ164" s="596" t="s">
        <v>32</v>
      </c>
      <c r="BK164" s="597" t="s">
        <v>226</v>
      </c>
      <c r="BL164" s="597" t="s">
        <v>227</v>
      </c>
      <c r="BM164" s="597" t="s">
        <v>35</v>
      </c>
      <c r="BN164" s="597" t="s">
        <v>36</v>
      </c>
      <c r="BO164" s="598" t="s">
        <v>37</v>
      </c>
      <c r="BP164" s="598" t="s">
        <v>228</v>
      </c>
      <c r="BQ164" s="598" t="s">
        <v>229</v>
      </c>
      <c r="BR164" s="588"/>
      <c r="BS164" s="594" t="s">
        <v>225</v>
      </c>
      <c r="BT164" s="595" t="s">
        <v>31</v>
      </c>
      <c r="BY164" s="596" t="s">
        <v>32</v>
      </c>
      <c r="BZ164" s="597" t="s">
        <v>226</v>
      </c>
      <c r="CA164" s="597" t="s">
        <v>227</v>
      </c>
      <c r="CB164" s="597" t="s">
        <v>35</v>
      </c>
      <c r="CC164" s="597" t="s">
        <v>36</v>
      </c>
      <c r="CD164" s="598" t="s">
        <v>37</v>
      </c>
      <c r="CE164" s="598" t="s">
        <v>228</v>
      </c>
      <c r="CF164" s="598" t="s">
        <v>229</v>
      </c>
      <c r="CG164" s="588"/>
      <c r="CH164" s="594" t="s">
        <v>225</v>
      </c>
      <c r="CI164" s="595" t="s">
        <v>31</v>
      </c>
      <c r="CN164" s="596" t="s">
        <v>32</v>
      </c>
      <c r="CO164" s="597" t="s">
        <v>226</v>
      </c>
      <c r="CP164" s="597" t="s">
        <v>227</v>
      </c>
      <c r="CQ164" s="597" t="s">
        <v>35</v>
      </c>
      <c r="CR164" s="597" t="s">
        <v>36</v>
      </c>
      <c r="CS164" s="598" t="s">
        <v>37</v>
      </c>
      <c r="CT164" s="598" t="s">
        <v>228</v>
      </c>
      <c r="CU164" s="598" t="s">
        <v>229</v>
      </c>
      <c r="CV164" s="588"/>
      <c r="CW164" s="594" t="s">
        <v>225</v>
      </c>
      <c r="CX164" s="595" t="s">
        <v>31</v>
      </c>
      <c r="DC164" s="596" t="s">
        <v>32</v>
      </c>
      <c r="DD164" s="597" t="s">
        <v>226</v>
      </c>
      <c r="DE164" s="597" t="s">
        <v>227</v>
      </c>
      <c r="DF164" s="597" t="s">
        <v>35</v>
      </c>
      <c r="DG164" s="597" t="s">
        <v>36</v>
      </c>
      <c r="DH164" s="598" t="s">
        <v>37</v>
      </c>
      <c r="DI164" s="598" t="s">
        <v>228</v>
      </c>
      <c r="DJ164" s="598" t="s">
        <v>229</v>
      </c>
      <c r="DK164" s="588"/>
    </row>
    <row r="165" ht="14.25" customHeight="1">
      <c r="A165" s="492" t="str">
        <f>"S "&amp;$AD152&amp;" - "&amp;TEXT(C162,"dd/mm")</f>
        <v>S 4 - 02/02</v>
      </c>
      <c r="B165" s="592" t="s">
        <v>230</v>
      </c>
      <c r="C165" s="606">
        <v>15.0</v>
      </c>
      <c r="D165" s="606">
        <v>15.0</v>
      </c>
      <c r="E165" s="600"/>
      <c r="F165" s="599">
        <v>40.0</v>
      </c>
      <c r="G165" s="599">
        <v>10.0</v>
      </c>
      <c r="H165" s="601"/>
      <c r="I165" s="602"/>
      <c r="J165" s="505"/>
      <c r="K165" s="581"/>
      <c r="L165" s="603"/>
      <c r="M165" s="603"/>
      <c r="N165" s="603"/>
      <c r="O165" s="603"/>
      <c r="P165" s="603" t="s">
        <v>29</v>
      </c>
      <c r="Q165" s="581"/>
      <c r="R165" s="603"/>
      <c r="S165" s="603"/>
      <c r="T165" s="603"/>
      <c r="U165" s="603"/>
      <c r="V165" s="603"/>
      <c r="W165" s="603"/>
      <c r="X165" s="603"/>
      <c r="Y165" s="604"/>
      <c r="Z165" s="581"/>
      <c r="AA165" s="603"/>
      <c r="AB165" s="603"/>
      <c r="AC165" s="603"/>
      <c r="AD165" s="603"/>
      <c r="AE165" s="603" t="s">
        <v>29</v>
      </c>
      <c r="AF165" s="581"/>
      <c r="AG165" s="603"/>
      <c r="AH165" s="603"/>
      <c r="AI165" s="603"/>
      <c r="AJ165" s="603"/>
      <c r="AK165" s="603"/>
      <c r="AL165" s="603"/>
      <c r="AM165" s="603"/>
      <c r="AN165" s="604"/>
      <c r="AO165" s="581"/>
      <c r="AP165" s="603"/>
      <c r="AQ165" s="603"/>
      <c r="AR165" s="603"/>
      <c r="AS165" s="603"/>
      <c r="AT165" s="603" t="s">
        <v>29</v>
      </c>
      <c r="AU165" s="581"/>
      <c r="AV165" s="603"/>
      <c r="AW165" s="603"/>
      <c r="AX165" s="603"/>
      <c r="AY165" s="603"/>
      <c r="AZ165" s="603"/>
      <c r="BA165" s="603"/>
      <c r="BB165" s="603"/>
      <c r="BC165" s="605"/>
      <c r="BD165" s="581"/>
      <c r="BE165" s="603"/>
      <c r="BF165" s="603"/>
      <c r="BG165" s="603"/>
      <c r="BH165" s="603"/>
      <c r="BI165" s="603" t="s">
        <v>29</v>
      </c>
      <c r="BJ165" s="581"/>
      <c r="BK165" s="603"/>
      <c r="BL165" s="603"/>
      <c r="BM165" s="603"/>
      <c r="BN165" s="603"/>
      <c r="BO165" s="603"/>
      <c r="BP165" s="603"/>
      <c r="BQ165" s="603"/>
      <c r="BR165" s="605"/>
      <c r="BS165" s="581"/>
      <c r="BT165" s="603"/>
      <c r="BU165" s="603"/>
      <c r="BV165" s="603"/>
      <c r="BW165" s="603"/>
      <c r="BX165" s="603" t="s">
        <v>29</v>
      </c>
      <c r="BY165" s="581"/>
      <c r="BZ165" s="603"/>
      <c r="CA165" s="603"/>
      <c r="CB165" s="603"/>
      <c r="CC165" s="603"/>
      <c r="CD165" s="603"/>
      <c r="CE165" s="603"/>
      <c r="CF165" s="603"/>
      <c r="CG165" s="605"/>
      <c r="CH165" s="581"/>
      <c r="CI165" s="603"/>
      <c r="CJ165" s="603"/>
      <c r="CK165" s="603"/>
      <c r="CL165" s="603"/>
      <c r="CM165" s="603" t="s">
        <v>29</v>
      </c>
      <c r="CN165" s="581"/>
      <c r="CO165" s="603"/>
      <c r="CP165" s="603"/>
      <c r="CQ165" s="603"/>
      <c r="CR165" s="603"/>
      <c r="CS165" s="603"/>
      <c r="CT165" s="603"/>
      <c r="CU165" s="603"/>
      <c r="CV165" s="605"/>
      <c r="CW165" s="581"/>
      <c r="CX165" s="603"/>
      <c r="CY165" s="603"/>
      <c r="CZ165" s="603"/>
      <c r="DA165" s="603"/>
      <c r="DB165" s="603" t="s">
        <v>29</v>
      </c>
      <c r="DC165" s="581"/>
      <c r="DD165" s="603"/>
      <c r="DE165" s="603"/>
      <c r="DF165" s="603"/>
      <c r="DG165" s="603"/>
      <c r="DH165" s="603"/>
      <c r="DI165" s="603"/>
      <c r="DJ165" s="603"/>
      <c r="DK165" s="604"/>
    </row>
    <row r="166" ht="14.25" customHeight="1">
      <c r="A166" s="492" t="str">
        <f>"S "&amp;$AD152&amp;" - "&amp;TEXT(C162,"dd/mm")</f>
        <v>S 4 - 02/02</v>
      </c>
      <c r="B166" s="592" t="s">
        <v>231</v>
      </c>
      <c r="C166" s="606" t="s">
        <v>232</v>
      </c>
      <c r="D166" s="703" t="s">
        <v>233</v>
      </c>
      <c r="E166" s="600"/>
      <c r="F166" s="599" t="s">
        <v>232</v>
      </c>
      <c r="G166" s="599" t="s">
        <v>234</v>
      </c>
      <c r="H166" s="606" t="s">
        <v>235</v>
      </c>
      <c r="I166" s="607"/>
      <c r="J166" s="505"/>
      <c r="K166" s="608">
        <v>1.0</v>
      </c>
      <c r="L166" s="609" t="s">
        <v>240</v>
      </c>
      <c r="Q166" s="610" t="s">
        <v>237</v>
      </c>
      <c r="R166" s="611">
        <v>2.0</v>
      </c>
      <c r="S166" s="611">
        <v>10.0</v>
      </c>
      <c r="T166" s="611">
        <v>10.0</v>
      </c>
      <c r="U166" s="611">
        <v>1.0</v>
      </c>
      <c r="V166" s="611">
        <v>1.0</v>
      </c>
      <c r="W166" s="613">
        <f>IF(L166="","",OFFSET(Biblioteca!$G$2,MATCH(L166,Biblioteca!$A$3:$A$200,0),)*(1.05^(10-S166)))</f>
        <v>0</v>
      </c>
      <c r="X166" s="614"/>
      <c r="Y166" s="615"/>
      <c r="Z166" s="612">
        <v>1.0</v>
      </c>
      <c r="AA166" s="609" t="s">
        <v>238</v>
      </c>
      <c r="AF166" s="610" t="s">
        <v>237</v>
      </c>
      <c r="AG166" s="611">
        <v>2.0</v>
      </c>
      <c r="AH166" s="611">
        <v>10.0</v>
      </c>
      <c r="AI166" s="611">
        <v>10.0</v>
      </c>
      <c r="AJ166" s="611">
        <v>1.0</v>
      </c>
      <c r="AK166" s="611">
        <v>1.0</v>
      </c>
      <c r="AL166" s="613">
        <f>IF(AA166="","",OFFSET(Biblioteca!$G$2,MATCH(AA166,Biblioteca!$A$3:$A$200,0),)*(1.05^(10-AH166)))</f>
        <v>0</v>
      </c>
      <c r="AM166" s="614"/>
      <c r="AN166" s="615"/>
      <c r="AO166" s="612">
        <v>1.0</v>
      </c>
      <c r="AP166" s="609" t="s">
        <v>239</v>
      </c>
      <c r="AU166" s="610" t="s">
        <v>237</v>
      </c>
      <c r="AV166" s="611">
        <v>2.0</v>
      </c>
      <c r="AW166" s="611">
        <v>10.0</v>
      </c>
      <c r="AX166" s="611">
        <v>10.0</v>
      </c>
      <c r="AY166" s="611">
        <v>1.0</v>
      </c>
      <c r="AZ166" s="611">
        <v>1.0</v>
      </c>
      <c r="BA166" s="613">
        <f>IF(AP166="","",OFFSET(Biblioteca!$G$2,MATCH(AP166,Biblioteca!$A$3:$A$200,0),)*(1.05^(10-AW166)))</f>
        <v>0</v>
      </c>
      <c r="BB166" s="614"/>
      <c r="BC166" s="615"/>
      <c r="BD166" s="612">
        <v>1.0</v>
      </c>
      <c r="BE166" s="609" t="s">
        <v>236</v>
      </c>
      <c r="BJ166" s="610" t="s">
        <v>237</v>
      </c>
      <c r="BK166" s="611">
        <v>2.0</v>
      </c>
      <c r="BL166" s="611">
        <v>10.0</v>
      </c>
      <c r="BM166" s="611">
        <v>10.0</v>
      </c>
      <c r="BN166" s="611">
        <v>1.0</v>
      </c>
      <c r="BO166" s="611">
        <v>2.0</v>
      </c>
      <c r="BP166" s="613">
        <f>IF(BE166="","",OFFSET(Biblioteca!$G$2,MATCH(BE166,Biblioteca!$A$3:$A$200,0),)*(1.05^(10-BL166)))</f>
        <v>0</v>
      </c>
      <c r="BQ166" s="614"/>
      <c r="BR166" s="615"/>
      <c r="BS166" s="612">
        <v>1.0</v>
      </c>
      <c r="BT166" s="609" t="s">
        <v>240</v>
      </c>
      <c r="BY166" s="610" t="s">
        <v>237</v>
      </c>
      <c r="BZ166" s="611">
        <v>2.0</v>
      </c>
      <c r="CA166" s="611">
        <v>10.0</v>
      </c>
      <c r="CB166" s="611">
        <v>10.0</v>
      </c>
      <c r="CC166" s="611">
        <v>1.0</v>
      </c>
      <c r="CD166" s="611">
        <v>2.0</v>
      </c>
      <c r="CE166" s="613">
        <f>IF(BT166="","",OFFSET(Biblioteca!$G$2,MATCH(BT166,Biblioteca!$A$3:$A$200,0),)*(1.05^(10-CA166)))</f>
        <v>0</v>
      </c>
      <c r="CF166" s="614"/>
      <c r="CG166" s="615"/>
      <c r="CH166" s="612">
        <v>1.0</v>
      </c>
      <c r="CI166" s="609" t="s">
        <v>239</v>
      </c>
      <c r="CN166" s="610" t="s">
        <v>237</v>
      </c>
      <c r="CO166" s="611">
        <v>2.0</v>
      </c>
      <c r="CP166" s="611">
        <v>10.0</v>
      </c>
      <c r="CQ166" s="611">
        <v>10.0</v>
      </c>
      <c r="CR166" s="611">
        <v>1.0</v>
      </c>
      <c r="CS166" s="611">
        <v>1.0</v>
      </c>
      <c r="CT166" s="613">
        <f>IF(CI166="","",OFFSET(Biblioteca!$G$2,MATCH(CI166,Biblioteca!$A$3:$A$200,0),)*(1.05^(10-CP166)))</f>
        <v>0</v>
      </c>
      <c r="CU166" s="614"/>
      <c r="CV166" s="579"/>
      <c r="CW166" s="608">
        <v>1.0</v>
      </c>
      <c r="CX166" s="619"/>
      <c r="DC166" s="620"/>
      <c r="DD166" s="618"/>
      <c r="DE166" s="618"/>
      <c r="DF166" s="618"/>
      <c r="DG166" s="618"/>
      <c r="DH166" s="618"/>
      <c r="DI166" s="617" t="str">
        <f>IF(CX166="","",OFFSET(Biblioteca!$G$2,MATCH(CX166,Biblioteca!$A$3:$A$200,0),)*(1.05^(10-DE166)))</f>
        <v/>
      </c>
      <c r="DJ166" s="618"/>
      <c r="DK166" s="579"/>
    </row>
    <row r="167" ht="14.25" customHeight="1">
      <c r="A167" s="492" t="str">
        <f>"S "&amp;$AD152&amp;" - "&amp;TEXT(C162,"dd/mm")</f>
        <v>S 4 - 02/02</v>
      </c>
      <c r="B167" s="592" t="s">
        <v>15</v>
      </c>
      <c r="C167" s="606" t="s">
        <v>312</v>
      </c>
      <c r="D167" s="606" t="s">
        <v>312</v>
      </c>
      <c r="E167" s="600"/>
      <c r="F167" s="599" t="s">
        <v>243</v>
      </c>
      <c r="G167" s="599" t="s">
        <v>312</v>
      </c>
      <c r="H167" s="601"/>
      <c r="I167" s="600"/>
      <c r="J167" s="505"/>
      <c r="K167" s="608">
        <f t="shared" ref="K167:K169" si="99">IF(T166="",K166,K166+1)</f>
        <v>2</v>
      </c>
      <c r="L167" s="609" t="s">
        <v>313</v>
      </c>
      <c r="Q167" s="610" t="s">
        <v>237</v>
      </c>
      <c r="R167" s="611">
        <v>2.0</v>
      </c>
      <c r="S167" s="611">
        <v>10.0</v>
      </c>
      <c r="T167" s="611">
        <v>10.0</v>
      </c>
      <c r="U167" s="611">
        <v>1.0</v>
      </c>
      <c r="V167" s="611">
        <v>1.0</v>
      </c>
      <c r="W167" s="613">
        <f>IF(L167="","",OFFSET(Biblioteca!$G$2,MATCH(L167,Biblioteca!$A$3:$A$200,0),)*(1.05^(10-S167)))</f>
        <v>0</v>
      </c>
      <c r="X167" s="614"/>
      <c r="Y167" s="615"/>
      <c r="Z167" s="612">
        <f t="shared" ref="Z167:Z169" si="100">IF(AI166="",Z166,Z166+1)</f>
        <v>2</v>
      </c>
      <c r="AA167" s="609" t="s">
        <v>245</v>
      </c>
      <c r="AF167" s="610" t="s">
        <v>237</v>
      </c>
      <c r="AG167" s="611">
        <v>2.0</v>
      </c>
      <c r="AH167" s="611">
        <v>10.0</v>
      </c>
      <c r="AI167" s="611">
        <v>10.0</v>
      </c>
      <c r="AJ167" s="611">
        <v>1.0</v>
      </c>
      <c r="AK167" s="611">
        <v>1.0</v>
      </c>
      <c r="AL167" s="613">
        <f>IF(AA167="","",OFFSET(Biblioteca!$G$2,MATCH(AA167,Biblioteca!$A$3:$A$200,0),)*(1.05^(10-AH167)))</f>
        <v>0</v>
      </c>
      <c r="AM167" s="614"/>
      <c r="AN167" s="615"/>
      <c r="AO167" s="612">
        <f t="shared" ref="AO167:AO169" si="101">IF(AX166="",AO166,AO166+1)</f>
        <v>2</v>
      </c>
      <c r="AP167" s="609" t="s">
        <v>242</v>
      </c>
      <c r="AU167" s="610" t="s">
        <v>237</v>
      </c>
      <c r="AV167" s="611">
        <v>2.0</v>
      </c>
      <c r="AW167" s="611">
        <v>10.0</v>
      </c>
      <c r="AX167" s="611">
        <v>10.0</v>
      </c>
      <c r="AY167" s="611">
        <v>1.0</v>
      </c>
      <c r="AZ167" s="611">
        <v>1.0</v>
      </c>
      <c r="BA167" s="613">
        <f>IF(AP167="","",OFFSET(Biblioteca!$G$2,MATCH(AP167,Biblioteca!$A$3:$A$200,0),)*(1.05^(10-AW167)))</f>
        <v>0</v>
      </c>
      <c r="BB167" s="614"/>
      <c r="BC167" s="615"/>
      <c r="BD167" s="612">
        <f t="shared" ref="BD167:BD169" si="102">IF(BM166="",BD166,BD166+1)</f>
        <v>2</v>
      </c>
      <c r="BE167" s="609" t="s">
        <v>314</v>
      </c>
      <c r="BJ167" s="610" t="s">
        <v>237</v>
      </c>
      <c r="BK167" s="611">
        <v>2.0</v>
      </c>
      <c r="BL167" s="611">
        <v>10.0</v>
      </c>
      <c r="BM167" s="611">
        <v>10.0</v>
      </c>
      <c r="BN167" s="611">
        <v>1.0</v>
      </c>
      <c r="BO167" s="611">
        <v>2.0</v>
      </c>
      <c r="BP167" s="613">
        <f>IF(BE167="","",OFFSET(Biblioteca!$G$2,MATCH(BE167,Biblioteca!$A$3:$A$200,0),)*(1.05^(10-BL167)))</f>
        <v>0</v>
      </c>
      <c r="BQ167" s="614"/>
      <c r="BR167" s="615"/>
      <c r="BS167" s="612">
        <f t="shared" ref="BS167:BS169" si="103">IF(CB166="",BS166,BS166+1)</f>
        <v>2</v>
      </c>
      <c r="BT167" s="609" t="s">
        <v>314</v>
      </c>
      <c r="BY167" s="610" t="s">
        <v>237</v>
      </c>
      <c r="BZ167" s="611">
        <v>2.0</v>
      </c>
      <c r="CA167" s="611">
        <v>10.0</v>
      </c>
      <c r="CB167" s="611">
        <v>10.0</v>
      </c>
      <c r="CC167" s="611">
        <v>1.0</v>
      </c>
      <c r="CD167" s="611">
        <v>2.0</v>
      </c>
      <c r="CE167" s="613">
        <f>IF(BT167="","",OFFSET(Biblioteca!$G$2,MATCH(BT167,Biblioteca!$A$3:$A$200,0),)*(1.05^(10-CA167)))</f>
        <v>0</v>
      </c>
      <c r="CF167" s="614"/>
      <c r="CG167" s="615"/>
      <c r="CH167" s="612">
        <f t="shared" ref="CH167:CH169" si="104">IF(CQ166="",CH166,CH166+1)</f>
        <v>2</v>
      </c>
      <c r="CI167" s="609" t="s">
        <v>242</v>
      </c>
      <c r="CN167" s="610" t="s">
        <v>237</v>
      </c>
      <c r="CO167" s="611">
        <v>2.0</v>
      </c>
      <c r="CP167" s="611">
        <v>10.0</v>
      </c>
      <c r="CQ167" s="611">
        <v>10.0</v>
      </c>
      <c r="CR167" s="611">
        <v>1.0</v>
      </c>
      <c r="CS167" s="611">
        <v>1.0</v>
      </c>
      <c r="CT167" s="613">
        <f>IF(CI167="","",OFFSET(Biblioteca!$G$2,MATCH(CI167,Biblioteca!$A$3:$A$200,0),)*(1.05^(10-CP167)))</f>
        <v>0</v>
      </c>
      <c r="CU167" s="614"/>
      <c r="CV167" s="579"/>
      <c r="CW167" s="608">
        <f t="shared" ref="CW167:CW169" si="105">IF(DF166="",CW166,CW166+1)</f>
        <v>1</v>
      </c>
      <c r="CX167" s="619"/>
      <c r="DC167" s="620"/>
      <c r="DD167" s="618"/>
      <c r="DE167" s="618"/>
      <c r="DF167" s="618"/>
      <c r="DG167" s="618"/>
      <c r="DH167" s="618"/>
      <c r="DI167" s="617" t="str">
        <f>IF(CX167="","",OFFSET(Biblioteca!$G$2,MATCH(CX167,Biblioteca!$A$3:$A$200,0),)*(1.05^(10-DE167)))</f>
        <v/>
      </c>
      <c r="DJ167" s="618"/>
      <c r="DK167" s="579"/>
    </row>
    <row r="168" ht="14.25" customHeight="1">
      <c r="A168" s="492" t="str">
        <f>"S "&amp;$AD152&amp;" - "&amp;TEXT(C162,"dd/mm")</f>
        <v>S 4 - 02/02</v>
      </c>
      <c r="B168" s="592" t="s">
        <v>248</v>
      </c>
      <c r="C168" s="648">
        <v>0.85</v>
      </c>
      <c r="D168" s="623"/>
      <c r="E168" s="622"/>
      <c r="F168" s="621">
        <v>0.5</v>
      </c>
      <c r="G168" s="621"/>
      <c r="H168" s="623"/>
      <c r="I168" s="624"/>
      <c r="J168" s="505"/>
      <c r="K168" s="608">
        <f t="shared" si="99"/>
        <v>3</v>
      </c>
      <c r="L168" s="609" t="s">
        <v>249</v>
      </c>
      <c r="Q168" s="610" t="s">
        <v>237</v>
      </c>
      <c r="R168" s="611">
        <v>2.0</v>
      </c>
      <c r="S168" s="611">
        <v>10.0</v>
      </c>
      <c r="T168" s="611">
        <v>10.0</v>
      </c>
      <c r="U168" s="611">
        <v>1.0</v>
      </c>
      <c r="V168" s="611">
        <v>1.0</v>
      </c>
      <c r="W168" s="613">
        <f>IF(L168="","",OFFSET(Biblioteca!$G$2,MATCH(L168,Biblioteca!$A$3:$A$200,0),)*(1.05^(10-S168)))</f>
        <v>0</v>
      </c>
      <c r="X168" s="614"/>
      <c r="Y168" s="615"/>
      <c r="Z168" s="612">
        <f t="shared" si="100"/>
        <v>3</v>
      </c>
      <c r="AA168" s="609" t="s">
        <v>242</v>
      </c>
      <c r="AF168" s="610" t="s">
        <v>237</v>
      </c>
      <c r="AG168" s="611">
        <v>2.0</v>
      </c>
      <c r="AH168" s="611">
        <v>10.0</v>
      </c>
      <c r="AI168" s="611">
        <v>10.0</v>
      </c>
      <c r="AJ168" s="611">
        <v>1.0</v>
      </c>
      <c r="AK168" s="611">
        <v>1.0</v>
      </c>
      <c r="AL168" s="613">
        <f>IF(AA168="","",OFFSET(Biblioteca!$G$2,MATCH(AA168,Biblioteca!$A$3:$A$200,0),)*(1.05^(10-AH168)))</f>
        <v>0</v>
      </c>
      <c r="AM168" s="614"/>
      <c r="AN168" s="615"/>
      <c r="AO168" s="612">
        <f t="shared" si="101"/>
        <v>3</v>
      </c>
      <c r="AP168" s="609" t="s">
        <v>250</v>
      </c>
      <c r="AU168" s="610" t="s">
        <v>237</v>
      </c>
      <c r="AV168" s="611">
        <v>1.0</v>
      </c>
      <c r="AW168" s="611">
        <v>50.0</v>
      </c>
      <c r="AX168" s="625">
        <v>60.0</v>
      </c>
      <c r="AY168" s="611">
        <v>0.0</v>
      </c>
      <c r="AZ168" s="611">
        <v>1.0</v>
      </c>
      <c r="BA168" s="613">
        <f>IF(AP168="","",OFFSET(Biblioteca!$G$2,MATCH(AP168,Biblioteca!$A$3:$A$200,0),)*(1.05^(10-AW168)))</f>
        <v>0</v>
      </c>
      <c r="BB168" s="614"/>
      <c r="BC168" s="615"/>
      <c r="BD168" s="612">
        <f t="shared" si="102"/>
        <v>3</v>
      </c>
      <c r="BE168" s="609" t="s">
        <v>250</v>
      </c>
      <c r="BJ168" s="610" t="s">
        <v>237</v>
      </c>
      <c r="BK168" s="611">
        <v>1.0</v>
      </c>
      <c r="BL168" s="611">
        <v>50.0</v>
      </c>
      <c r="BM168" s="614"/>
      <c r="BN168" s="614"/>
      <c r="BO168" s="614"/>
      <c r="BP168" s="613">
        <f>IF(BE168="","",OFFSET(Biblioteca!$G$2,MATCH(BE168,Biblioteca!$A$3:$A$200,0),)*(1.05^(10-BL168)))</f>
        <v>0</v>
      </c>
      <c r="BQ168" s="614"/>
      <c r="BR168" s="615"/>
      <c r="BS168" s="612">
        <f t="shared" si="103"/>
        <v>3</v>
      </c>
      <c r="BT168" s="609" t="s">
        <v>250</v>
      </c>
      <c r="BY168" s="610" t="s">
        <v>237</v>
      </c>
      <c r="BZ168" s="611">
        <v>1.0</v>
      </c>
      <c r="CA168" s="611">
        <v>50.0</v>
      </c>
      <c r="CB168" s="614"/>
      <c r="CC168" s="614"/>
      <c r="CD168" s="614"/>
      <c r="CE168" s="613">
        <f>IF(BT168="","",OFFSET(Biblioteca!$G$2,MATCH(BT168,Biblioteca!$A$3:$A$200,0),)*(1.05^(10-CA168)))</f>
        <v>0</v>
      </c>
      <c r="CF168" s="614"/>
      <c r="CG168" s="615"/>
      <c r="CH168" s="612">
        <f t="shared" si="104"/>
        <v>3</v>
      </c>
      <c r="CI168" s="609" t="s">
        <v>250</v>
      </c>
      <c r="CN168" s="610" t="s">
        <v>237</v>
      </c>
      <c r="CO168" s="611">
        <v>1.0</v>
      </c>
      <c r="CP168" s="611">
        <v>50.0</v>
      </c>
      <c r="CQ168" s="625">
        <v>60.0</v>
      </c>
      <c r="CR168" s="611">
        <v>0.0</v>
      </c>
      <c r="CS168" s="611">
        <v>1.0</v>
      </c>
      <c r="CT168" s="613">
        <f>IF(CI168="","",OFFSET(Biblioteca!$G$2,MATCH(CI168,Biblioteca!$A$3:$A$200,0),)*(1.05^(10-CP168)))</f>
        <v>0</v>
      </c>
      <c r="CU168" s="614"/>
      <c r="CV168" s="588"/>
      <c r="CW168" s="608">
        <f t="shared" si="105"/>
        <v>1</v>
      </c>
      <c r="CX168" s="619"/>
      <c r="DC168" s="620"/>
      <c r="DD168" s="618"/>
      <c r="DE168" s="618"/>
      <c r="DF168" s="618"/>
      <c r="DG168" s="618"/>
      <c r="DH168" s="618"/>
      <c r="DI168" s="617" t="str">
        <f>IF(CX168="","",OFFSET(Biblioteca!$G$2,MATCH(CX168,Biblioteca!$A$3:$A$200,0),)*(1.05^(10-DE168)))</f>
        <v/>
      </c>
      <c r="DJ168" s="618"/>
      <c r="DK168" s="588"/>
    </row>
    <row r="169" ht="14.25" customHeight="1">
      <c r="A169" s="492" t="str">
        <f>"S "&amp;$AD152&amp;" - "&amp;TEXT(C162,"dd/mm")</f>
        <v>S 4 - 02/02</v>
      </c>
      <c r="B169" s="592" t="s">
        <v>254</v>
      </c>
      <c r="C169" s="648">
        <v>0.9</v>
      </c>
      <c r="D169" s="648">
        <v>1.2</v>
      </c>
      <c r="E169" s="622"/>
      <c r="F169" s="621">
        <v>0.6</v>
      </c>
      <c r="G169" s="621">
        <v>1.2</v>
      </c>
      <c r="H169" s="623"/>
      <c r="I169" s="624"/>
      <c r="J169" s="505"/>
      <c r="K169" s="608">
        <f t="shared" si="99"/>
        <v>4</v>
      </c>
      <c r="L169" s="609"/>
      <c r="Q169" s="609"/>
      <c r="R169" s="614"/>
      <c r="S169" s="614"/>
      <c r="T169" s="614"/>
      <c r="U169" s="614"/>
      <c r="V169" s="614"/>
      <c r="W169" s="626" t="str">
        <f>IF(L169="","",OFFSET(Biblioteca!$G$2,MATCH(L169,Biblioteca!$A$3:$A$200,0),)*(1.05^(10-S169)))</f>
        <v/>
      </c>
      <c r="X169" s="614"/>
      <c r="Y169" s="615"/>
      <c r="Z169" s="612">
        <f t="shared" si="100"/>
        <v>4</v>
      </c>
      <c r="AA169" s="609"/>
      <c r="AF169" s="609"/>
      <c r="AG169" s="614"/>
      <c r="AH169" s="614"/>
      <c r="AI169" s="614"/>
      <c r="AJ169" s="614"/>
      <c r="AK169" s="614"/>
      <c r="AL169" s="626" t="str">
        <f>IF(AA169="","",OFFSET(Biblioteca!$G$2,MATCH(AA169,Biblioteca!$A$3:$A$200,0),)*(1.05^(10-AH169)))</f>
        <v/>
      </c>
      <c r="AM169" s="614"/>
      <c r="AN169" s="615"/>
      <c r="AO169" s="612">
        <f t="shared" si="101"/>
        <v>4</v>
      </c>
      <c r="AP169" s="609"/>
      <c r="AU169" s="609"/>
      <c r="AV169" s="614"/>
      <c r="AW169" s="614"/>
      <c r="AX169" s="614"/>
      <c r="AY169" s="614"/>
      <c r="AZ169" s="614"/>
      <c r="BA169" s="626" t="str">
        <f>IF(AP169="","",OFFSET(Biblioteca!$G$2,MATCH(AP169,Biblioteca!$A$3:$A$200,0),)*(1.05^(10-AW169)))</f>
        <v/>
      </c>
      <c r="BB169" s="614"/>
      <c r="BC169" s="615"/>
      <c r="BD169" s="612">
        <f t="shared" si="102"/>
        <v>3</v>
      </c>
      <c r="BE169" s="609"/>
      <c r="BJ169" s="609"/>
      <c r="BK169" s="614"/>
      <c r="BL169" s="614"/>
      <c r="BM169" s="614"/>
      <c r="BN169" s="614"/>
      <c r="BO169" s="614"/>
      <c r="BP169" s="626" t="str">
        <f>IF(BE169="","",OFFSET(Biblioteca!$G$2,MATCH(BE169,Biblioteca!$A$3:$A$200,0),)*(1.05^(10-BL169)))</f>
        <v/>
      </c>
      <c r="BQ169" s="614"/>
      <c r="BR169" s="615"/>
      <c r="BS169" s="612">
        <f t="shared" si="103"/>
        <v>3</v>
      </c>
      <c r="BT169" s="609"/>
      <c r="BY169" s="609"/>
      <c r="BZ169" s="614"/>
      <c r="CA169" s="614"/>
      <c r="CB169" s="614"/>
      <c r="CC169" s="614"/>
      <c r="CD169" s="614"/>
      <c r="CE169" s="626" t="str">
        <f>IF(BT169="","",OFFSET(Biblioteca!$G$2,MATCH(BT169,Biblioteca!$A$3:$A$200,0),)*(1.05^(10-CA169)))</f>
        <v/>
      </c>
      <c r="CF169" s="614"/>
      <c r="CG169" s="615"/>
      <c r="CH169" s="612">
        <f t="shared" si="104"/>
        <v>4</v>
      </c>
      <c r="CI169" s="609"/>
      <c r="CN169" s="609"/>
      <c r="CO169" s="614"/>
      <c r="CP169" s="614"/>
      <c r="CQ169" s="614"/>
      <c r="CR169" s="614"/>
      <c r="CS169" s="614"/>
      <c r="CT169" s="626" t="str">
        <f>IF(CI169="","",OFFSET(Biblioteca!$G$2,MATCH(CI169,Biblioteca!$A$3:$A$200,0),)*(1.05^(10-CP169)))</f>
        <v/>
      </c>
      <c r="CU169" s="614"/>
      <c r="CV169" s="588"/>
      <c r="CW169" s="608">
        <f t="shared" si="105"/>
        <v>1</v>
      </c>
      <c r="CX169" s="619"/>
      <c r="DC169" s="620"/>
      <c r="DD169" s="618"/>
      <c r="DE169" s="618"/>
      <c r="DF169" s="618"/>
      <c r="DG169" s="618"/>
      <c r="DH169" s="618"/>
      <c r="DI169" s="617" t="str">
        <f>IF(CX169="","",OFFSET(Biblioteca!$G$2,MATCH(CX169,Biblioteca!$A$3:$A$200,0),)*(1.05^(10-DE169)))</f>
        <v/>
      </c>
      <c r="DJ169" s="618"/>
      <c r="DK169" s="588"/>
    </row>
    <row r="170" ht="14.25" customHeight="1">
      <c r="A170" s="492" t="str">
        <f>"S "&amp;$AD152&amp;" - "&amp;TEXT(C162,"dd/mm")</f>
        <v>S 4 - 02/02</v>
      </c>
      <c r="B170" s="592" t="s">
        <v>256</v>
      </c>
      <c r="C170" s="601"/>
      <c r="D170" s="623"/>
      <c r="E170" s="600"/>
      <c r="F170" s="601"/>
      <c r="G170" s="601"/>
      <c r="H170" s="601"/>
      <c r="I170" s="607"/>
      <c r="J170" s="505"/>
      <c r="K170" s="627"/>
      <c r="L170" s="9"/>
      <c r="M170" s="628" t="s">
        <v>257</v>
      </c>
      <c r="N170" s="9"/>
      <c r="O170" s="629"/>
      <c r="P170" s="630"/>
      <c r="Q170" s="630"/>
      <c r="R170" s="630"/>
      <c r="S170" s="631" t="str">
        <f>OFFSET($B166,0,WEEKDAY(K158,2))&amp;" "&amp;OFFSET($B171,0,WEEKDAY(K158,2))&amp;"x"&amp;OFFSET($B170,0,WEEKDAY(K158,2))</f>
        <v>Esteira 5x</v>
      </c>
      <c r="T170" s="630"/>
      <c r="U170" s="630"/>
      <c r="V170" s="630"/>
      <c r="W170" s="630"/>
      <c r="X170" s="630"/>
      <c r="Y170" s="632"/>
      <c r="Z170" s="9"/>
      <c r="AA170" s="9"/>
      <c r="AB170" s="628" t="s">
        <v>257</v>
      </c>
      <c r="AC170" s="9"/>
      <c r="AD170" s="629"/>
      <c r="AE170" s="630"/>
      <c r="AF170" s="630"/>
      <c r="AG170" s="630"/>
      <c r="AH170" s="631" t="str">
        <f>OFFSET($B166,0,WEEKDAY(Z158,2))&amp;" "&amp;OFFSET($B171,0,WEEKDAY(Z158,2))&amp;"x"&amp;OFFSET($B170,0,WEEKDAY(Z158,2))</f>
        <v>Bicicleta 5x</v>
      </c>
      <c r="AI170" s="630"/>
      <c r="AJ170" s="630"/>
      <c r="AK170" s="630"/>
      <c r="AL170" s="630"/>
      <c r="AM170" s="630"/>
      <c r="AN170" s="632"/>
      <c r="AO170" s="9"/>
      <c r="AP170" s="627"/>
      <c r="AQ170" s="633" t="s">
        <v>257</v>
      </c>
      <c r="AR170" s="627"/>
      <c r="AS170" s="634"/>
      <c r="AT170" s="635"/>
      <c r="AU170" s="635"/>
      <c r="AV170" s="635"/>
      <c r="AW170" s="635" t="str">
        <f>OFFSET($B166,0,WEEKDAY(AO158,2))&amp;" "&amp;OFFSET($B171,0,WEEKDAY(AO158,2))&amp;"x"&amp;OFFSET($B170,0,WEEKDAY(AO158,2))</f>
        <v> x</v>
      </c>
      <c r="AX170" s="635"/>
      <c r="AY170" s="635"/>
      <c r="AZ170" s="635"/>
      <c r="BA170" s="630"/>
      <c r="BB170" s="630"/>
      <c r="BC170" s="632"/>
      <c r="BD170" s="9"/>
      <c r="BE170" s="9"/>
      <c r="BF170" s="628" t="s">
        <v>257</v>
      </c>
      <c r="BG170" s="9"/>
      <c r="BH170" s="629"/>
      <c r="BI170" s="630"/>
      <c r="BJ170" s="630"/>
      <c r="BK170" s="630"/>
      <c r="BL170" s="631" t="str">
        <f>OFFSET($B166,0,WEEKDAY(BD158,2))&amp;" "&amp;OFFSET($B171,0,WEEKDAY(BD158,2))&amp;"x"&amp;OFFSET($B170,0,WEEKDAY(BD158,2))</f>
        <v>Esteira 1x</v>
      </c>
      <c r="BM170" s="630"/>
      <c r="BN170" s="630"/>
      <c r="BO170" s="630"/>
      <c r="BP170" s="630"/>
      <c r="BQ170" s="630"/>
      <c r="BR170" s="632"/>
      <c r="BS170" s="9"/>
      <c r="BT170" s="9"/>
      <c r="BU170" s="628" t="s">
        <v>257</v>
      </c>
      <c r="BV170" s="9"/>
      <c r="BW170" s="629"/>
      <c r="BX170" s="630"/>
      <c r="BY170" s="630"/>
      <c r="BZ170" s="630"/>
      <c r="CA170" s="631" t="str">
        <f>OFFSET($B166,0,WEEKDAY(BS158,2))&amp;" "&amp;OFFSET($B171,0,WEEKDAY(BS158,2))&amp;"x"&amp;OFFSET($B170,0,WEEKDAY(BS158,2))</f>
        <v>Corda 2x</v>
      </c>
      <c r="CB170" s="630"/>
      <c r="CC170" s="630"/>
      <c r="CD170" s="630"/>
      <c r="CE170" s="630"/>
      <c r="CF170" s="630"/>
      <c r="CG170" s="632"/>
      <c r="CH170" s="9"/>
      <c r="CI170" s="627"/>
      <c r="CJ170" s="633" t="s">
        <v>257</v>
      </c>
      <c r="CK170" s="627"/>
      <c r="CL170" s="634"/>
      <c r="CM170" s="635"/>
      <c r="CN170" s="635"/>
      <c r="CO170" s="635"/>
      <c r="CP170" s="635" t="str">
        <f>OFFSET($B166,0,WEEKDAY(CH158,2))&amp;" "&amp;OFFSET($B171,0,WEEKDAY(CH158,2))&amp;"x"&amp;OFFSET($B170,0,WEEKDAY(CH158,2))</f>
        <v>Pista x</v>
      </c>
      <c r="CQ170" s="635"/>
      <c r="CR170" s="635"/>
      <c r="CS170" s="635"/>
      <c r="CT170" s="630"/>
      <c r="CU170" s="630"/>
      <c r="CV170" s="604"/>
      <c r="CW170" s="627"/>
      <c r="CX170" s="627"/>
      <c r="CY170" s="633" t="s">
        <v>257</v>
      </c>
      <c r="CZ170" s="627"/>
      <c r="DA170" s="634"/>
      <c r="DB170" s="635"/>
      <c r="DC170" s="635"/>
      <c r="DD170" s="635"/>
      <c r="DE170" s="635" t="str">
        <f>OFFSET($B166,0,WEEKDAY(CW158,2))&amp;" "&amp;OFFSET($B171,0,WEEKDAY(CW158,2))&amp;"x"&amp;OFFSET($B170,0,WEEKDAY(CW158,2))</f>
        <v> x</v>
      </c>
      <c r="DF170" s="635"/>
      <c r="DG170" s="635"/>
      <c r="DH170" s="635"/>
      <c r="DI170" s="635"/>
      <c r="DJ170" s="635"/>
      <c r="DK170" s="604"/>
    </row>
    <row r="171" ht="14.25" customHeight="1">
      <c r="A171" s="492" t="str">
        <f>"S "&amp;$AD152&amp;" - "&amp;TEXT(C162,"dd/mm")</f>
        <v>S 4 - 02/02</v>
      </c>
      <c r="B171" s="592" t="s">
        <v>258</v>
      </c>
      <c r="C171" s="704">
        <v>5.0</v>
      </c>
      <c r="D171" s="704">
        <v>5.0</v>
      </c>
      <c r="E171" s="637"/>
      <c r="F171" s="636">
        <v>1.0</v>
      </c>
      <c r="G171" s="636">
        <v>2.0</v>
      </c>
      <c r="H171" s="638"/>
      <c r="I171" s="637"/>
      <c r="J171" s="505"/>
      <c r="K171" s="608">
        <v>1.0</v>
      </c>
      <c r="L171" s="609" t="s">
        <v>232</v>
      </c>
      <c r="Q171" s="609"/>
      <c r="R171" s="614"/>
      <c r="S171" s="614"/>
      <c r="T171" s="611">
        <v>60.0</v>
      </c>
      <c r="U171" s="614"/>
      <c r="V171" s="614"/>
      <c r="W171" s="639">
        <f>IF(L171="","",OFFSET(Biblioteca!$G$2,MATCH(L171,Biblioteca!$A$3:$A$200,0),)*(1.05^(10-S171)))</f>
        <v>0</v>
      </c>
      <c r="X171" s="640"/>
      <c r="Y171" s="632"/>
      <c r="Z171" s="641">
        <v>1.0</v>
      </c>
      <c r="AA171" s="609" t="s">
        <v>233</v>
      </c>
      <c r="AF171" s="609"/>
      <c r="AG171" s="614"/>
      <c r="AH171" s="614"/>
      <c r="AI171" s="611">
        <v>60.0</v>
      </c>
      <c r="AJ171" s="614"/>
      <c r="AK171" s="614"/>
      <c r="AL171" s="639">
        <f>IF(AA171="","",OFFSET(Biblioteca!$G$2,MATCH(AA171,Biblioteca!$A$3:$A$200,0),)*(1.05^(10-AH171)))</f>
        <v>0</v>
      </c>
      <c r="AM171" s="640"/>
      <c r="AN171" s="632"/>
      <c r="AO171" s="641">
        <v>1.0</v>
      </c>
      <c r="AP171" s="642" t="s">
        <v>235</v>
      </c>
      <c r="AU171" s="610"/>
      <c r="AV171" s="625"/>
      <c r="AW171" s="625"/>
      <c r="AX171" s="625"/>
      <c r="AY171" s="611"/>
      <c r="AZ171" s="611"/>
      <c r="BA171" s="639">
        <f>IF(AP171="","",OFFSET(Biblioteca!$G$2,MATCH(AP171,Biblioteca!$A$3:$A$200,0),)*(1.05^(10-AW171)))</f>
        <v>0</v>
      </c>
      <c r="BB171" s="640"/>
      <c r="BC171" s="632"/>
      <c r="BD171" s="641">
        <v>1.0</v>
      </c>
      <c r="BE171" s="645" t="s">
        <v>315</v>
      </c>
      <c r="BJ171" s="705" t="s">
        <v>260</v>
      </c>
      <c r="BK171" s="644">
        <v>3.0</v>
      </c>
      <c r="BL171" s="644">
        <v>10.0</v>
      </c>
      <c r="BM171" s="640"/>
      <c r="BN171" s="644">
        <v>1.0</v>
      </c>
      <c r="BO171" s="644">
        <v>2.0</v>
      </c>
      <c r="BP171" s="639">
        <f>IF(BE171="","",OFFSET(Biblioteca!$G$2,MATCH(BE171,Biblioteca!$A$3:$A$200,0),)*(1.05^(10-BL171)))</f>
        <v>0</v>
      </c>
      <c r="BQ171" s="640"/>
      <c r="BR171" s="632"/>
      <c r="BS171" s="641">
        <v>1.0</v>
      </c>
      <c r="BT171" s="642" t="s">
        <v>234</v>
      </c>
      <c r="BY171" s="609"/>
      <c r="BZ171" s="614"/>
      <c r="CA171" s="614"/>
      <c r="CB171" s="611">
        <v>60.0</v>
      </c>
      <c r="CC171" s="614"/>
      <c r="CD171" s="614"/>
      <c r="CE171" s="639">
        <f>IF(BT171="","",OFFSET(Biblioteca!$G$2,MATCH(BT171,Biblioteca!$A$3:$A$200,0),)*(1.05^(10-CA171)))</f>
        <v>0</v>
      </c>
      <c r="CF171" s="640"/>
      <c r="CG171" s="632"/>
      <c r="CH171" s="641">
        <v>1.0</v>
      </c>
      <c r="CI171" s="642" t="s">
        <v>235</v>
      </c>
      <c r="CN171" s="610"/>
      <c r="CO171" s="625"/>
      <c r="CP171" s="625"/>
      <c r="CQ171" s="625"/>
      <c r="CR171" s="611"/>
      <c r="CS171" s="611"/>
      <c r="CT171" s="639">
        <f>IF(CI171="","",OFFSET(Biblioteca!$G$2,MATCH(CI171,Biblioteca!$A$3:$A$200,0),)*(1.05^(10-CP171)))</f>
        <v>0</v>
      </c>
      <c r="CU171" s="640"/>
      <c r="CV171" s="579"/>
      <c r="CW171" s="608">
        <v>1.0</v>
      </c>
      <c r="CX171" s="609"/>
      <c r="DC171" s="610"/>
      <c r="DD171" s="625"/>
      <c r="DE171" s="625"/>
      <c r="DF171" s="625"/>
      <c r="DG171" s="611"/>
      <c r="DH171" s="611"/>
      <c r="DI171" s="617" t="str">
        <f>IF(CX171="","",OFFSET(Biblioteca!$G$2,MATCH(CX171,Biblioteca!$A$3:$A$200,0),)*(1.05^(10-DE171)))</f>
        <v/>
      </c>
      <c r="DJ171" s="618"/>
      <c r="DK171" s="579"/>
    </row>
    <row r="172" ht="14.25" customHeight="1">
      <c r="A172" s="492" t="str">
        <f>"S "&amp;$AD152&amp;" - "&amp;TEXT(C162,"dd/mm")</f>
        <v>S 4 - 02/02</v>
      </c>
      <c r="B172" s="592" t="s">
        <v>263</v>
      </c>
      <c r="C172" s="606">
        <v>1.0</v>
      </c>
      <c r="D172" s="606">
        <v>1.0</v>
      </c>
      <c r="E172" s="600"/>
      <c r="F172" s="606"/>
      <c r="G172" s="599">
        <v>1.0</v>
      </c>
      <c r="H172" s="601"/>
      <c r="I172" s="600"/>
      <c r="J172" s="505"/>
      <c r="K172" s="608">
        <f t="shared" ref="K172:K190" si="106">IF(T171="",K171,K171+1)</f>
        <v>2</v>
      </c>
      <c r="L172" s="645" t="s">
        <v>278</v>
      </c>
      <c r="Q172" s="705" t="s">
        <v>260</v>
      </c>
      <c r="R172" s="644">
        <v>3.0</v>
      </c>
      <c r="S172" s="646">
        <v>8.0</v>
      </c>
      <c r="T172" s="640"/>
      <c r="U172" s="644">
        <v>1.0</v>
      </c>
      <c r="V172" s="644">
        <v>2.0</v>
      </c>
      <c r="W172" s="639">
        <f>IF(L172="","",OFFSET(Biblioteca!$G$2,MATCH(L172,Biblioteca!$A$3:$A$200,0),)*(1.05^(10-S172)))</f>
        <v>66.15</v>
      </c>
      <c r="X172" s="640"/>
      <c r="Y172" s="632"/>
      <c r="Z172" s="641">
        <f t="shared" ref="Z172:Z190" si="107">IF(AI171="",Z171,Z171+1)</f>
        <v>2</v>
      </c>
      <c r="AA172" s="645" t="s">
        <v>259</v>
      </c>
      <c r="AF172" s="705" t="s">
        <v>260</v>
      </c>
      <c r="AG172" s="644">
        <v>3.0</v>
      </c>
      <c r="AH172" s="646">
        <v>8.0</v>
      </c>
      <c r="AI172" s="640"/>
      <c r="AJ172" s="644">
        <v>1.0</v>
      </c>
      <c r="AK172" s="644">
        <v>2.0</v>
      </c>
      <c r="AL172" s="639">
        <f>IF(AA172="","",OFFSET(Biblioteca!$G$2,MATCH(AA172,Biblioteca!$A$3:$A$200,0),)*(1.05^(10-AH172)))</f>
        <v>99.225</v>
      </c>
      <c r="AM172" s="640"/>
      <c r="AN172" s="632"/>
      <c r="AO172" s="641">
        <f t="shared" ref="AO172:AO190" si="108">IF(AX171="",AO171,AO171+1)</f>
        <v>1</v>
      </c>
      <c r="AP172" s="619"/>
      <c r="AU172" s="620"/>
      <c r="AV172" s="618"/>
      <c r="AW172" s="618"/>
      <c r="AX172" s="618"/>
      <c r="AY172" s="618"/>
      <c r="AZ172" s="618"/>
      <c r="BA172" s="639" t="str">
        <f>IF(AP172="","",OFFSET(Biblioteca!$G$2,MATCH(AP172,Biblioteca!$A$3:$A$200,0),)*(1.05^(10-AW172)))</f>
        <v/>
      </c>
      <c r="BB172" s="640"/>
      <c r="BC172" s="632"/>
      <c r="BD172" s="641">
        <f t="shared" ref="BD172:BD190" si="109">IF(BM171="",BD171,BD171+1)</f>
        <v>1</v>
      </c>
      <c r="BE172" s="645" t="s">
        <v>305</v>
      </c>
      <c r="BJ172" s="705" t="s">
        <v>260</v>
      </c>
      <c r="BK172" s="611">
        <v>3.0</v>
      </c>
      <c r="BL172" s="625">
        <v>8.0</v>
      </c>
      <c r="BM172" s="611">
        <v>60.0</v>
      </c>
      <c r="BN172" s="611">
        <v>1.0</v>
      </c>
      <c r="BO172" s="611">
        <v>2.0</v>
      </c>
      <c r="BP172" s="639">
        <f>IF(BE172="","",OFFSET(Biblioteca!$G$2,MATCH(BE172,Biblioteca!$A$3:$A$200,0),)*(1.05^(10-BL172)))</f>
        <v>12.1550625</v>
      </c>
      <c r="BQ172" s="640"/>
      <c r="BR172" s="632"/>
      <c r="BS172" s="641">
        <f t="shared" ref="BS172:BS190" si="110">IF(CB171="",BS171,BS171+1)</f>
        <v>2</v>
      </c>
      <c r="BT172" s="645" t="s">
        <v>265</v>
      </c>
      <c r="BY172" s="705" t="s">
        <v>260</v>
      </c>
      <c r="BZ172" s="644">
        <v>3.0</v>
      </c>
      <c r="CA172" s="646">
        <v>8.0</v>
      </c>
      <c r="CB172" s="640"/>
      <c r="CC172" s="644">
        <v>1.0</v>
      </c>
      <c r="CD172" s="644">
        <v>2.0</v>
      </c>
      <c r="CE172" s="639">
        <f>IF(BT172="","",OFFSET(Biblioteca!$G$2,MATCH(BT172,Biblioteca!$A$3:$A$200,0),)*(1.05^(10-CA172)))</f>
        <v>85.995</v>
      </c>
      <c r="CF172" s="640"/>
      <c r="CG172" s="632"/>
      <c r="CH172" s="641">
        <f t="shared" ref="CH172:CH190" si="111">IF(CQ171="",CH171,CH171+1)</f>
        <v>1</v>
      </c>
      <c r="CI172" s="619"/>
      <c r="CN172" s="620"/>
      <c r="CO172" s="618"/>
      <c r="CP172" s="618"/>
      <c r="CQ172" s="618"/>
      <c r="CR172" s="618"/>
      <c r="CS172" s="618"/>
      <c r="CT172" s="639" t="str">
        <f>IF(CI172="","",OFFSET(Biblioteca!$G$2,MATCH(CI172,Biblioteca!$A$3:$A$200,0),)*(1.05^(10-CP172)))</f>
        <v/>
      </c>
      <c r="CU172" s="640"/>
      <c r="CV172" s="579"/>
      <c r="CW172" s="608">
        <f t="shared" ref="CW172:CW190" si="112">IF(DF171="",CW171,CW171+1)</f>
        <v>1</v>
      </c>
      <c r="CX172" s="619"/>
      <c r="DC172" s="620"/>
      <c r="DD172" s="618"/>
      <c r="DE172" s="618"/>
      <c r="DF172" s="618"/>
      <c r="DG172" s="618"/>
      <c r="DH172" s="618"/>
      <c r="DI172" s="617" t="str">
        <f>IF(CX172="","",OFFSET(Biblioteca!$G$2,MATCH(CX172,Biblioteca!$A$3:$A$200,0),)*(1.05^(10-DE172)))</f>
        <v/>
      </c>
      <c r="DJ172" s="618"/>
      <c r="DK172" s="579"/>
    </row>
    <row r="173" ht="14.25" customHeight="1">
      <c r="A173" s="492" t="str">
        <f>"S "&amp;$AD152&amp;" - "&amp;TEXT(C162,"dd/mm")</f>
        <v>S 4 - 02/02</v>
      </c>
      <c r="B173" s="592" t="s">
        <v>267</v>
      </c>
      <c r="C173" s="606">
        <v>180.0</v>
      </c>
      <c r="D173" s="606">
        <v>180.0</v>
      </c>
      <c r="E173" s="600"/>
      <c r="F173" s="599"/>
      <c r="G173" s="599">
        <v>300.0</v>
      </c>
      <c r="H173" s="601"/>
      <c r="I173" s="600"/>
      <c r="J173" s="505"/>
      <c r="K173" s="608">
        <f t="shared" si="106"/>
        <v>2</v>
      </c>
      <c r="L173" s="609" t="s">
        <v>277</v>
      </c>
      <c r="Q173" s="705" t="s">
        <v>260</v>
      </c>
      <c r="R173" s="611">
        <v>3.0</v>
      </c>
      <c r="S173" s="625">
        <v>8.0</v>
      </c>
      <c r="T173" s="611">
        <v>60.0</v>
      </c>
      <c r="U173" s="611">
        <v>1.0</v>
      </c>
      <c r="V173" s="611">
        <v>2.0</v>
      </c>
      <c r="W173" s="639">
        <f>IF(L173="","",OFFSET(Biblioteca!$G$2,MATCH(L173,Biblioteca!$A$3:$A$200,0),)*(1.05^(10-S173)))</f>
        <v>74.97</v>
      </c>
      <c r="X173" s="640"/>
      <c r="Y173" s="632"/>
      <c r="Z173" s="641">
        <f t="shared" si="107"/>
        <v>2</v>
      </c>
      <c r="AA173" s="609" t="s">
        <v>261</v>
      </c>
      <c r="AF173" s="705" t="s">
        <v>260</v>
      </c>
      <c r="AG173" s="611">
        <v>3.0</v>
      </c>
      <c r="AH173" s="625">
        <v>8.0</v>
      </c>
      <c r="AI173" s="611">
        <v>60.0</v>
      </c>
      <c r="AJ173" s="611">
        <v>1.0</v>
      </c>
      <c r="AK173" s="611">
        <v>2.0</v>
      </c>
      <c r="AL173" s="639">
        <f>IF(AA173="","",OFFSET(Biblioteca!$G$2,MATCH(AA173,Biblioteca!$A$3:$A$200,0),)*(1.05^(10-AH173)))</f>
        <v>110.25</v>
      </c>
      <c r="AM173" s="640"/>
      <c r="AN173" s="632"/>
      <c r="AO173" s="641">
        <f t="shared" si="108"/>
        <v>1</v>
      </c>
      <c r="AP173" s="619"/>
      <c r="AU173" s="620"/>
      <c r="AV173" s="618"/>
      <c r="AW173" s="618"/>
      <c r="AX173" s="618"/>
      <c r="AY173" s="618"/>
      <c r="AZ173" s="618"/>
      <c r="BA173" s="639" t="str">
        <f>IF(AP173="","",OFFSET(Biblioteca!$G$2,MATCH(AP173,Biblioteca!$A$3:$A$200,0),)*(1.05^(10-AW173)))</f>
        <v/>
      </c>
      <c r="BB173" s="640"/>
      <c r="BC173" s="632"/>
      <c r="BD173" s="641">
        <f t="shared" si="109"/>
        <v>2</v>
      </c>
      <c r="BE173" s="645" t="s">
        <v>288</v>
      </c>
      <c r="BJ173" s="705" t="s">
        <v>260</v>
      </c>
      <c r="BK173" s="644">
        <v>3.0</v>
      </c>
      <c r="BL173" s="646">
        <v>8.0</v>
      </c>
      <c r="BM173" s="640"/>
      <c r="BN173" s="644">
        <v>1.0</v>
      </c>
      <c r="BO173" s="644">
        <v>2.0</v>
      </c>
      <c r="BP173" s="639">
        <f>IF(BE173="","",OFFSET(Biblioteca!$G$2,MATCH(BE173,Biblioteca!$A$3:$A$200,0),)*(1.05^(10-BL173)))</f>
        <v>8.910336938</v>
      </c>
      <c r="BQ173" s="640"/>
      <c r="BR173" s="632"/>
      <c r="BS173" s="641">
        <f t="shared" si="110"/>
        <v>2</v>
      </c>
      <c r="BT173" s="645" t="s">
        <v>282</v>
      </c>
      <c r="BY173" s="705" t="s">
        <v>260</v>
      </c>
      <c r="BZ173" s="611">
        <v>3.0</v>
      </c>
      <c r="CA173" s="625">
        <v>8.0</v>
      </c>
      <c r="CB173" s="611">
        <v>60.0</v>
      </c>
      <c r="CC173" s="611">
        <v>1.0</v>
      </c>
      <c r="CD173" s="611">
        <v>2.0</v>
      </c>
      <c r="CE173" s="639">
        <f>IF(BT173="","",OFFSET(Biblioteca!$G$2,MATCH(BT173,Biblioteca!$A$3:$A$200,0),)*(1.05^(10-CA173)))</f>
        <v>85.995</v>
      </c>
      <c r="CF173" s="640"/>
      <c r="CG173" s="632"/>
      <c r="CH173" s="641">
        <f t="shared" si="111"/>
        <v>1</v>
      </c>
      <c r="CI173" s="619"/>
      <c r="CN173" s="620"/>
      <c r="CO173" s="618"/>
      <c r="CP173" s="618"/>
      <c r="CQ173" s="618"/>
      <c r="CR173" s="618"/>
      <c r="CS173" s="618"/>
      <c r="CT173" s="639" t="str">
        <f>IF(CI173="","",OFFSET(Biblioteca!$G$2,MATCH(CI173,Biblioteca!$A$3:$A$200,0),)*(1.05^(10-CP173)))</f>
        <v/>
      </c>
      <c r="CU173" s="640"/>
      <c r="CV173" s="579"/>
      <c r="CW173" s="608">
        <f t="shared" si="112"/>
        <v>1</v>
      </c>
      <c r="CX173" s="619"/>
      <c r="DC173" s="620"/>
      <c r="DD173" s="618"/>
      <c r="DE173" s="618"/>
      <c r="DF173" s="618"/>
      <c r="DG173" s="618"/>
      <c r="DH173" s="618"/>
      <c r="DI173" s="617" t="str">
        <f>IF(CX173="","",OFFSET(Biblioteca!$G$2,MATCH(CX173,Biblioteca!$A$3:$A$200,0),)*(1.05^(10-DE173)))</f>
        <v/>
      </c>
      <c r="DJ173" s="618"/>
      <c r="DK173" s="579"/>
    </row>
    <row r="174" ht="14.25" customHeight="1">
      <c r="A174" s="492" t="str">
        <f>"S "&amp;$AD152&amp;" - "&amp;TEXT(C162,"dd/mm")</f>
        <v>S 4 - 02/02</v>
      </c>
      <c r="B174" s="647" t="s">
        <v>272</v>
      </c>
      <c r="C174" s="601"/>
      <c r="D174" s="601"/>
      <c r="E174" s="600"/>
      <c r="F174" s="600"/>
      <c r="G174" s="606"/>
      <c r="H174" s="601"/>
      <c r="I174" s="600"/>
      <c r="J174" s="505"/>
      <c r="K174" s="608">
        <f t="shared" si="106"/>
        <v>3</v>
      </c>
      <c r="L174" s="609" t="s">
        <v>232</v>
      </c>
      <c r="Q174" s="609"/>
      <c r="R174" s="614"/>
      <c r="S174" s="614"/>
      <c r="T174" s="611">
        <v>60.0</v>
      </c>
      <c r="U174" s="614"/>
      <c r="V174" s="614"/>
      <c r="W174" s="639">
        <f>IF(L174="","",OFFSET(Biblioteca!$G$2,MATCH(L174,Biblioteca!$A$3:$A$200,0),)*(1.05^(10-S174)))</f>
        <v>0</v>
      </c>
      <c r="X174" s="640"/>
      <c r="Y174" s="632"/>
      <c r="Z174" s="641">
        <f t="shared" si="107"/>
        <v>3</v>
      </c>
      <c r="AA174" s="609" t="s">
        <v>233</v>
      </c>
      <c r="AF174" s="609"/>
      <c r="AG174" s="614"/>
      <c r="AH174" s="614"/>
      <c r="AI174" s="611">
        <v>60.0</v>
      </c>
      <c r="AJ174" s="614"/>
      <c r="AK174" s="614"/>
      <c r="AL174" s="639">
        <f>IF(AA174="","",OFFSET(Biblioteca!$G$2,MATCH(AA174,Biblioteca!$A$3:$A$200,0),)*(1.05^(10-AH174)))</f>
        <v>0</v>
      </c>
      <c r="AM174" s="640"/>
      <c r="AN174" s="632"/>
      <c r="AO174" s="641">
        <f t="shared" si="108"/>
        <v>1</v>
      </c>
      <c r="AP174" s="609"/>
      <c r="AU174" s="610"/>
      <c r="AV174" s="644"/>
      <c r="AW174" s="644"/>
      <c r="AX174" s="644"/>
      <c r="AY174" s="644"/>
      <c r="AZ174" s="644"/>
      <c r="BA174" s="639" t="str">
        <f>IF(AP174="","",OFFSET(Biblioteca!$G$2,MATCH(AP174,Biblioteca!$A$3:$A$200,0),)*(1.05^(10-AW174)))</f>
        <v/>
      </c>
      <c r="BB174" s="640"/>
      <c r="BC174" s="632"/>
      <c r="BD174" s="641">
        <f t="shared" si="109"/>
        <v>2</v>
      </c>
      <c r="BE174" s="645" t="s">
        <v>297</v>
      </c>
      <c r="BJ174" s="705" t="s">
        <v>260</v>
      </c>
      <c r="BK174" s="611">
        <v>3.0</v>
      </c>
      <c r="BL174" s="625">
        <v>8.0</v>
      </c>
      <c r="BM174" s="611">
        <v>60.0</v>
      </c>
      <c r="BN174" s="611">
        <v>1.0</v>
      </c>
      <c r="BO174" s="611">
        <v>2.0</v>
      </c>
      <c r="BP174" s="639">
        <f>IF(BE174="","",OFFSET(Biblioteca!$G$2,MATCH(BE174,Biblioteca!$A$3:$A$200,0),)*(1.05^(10-BL174)))</f>
        <v>7.776643991</v>
      </c>
      <c r="BQ174" s="640"/>
      <c r="BR174" s="632"/>
      <c r="BS174" s="641">
        <f t="shared" si="110"/>
        <v>3</v>
      </c>
      <c r="BT174" s="645" t="s">
        <v>270</v>
      </c>
      <c r="BY174" s="705" t="s">
        <v>260</v>
      </c>
      <c r="BZ174" s="644">
        <v>3.0</v>
      </c>
      <c r="CA174" s="644">
        <v>8.0</v>
      </c>
      <c r="CB174" s="640"/>
      <c r="CC174" s="644">
        <v>1.0</v>
      </c>
      <c r="CD174" s="644">
        <v>2.0</v>
      </c>
      <c r="CE174" s="639">
        <f>IF(BT174="","",OFFSET(Biblioteca!$G$2,MATCH(BT174,Biblioteca!$A$3:$A$200,0),)*(1.05^(10-CA174)))</f>
        <v>0</v>
      </c>
      <c r="CF174" s="640"/>
      <c r="CG174" s="632"/>
      <c r="CH174" s="641">
        <f t="shared" si="111"/>
        <v>1</v>
      </c>
      <c r="CI174" s="609"/>
      <c r="CN174" s="610"/>
      <c r="CO174" s="644"/>
      <c r="CP174" s="644"/>
      <c r="CQ174" s="644"/>
      <c r="CR174" s="644"/>
      <c r="CS174" s="644"/>
      <c r="CT174" s="639" t="str">
        <f>IF(CI174="","",OFFSET(Biblioteca!$G$2,MATCH(CI174,Biblioteca!$A$3:$A$200,0),)*(1.05^(10-CP174)))</f>
        <v/>
      </c>
      <c r="CU174" s="640"/>
      <c r="CV174" s="588"/>
      <c r="CW174" s="608">
        <f t="shared" si="112"/>
        <v>1</v>
      </c>
      <c r="CX174" s="619"/>
      <c r="DC174" s="620"/>
      <c r="DD174" s="618"/>
      <c r="DE174" s="618"/>
      <c r="DF174" s="618"/>
      <c r="DG174" s="618"/>
      <c r="DH174" s="618"/>
      <c r="DI174" s="617" t="str">
        <f>IF(CX174="","",OFFSET(Biblioteca!$G$2,MATCH(CX174,Biblioteca!$A$3:$A$200,0),)*(1.05^(10-DE174)))</f>
        <v/>
      </c>
      <c r="DJ174" s="618"/>
      <c r="DK174" s="588"/>
    </row>
    <row r="175" ht="14.25" customHeight="1">
      <c r="A175" s="492" t="str">
        <f>"S "&amp;$AD152&amp;" - "&amp;TEXT(C162,"dd/mm")</f>
        <v>S 4 - 02/02</v>
      </c>
      <c r="B175" s="592" t="s">
        <v>276</v>
      </c>
      <c r="C175" s="623"/>
      <c r="D175" s="623"/>
      <c r="E175" s="622"/>
      <c r="F175" s="624"/>
      <c r="G175" s="648"/>
      <c r="H175" s="623"/>
      <c r="I175" s="624"/>
      <c r="J175" s="505"/>
      <c r="K175" s="608">
        <f t="shared" si="106"/>
        <v>4</v>
      </c>
      <c r="L175" s="645" t="s">
        <v>286</v>
      </c>
      <c r="Q175" s="705" t="s">
        <v>260</v>
      </c>
      <c r="R175" s="644">
        <v>3.0</v>
      </c>
      <c r="S175" s="646">
        <v>8.0</v>
      </c>
      <c r="T175" s="640"/>
      <c r="U175" s="644">
        <v>1.0</v>
      </c>
      <c r="V175" s="644">
        <v>2.0</v>
      </c>
      <c r="W175" s="639">
        <f>IF(L175="","",OFFSET(Biblioteca!$G$2,MATCH(L175,Biblioteca!$A$3:$A$200,0),)*(1.05^(10-S175)))</f>
        <v>55.125</v>
      </c>
      <c r="X175" s="640"/>
      <c r="Y175" s="632"/>
      <c r="Z175" s="641">
        <f t="shared" si="107"/>
        <v>4</v>
      </c>
      <c r="AA175" s="645" t="s">
        <v>266</v>
      </c>
      <c r="AF175" s="705" t="s">
        <v>260</v>
      </c>
      <c r="AG175" s="644">
        <v>3.0</v>
      </c>
      <c r="AH175" s="646">
        <v>8.0</v>
      </c>
      <c r="AI175" s="640"/>
      <c r="AJ175" s="644">
        <v>1.0</v>
      </c>
      <c r="AK175" s="644">
        <v>2.0</v>
      </c>
      <c r="AL175" s="639">
        <f>IF(AA175="","",OFFSET(Biblioteca!$G$2,MATCH(AA175,Biblioteca!$A$3:$A$200,0),)*(1.05^(10-AH175)))</f>
        <v>121.550625</v>
      </c>
      <c r="AM175" s="640"/>
      <c r="AN175" s="632"/>
      <c r="AO175" s="641">
        <f t="shared" si="108"/>
        <v>1</v>
      </c>
      <c r="AP175" s="609"/>
      <c r="AU175" s="610"/>
      <c r="AV175" s="611"/>
      <c r="AW175" s="611"/>
      <c r="AX175" s="614"/>
      <c r="AY175" s="611"/>
      <c r="AZ175" s="644"/>
      <c r="BA175" s="639" t="str">
        <f>IF(AP175="","",OFFSET(Biblioteca!$G$2,MATCH(AP175,Biblioteca!$A$3:$A$200,0),)*(1.05^(10-AW175)))</f>
        <v/>
      </c>
      <c r="BB175" s="640"/>
      <c r="BC175" s="632"/>
      <c r="BD175" s="641">
        <f t="shared" si="109"/>
        <v>3</v>
      </c>
      <c r="BE175" s="645" t="s">
        <v>294</v>
      </c>
      <c r="BJ175" s="705" t="s">
        <v>260</v>
      </c>
      <c r="BK175" s="644">
        <v>3.0</v>
      </c>
      <c r="BL175" s="646">
        <v>8.0</v>
      </c>
      <c r="BM175" s="640"/>
      <c r="BN175" s="644">
        <v>1.0</v>
      </c>
      <c r="BO175" s="644">
        <v>2.0</v>
      </c>
      <c r="BP175" s="639">
        <f>IF(BE175="","",OFFSET(Biblioteca!$G$2,MATCH(BE175,Biblioteca!$A$3:$A$200,0),)*(1.05^(10-BL175)))</f>
        <v>9.2378475</v>
      </c>
      <c r="BQ175" s="640"/>
      <c r="BR175" s="632"/>
      <c r="BS175" s="641">
        <f t="shared" si="110"/>
        <v>3</v>
      </c>
      <c r="BT175" s="645" t="s">
        <v>271</v>
      </c>
      <c r="BY175" s="705" t="s">
        <v>260</v>
      </c>
      <c r="BZ175" s="611">
        <v>3.0</v>
      </c>
      <c r="CA175" s="625">
        <v>8.0</v>
      </c>
      <c r="CB175" s="611">
        <v>60.0</v>
      </c>
      <c r="CC175" s="611">
        <v>1.0</v>
      </c>
      <c r="CD175" s="611">
        <v>2.0</v>
      </c>
      <c r="CE175" s="639">
        <f>IF(BT175="","",OFFSET(Biblioteca!$G$2,MATCH(BT175,Biblioteca!$A$3:$A$200,0),)*(1.05^(10-CA175)))</f>
        <v>17.0170875</v>
      </c>
      <c r="CF175" s="640"/>
      <c r="CG175" s="632"/>
      <c r="CH175" s="641">
        <f t="shared" si="111"/>
        <v>1</v>
      </c>
      <c r="CI175" s="609"/>
      <c r="CN175" s="610"/>
      <c r="CO175" s="611"/>
      <c r="CP175" s="611"/>
      <c r="CQ175" s="614"/>
      <c r="CR175" s="611"/>
      <c r="CS175" s="644"/>
      <c r="CT175" s="639" t="str">
        <f>IF(CI175="","",OFFSET(Biblioteca!$G$2,MATCH(CI175,Biblioteca!$A$3:$A$200,0),)*(1.05^(10-CP175)))</f>
        <v/>
      </c>
      <c r="CU175" s="640"/>
      <c r="CV175" s="579"/>
      <c r="CW175" s="608">
        <f t="shared" si="112"/>
        <v>1</v>
      </c>
      <c r="CX175" s="619"/>
      <c r="DC175" s="620"/>
      <c r="DD175" s="618"/>
      <c r="DE175" s="618"/>
      <c r="DF175" s="618"/>
      <c r="DG175" s="618"/>
      <c r="DH175" s="618"/>
      <c r="DI175" s="617" t="str">
        <f>IF(CX175="","",OFFSET(Biblioteca!$G$2,MATCH(CX175,Biblioteca!$A$3:$A$200,0),)*(1.05^(10-DE175)))</f>
        <v/>
      </c>
      <c r="DJ175" s="618"/>
      <c r="DK175" s="579"/>
    </row>
    <row r="176" ht="14.25" customHeight="1">
      <c r="A176" s="492" t="str">
        <f>"S "&amp;$AD152&amp;" - "&amp;TEXT(C162,"dd/mm")</f>
        <v>S 4 - 02/02</v>
      </c>
      <c r="B176" s="647" t="s">
        <v>280</v>
      </c>
      <c r="C176" s="649">
        <f t="shared" ref="C176:I176" si="113">IF(OR(C167="IEXT",C167="IINT"),C196+C197,"")</f>
        <v>15</v>
      </c>
      <c r="D176" s="649">
        <f t="shared" si="113"/>
        <v>15</v>
      </c>
      <c r="E176" s="649" t="str">
        <f t="shared" si="113"/>
        <v/>
      </c>
      <c r="F176" s="649" t="str">
        <f t="shared" si="113"/>
        <v/>
      </c>
      <c r="G176" s="650">
        <f t="shared" si="113"/>
        <v>10</v>
      </c>
      <c r="H176" s="651" t="str">
        <f t="shared" si="113"/>
        <v/>
      </c>
      <c r="I176" s="649" t="str">
        <f t="shared" si="113"/>
        <v/>
      </c>
      <c r="J176" s="505"/>
      <c r="K176" s="608">
        <f t="shared" si="106"/>
        <v>4</v>
      </c>
      <c r="L176" s="609" t="s">
        <v>285</v>
      </c>
      <c r="Q176" s="705" t="s">
        <v>260</v>
      </c>
      <c r="R176" s="611">
        <v>3.0</v>
      </c>
      <c r="S176" s="625">
        <v>8.0</v>
      </c>
      <c r="T176" s="611">
        <v>60.0</v>
      </c>
      <c r="U176" s="611">
        <v>1.0</v>
      </c>
      <c r="V176" s="611">
        <v>2.0</v>
      </c>
      <c r="W176" s="639">
        <f>IF(L176="","",OFFSET(Biblioteca!$G$2,MATCH(L176,Biblioteca!$A$3:$A$200,0),)*(1.05^(10-S176)))</f>
        <v>10.39257844</v>
      </c>
      <c r="X176" s="640"/>
      <c r="Y176" s="632"/>
      <c r="Z176" s="641">
        <f t="shared" si="107"/>
        <v>4</v>
      </c>
      <c r="AA176" s="609" t="s">
        <v>269</v>
      </c>
      <c r="AF176" s="705" t="s">
        <v>260</v>
      </c>
      <c r="AG176" s="611">
        <v>3.0</v>
      </c>
      <c r="AH176" s="625">
        <v>8.0</v>
      </c>
      <c r="AI176" s="611">
        <v>60.0</v>
      </c>
      <c r="AJ176" s="611">
        <v>1.0</v>
      </c>
      <c r="AK176" s="611">
        <v>2.0</v>
      </c>
      <c r="AL176" s="639">
        <f>IF(AA176="","",OFFSET(Biblioteca!$G$2,MATCH(AA176,Biblioteca!$A$3:$A$200,0),)*(1.05^(10-AH176)))</f>
        <v>5.5125</v>
      </c>
      <c r="AM176" s="640"/>
      <c r="AN176" s="632"/>
      <c r="AO176" s="641">
        <f t="shared" si="108"/>
        <v>1</v>
      </c>
      <c r="AP176" s="609"/>
      <c r="AU176" s="610"/>
      <c r="AV176" s="644"/>
      <c r="AW176" s="644"/>
      <c r="AX176" s="644"/>
      <c r="AY176" s="644"/>
      <c r="AZ176" s="644"/>
      <c r="BA176" s="639" t="str">
        <f>IF(AP176="","",OFFSET(Biblioteca!$G$2,MATCH(AP176,Biblioteca!$A$3:$A$200,0),)*(1.05^(10-AW176)))</f>
        <v/>
      </c>
      <c r="BB176" s="640"/>
      <c r="BC176" s="632"/>
      <c r="BD176" s="641">
        <f t="shared" si="109"/>
        <v>3</v>
      </c>
      <c r="BE176" s="645" t="s">
        <v>316</v>
      </c>
      <c r="BJ176" s="705" t="s">
        <v>260</v>
      </c>
      <c r="BK176" s="611">
        <v>3.0</v>
      </c>
      <c r="BL176" s="625">
        <v>8.0</v>
      </c>
      <c r="BM176" s="611">
        <v>60.0</v>
      </c>
      <c r="BN176" s="611">
        <v>1.0</v>
      </c>
      <c r="BO176" s="611">
        <v>2.0</v>
      </c>
      <c r="BP176" s="639">
        <f>IF(BE176="","",OFFSET(Biblioteca!$G$2,MATCH(BE176,Biblioteca!$A$3:$A$200,0),)*(1.05^(10-BL176)))</f>
        <v>22.05</v>
      </c>
      <c r="BQ176" s="640"/>
      <c r="BR176" s="632"/>
      <c r="BS176" s="641">
        <f t="shared" si="110"/>
        <v>4</v>
      </c>
      <c r="BT176" s="645" t="s">
        <v>317</v>
      </c>
      <c r="BY176" s="705" t="s">
        <v>260</v>
      </c>
      <c r="BZ176" s="644">
        <v>3.0</v>
      </c>
      <c r="CA176" s="644">
        <v>8.0</v>
      </c>
      <c r="CB176" s="640"/>
      <c r="CC176" s="644">
        <v>1.0</v>
      </c>
      <c r="CD176" s="644">
        <v>2.0</v>
      </c>
      <c r="CE176" s="639">
        <f>IF(BT176="","",OFFSET(Biblioteca!$G$2,MATCH(BT176,Biblioteca!$A$3:$A$200,0),)*(1.05^(10-CA176)))</f>
        <v>0</v>
      </c>
      <c r="CF176" s="640"/>
      <c r="CG176" s="632"/>
      <c r="CH176" s="641">
        <f t="shared" si="111"/>
        <v>1</v>
      </c>
      <c r="CI176" s="609"/>
      <c r="CN176" s="610"/>
      <c r="CO176" s="644"/>
      <c r="CP176" s="644"/>
      <c r="CQ176" s="644"/>
      <c r="CR176" s="644"/>
      <c r="CS176" s="644"/>
      <c r="CT176" s="639" t="str">
        <f>IF(CI176="","",OFFSET(Biblioteca!$G$2,MATCH(CI176,Biblioteca!$A$3:$A$200,0),)*(1.05^(10-CP176)))</f>
        <v/>
      </c>
      <c r="CU176" s="640"/>
      <c r="CV176" s="579"/>
      <c r="CW176" s="608">
        <f t="shared" si="112"/>
        <v>1</v>
      </c>
      <c r="CX176" s="619"/>
      <c r="DC176" s="620"/>
      <c r="DD176" s="618"/>
      <c r="DE176" s="618"/>
      <c r="DF176" s="618"/>
      <c r="DG176" s="618"/>
      <c r="DH176" s="618"/>
      <c r="DI176" s="617" t="str">
        <f>IF(CX176="","",OFFSET(Biblioteca!$G$2,MATCH(CX176,Biblioteca!$A$3:$A$200,0),)*(1.05^(10-DE176)))</f>
        <v/>
      </c>
      <c r="DJ176" s="618"/>
      <c r="DK176" s="579"/>
    </row>
    <row r="177" ht="14.25" customHeight="1">
      <c r="A177" s="492" t="str">
        <f>"S "&amp;$AD152&amp;" - "&amp;TEXT(C162,"dd/mm")</f>
        <v>S 4 - 02/02</v>
      </c>
      <c r="B177" s="592" t="s">
        <v>284</v>
      </c>
      <c r="C177" s="652">
        <f t="shared" ref="C177:F177" si="114">IF(C168="","",(C168+C169)/2)</f>
        <v>0.875</v>
      </c>
      <c r="D177" s="652" t="str">
        <f t="shared" si="114"/>
        <v/>
      </c>
      <c r="E177" s="652" t="str">
        <f t="shared" si="114"/>
        <v/>
      </c>
      <c r="F177" s="652">
        <f t="shared" si="114"/>
        <v>0.55</v>
      </c>
      <c r="G177" s="653" t="str">
        <f t="shared" ref="G177:H177" si="115">IF(G168="","",(G168+G169)/2)</f>
        <v/>
      </c>
      <c r="H177" s="654" t="str">
        <f t="shared" si="115"/>
        <v/>
      </c>
      <c r="I177" s="652" t="str">
        <f>IF(I168="","",(I168+I169)/2)</f>
        <v/>
      </c>
      <c r="J177" s="505"/>
      <c r="K177" s="608">
        <f t="shared" si="106"/>
        <v>5</v>
      </c>
      <c r="L177" s="609" t="s">
        <v>232</v>
      </c>
      <c r="Q177" s="609"/>
      <c r="R177" s="614"/>
      <c r="S177" s="614"/>
      <c r="T177" s="611">
        <v>60.0</v>
      </c>
      <c r="U177" s="614"/>
      <c r="V177" s="614"/>
      <c r="W177" s="639">
        <f>IF(L177="","",OFFSET(Biblioteca!$G$2,MATCH(L177,Biblioteca!$A$3:$A$200,0),)*(1.05^(10-S177)))</f>
        <v>0</v>
      </c>
      <c r="X177" s="640"/>
      <c r="Y177" s="632"/>
      <c r="Z177" s="641">
        <f t="shared" si="107"/>
        <v>5</v>
      </c>
      <c r="AA177" s="609" t="s">
        <v>233</v>
      </c>
      <c r="AF177" s="609"/>
      <c r="AG177" s="614"/>
      <c r="AH177" s="614"/>
      <c r="AI177" s="611">
        <v>60.0</v>
      </c>
      <c r="AJ177" s="614"/>
      <c r="AK177" s="614"/>
      <c r="AL177" s="639">
        <f>IF(AA177="","",OFFSET(Biblioteca!$G$2,MATCH(AA177,Biblioteca!$A$3:$A$200,0),)*(1.05^(10-AH177)))</f>
        <v>0</v>
      </c>
      <c r="AM177" s="640"/>
      <c r="AN177" s="632"/>
      <c r="AO177" s="641">
        <f t="shared" si="108"/>
        <v>1</v>
      </c>
      <c r="AP177" s="609"/>
      <c r="AU177" s="610"/>
      <c r="AV177" s="611"/>
      <c r="AW177" s="611"/>
      <c r="AX177" s="614"/>
      <c r="AY177" s="611"/>
      <c r="AZ177" s="644"/>
      <c r="BA177" s="639" t="str">
        <f>IF(AP177="","",OFFSET(Biblioteca!$G$2,MATCH(AP177,Biblioteca!$A$3:$A$200,0),)*(1.05^(10-AW177)))</f>
        <v/>
      </c>
      <c r="BB177" s="640"/>
      <c r="BC177" s="632"/>
      <c r="BD177" s="641">
        <f t="shared" si="109"/>
        <v>4</v>
      </c>
      <c r="BE177" s="645" t="s">
        <v>318</v>
      </c>
      <c r="BJ177" s="705" t="s">
        <v>260</v>
      </c>
      <c r="BK177" s="644">
        <v>3.0</v>
      </c>
      <c r="BL177" s="646">
        <v>8.0</v>
      </c>
      <c r="BM177" s="640"/>
      <c r="BN177" s="644">
        <v>1.0</v>
      </c>
      <c r="BO177" s="644">
        <v>2.0</v>
      </c>
      <c r="BP177" s="639">
        <f>IF(BE177="","",OFFSET(Biblioteca!$G$2,MATCH(BE177,Biblioteca!$A$3:$A$200,0),)*(1.05^(10-BL177)))</f>
        <v>2.4310125</v>
      </c>
      <c r="BQ177" s="640"/>
      <c r="BR177" s="632"/>
      <c r="BS177" s="641">
        <f t="shared" si="110"/>
        <v>4</v>
      </c>
      <c r="BT177" s="645" t="s">
        <v>275</v>
      </c>
      <c r="BY177" s="705" t="s">
        <v>260</v>
      </c>
      <c r="BZ177" s="611">
        <v>3.0</v>
      </c>
      <c r="CA177" s="625">
        <v>8.0</v>
      </c>
      <c r="CB177" s="611">
        <v>60.0</v>
      </c>
      <c r="CC177" s="611">
        <v>1.0</v>
      </c>
      <c r="CD177" s="611">
        <v>2.0</v>
      </c>
      <c r="CE177" s="639">
        <f>IF(BT177="","",OFFSET(Biblioteca!$G$2,MATCH(BT177,Biblioteca!$A$3:$A$200,0),)*(1.05^(10-CA177)))</f>
        <v>17.0170875</v>
      </c>
      <c r="CF177" s="640"/>
      <c r="CG177" s="632"/>
      <c r="CH177" s="641">
        <f t="shared" si="111"/>
        <v>1</v>
      </c>
      <c r="CI177" s="609"/>
      <c r="CN177" s="610"/>
      <c r="CO177" s="611"/>
      <c r="CP177" s="611"/>
      <c r="CQ177" s="614"/>
      <c r="CR177" s="611"/>
      <c r="CS177" s="644"/>
      <c r="CT177" s="639" t="str">
        <f>IF(CI177="","",OFFSET(Biblioteca!$G$2,MATCH(CI177,Biblioteca!$A$3:$A$200,0),)*(1.05^(10-CP177)))</f>
        <v/>
      </c>
      <c r="CU177" s="640"/>
      <c r="CV177" s="579"/>
      <c r="CW177" s="608">
        <f t="shared" si="112"/>
        <v>1</v>
      </c>
      <c r="CX177" s="619"/>
      <c r="DC177" s="620"/>
      <c r="DD177" s="618"/>
      <c r="DE177" s="618"/>
      <c r="DF177" s="618"/>
      <c r="DG177" s="618"/>
      <c r="DH177" s="618"/>
      <c r="DI177" s="617" t="str">
        <f>IF(CX177="","",OFFSET(Biblioteca!$G$2,MATCH(CX177,Biblioteca!$A$3:$A$200,0),)*(1.05^(10-DE177)))</f>
        <v/>
      </c>
      <c r="DJ177" s="618"/>
      <c r="DK177" s="579"/>
    </row>
    <row r="178" ht="14.25" customHeight="1">
      <c r="A178" s="492" t="str">
        <f>"S "&amp;$AD152&amp;" - "&amp;TEXT(C162,"dd/mm")</f>
        <v>S 4 - 02/02</v>
      </c>
      <c r="B178" s="592" t="s">
        <v>289</v>
      </c>
      <c r="C178" s="541" t="str">
        <f>IF(C169="","",VLOOKUP(C168,'Dados de Base'!$D$10:$G$20,2,FALSE)&amp;" - "&amp;VLOOKUP(C169,'Dados de Base'!$D$10:$G$20,2,TRUE))</f>
        <v>142,95 - 148,3</v>
      </c>
      <c r="D178" s="541" t="str">
        <f>IF(D169="","",VLOOKUP(D168,'Dados de Base'!$D$10:$G$20,2,FALSE)&amp;" - "&amp;VLOOKUP(D169,'Dados de Base'!$D$10:$G$20,2,FALSE))</f>
        <v>#N/A</v>
      </c>
      <c r="E178" s="541" t="str">
        <f>IF(E169="","",VLOOKUP(E168,'Dados de Base'!$D$10:$G$20,2,FALSE)&amp;" - "&amp;VLOOKUP(E169,'Dados de Base'!$D$10:$G$20,2,FALSE))</f>
        <v/>
      </c>
      <c r="F178" s="541" t="str">
        <f>IF(F169="","",VLOOKUP(F168,'Dados de Base'!$D$10:$G$20,2,FALSE)&amp;" - "&amp;VLOOKUP(F169,'Dados de Base'!$D$10:$G$20,2,FALSE))</f>
        <v>105,5 - 116,2</v>
      </c>
      <c r="G178" s="655" t="str">
        <f>IF(G169="","",VLOOKUP(G168,'Dados de Base'!$D$10:$G$20,2,FALSE)&amp;" - "&amp;VLOOKUP(G169,'Dados de Base'!$D$10:$G$20,2,FALSE))</f>
        <v>#N/A</v>
      </c>
      <c r="H178" s="656" t="str">
        <f>IF(H169="","",VLOOKUP(H168,'Dados de Base'!$D$10:$G$20,2,FALSE)&amp;" - "&amp;VLOOKUP(H169,'Dados de Base'!$D$10:$G$20,2,FALSE))</f>
        <v/>
      </c>
      <c r="I178" s="593" t="str">
        <f>IF(I169="","",VLOOKUP(I168,'Dados de Base'!$D$10:$G$20,2,FALSE)&amp;" - "&amp;VLOOKUP(I169,'Dados de Base'!$D$10:$G$20,2,FALSE))</f>
        <v/>
      </c>
      <c r="J178" s="505"/>
      <c r="K178" s="608">
        <f t="shared" si="106"/>
        <v>6</v>
      </c>
      <c r="L178" s="645" t="s">
        <v>292</v>
      </c>
      <c r="Q178" s="705" t="s">
        <v>260</v>
      </c>
      <c r="R178" s="644">
        <v>3.0</v>
      </c>
      <c r="S178" s="646">
        <v>8.0</v>
      </c>
      <c r="T178" s="640"/>
      <c r="U178" s="644">
        <v>1.0</v>
      </c>
      <c r="V178" s="644">
        <v>2.0</v>
      </c>
      <c r="W178" s="639">
        <f>IF(L178="","",OFFSET(Biblioteca!$G$2,MATCH(L178,Biblioteca!$A$3:$A$200,0),)*(1.05^(10-S178)))</f>
        <v>8.82</v>
      </c>
      <c r="X178" s="640"/>
      <c r="Y178" s="632"/>
      <c r="Z178" s="641">
        <f t="shared" si="107"/>
        <v>6</v>
      </c>
      <c r="AA178" s="645" t="s">
        <v>268</v>
      </c>
      <c r="AF178" s="705" t="s">
        <v>260</v>
      </c>
      <c r="AG178" s="644">
        <v>3.0</v>
      </c>
      <c r="AH178" s="646">
        <v>8.0</v>
      </c>
      <c r="AI178" s="640"/>
      <c r="AJ178" s="644">
        <v>1.0</v>
      </c>
      <c r="AK178" s="644">
        <v>2.0</v>
      </c>
      <c r="AL178" s="639">
        <f>IF(AA178="","",OFFSET(Biblioteca!$G$2,MATCH(AA178,Biblioteca!$A$3:$A$200,0),)*(1.05^(10-AH178)))</f>
        <v>187.425</v>
      </c>
      <c r="AM178" s="640"/>
      <c r="AN178" s="632"/>
      <c r="AO178" s="641">
        <f t="shared" si="108"/>
        <v>1</v>
      </c>
      <c r="AP178" s="645"/>
      <c r="AU178" s="610"/>
      <c r="AV178" s="644"/>
      <c r="AW178" s="644"/>
      <c r="AX178" s="644"/>
      <c r="AY178" s="644"/>
      <c r="AZ178" s="644"/>
      <c r="BA178" s="639" t="str">
        <f>IF(AP178="","",OFFSET(Biblioteca!$G$2,MATCH(AP178,Biblioteca!$A$3:$A$200,0),)*(1.05^(10-AW178)))</f>
        <v/>
      </c>
      <c r="BB178" s="640"/>
      <c r="BC178" s="632"/>
      <c r="BD178" s="641">
        <f t="shared" si="109"/>
        <v>4</v>
      </c>
      <c r="BE178" s="645" t="s">
        <v>319</v>
      </c>
      <c r="BJ178" s="705" t="s">
        <v>260</v>
      </c>
      <c r="BK178" s="611">
        <v>3.0</v>
      </c>
      <c r="BL178" s="625">
        <v>8.0</v>
      </c>
      <c r="BM178" s="611">
        <v>60.0</v>
      </c>
      <c r="BN178" s="611">
        <v>1.0</v>
      </c>
      <c r="BO178" s="611">
        <v>2.0</v>
      </c>
      <c r="BP178" s="639">
        <f>IF(BE178="","",OFFSET(Biblioteca!$G$2,MATCH(BE178,Biblioteca!$A$3:$A$200,0),)*(1.05^(10-BL178)))</f>
        <v>11.025</v>
      </c>
      <c r="BQ178" s="640"/>
      <c r="BR178" s="632"/>
      <c r="BS178" s="641">
        <f t="shared" si="110"/>
        <v>5</v>
      </c>
      <c r="BT178" s="645" t="s">
        <v>320</v>
      </c>
      <c r="BY178" s="705" t="s">
        <v>260</v>
      </c>
      <c r="BZ178" s="644">
        <v>3.0</v>
      </c>
      <c r="CA178" s="644">
        <v>10.0</v>
      </c>
      <c r="CB178" s="640"/>
      <c r="CC178" s="644">
        <v>1.0</v>
      </c>
      <c r="CD178" s="644">
        <v>2.0</v>
      </c>
      <c r="CE178" s="639">
        <f>IF(BT178="","",OFFSET(Biblioteca!$G$2,MATCH(BT178,Biblioteca!$A$3:$A$200,0),)*(1.05^(10-CA178)))</f>
        <v>0</v>
      </c>
      <c r="CF178" s="640"/>
      <c r="CG178" s="632"/>
      <c r="CH178" s="641">
        <f t="shared" si="111"/>
        <v>1</v>
      </c>
      <c r="CI178" s="645"/>
      <c r="CN178" s="610"/>
      <c r="CO178" s="644"/>
      <c r="CP178" s="644"/>
      <c r="CQ178" s="644"/>
      <c r="CR178" s="644"/>
      <c r="CS178" s="644"/>
      <c r="CT178" s="639" t="str">
        <f>IF(CI178="","",OFFSET(Biblioteca!$G$2,MATCH(CI178,Biblioteca!$A$3:$A$200,0),)*(1.05^(10-CP178)))</f>
        <v/>
      </c>
      <c r="CU178" s="640"/>
      <c r="CV178" s="579"/>
      <c r="CW178" s="608">
        <f t="shared" si="112"/>
        <v>1</v>
      </c>
      <c r="CX178" s="619"/>
      <c r="DC178" s="620"/>
      <c r="DD178" s="618"/>
      <c r="DE178" s="618"/>
      <c r="DF178" s="618"/>
      <c r="DG178" s="618"/>
      <c r="DH178" s="618"/>
      <c r="DI178" s="617" t="str">
        <f>IF(CX178="","",OFFSET(Biblioteca!$G$2,MATCH(CX178,Biblioteca!$A$3:$A$200,0),)*(1.05^(10-DE178)))</f>
        <v/>
      </c>
      <c r="DJ178" s="618"/>
      <c r="DK178" s="579"/>
    </row>
    <row r="179" ht="14.25" customHeight="1">
      <c r="A179" s="492" t="str">
        <f>"S "&amp;$AD152&amp;" - "&amp;TEXT(C162,"dd/mm")</f>
        <v>S 4 - 02/02</v>
      </c>
      <c r="B179" s="592" t="s">
        <v>293</v>
      </c>
      <c r="C179" s="541" t="str">
        <f>IF(C169="","",VLOOKUP(C168,'Dados de Base'!$D$10:$G$20,4,FALSE)&amp;" - "&amp;VLOOKUP(C169,'Dados de Base'!$D$10:$G$20,4,TRUE))</f>
        <v>15,4 - 16,4</v>
      </c>
      <c r="D179" s="541" t="str">
        <f>IF(D169="","",VLOOKUP(D168,'Dados de Base'!$D$10:$G$20,4,FALSE)&amp;" - "&amp;VLOOKUP(D169,'Dados de Base'!$D$10:$G$20,4,FALSE))</f>
        <v>#N/A</v>
      </c>
      <c r="E179" s="541" t="str">
        <f>IF(E169="","",VLOOKUP(E168,'Dados de Base'!$D$10:$G$20,4,FALSE)&amp;" - "&amp;VLOOKUP(E169,'Dados de Base'!$D$10:$G$20,4,FALSE))</f>
        <v/>
      </c>
      <c r="F179" s="541" t="str">
        <f>IF(F169="","",VLOOKUP(F168,'Dados de Base'!$D$10:$G$20,4,FALSE)&amp;" - "&amp;VLOOKUP(F169,'Dados de Base'!$D$10:$G$20,4,FALSE))</f>
        <v>8,5 - 10,9</v>
      </c>
      <c r="G179" s="655" t="str">
        <f>IF(G169="","",VLOOKUP(G168,'Dados de Base'!$D$10:$G$20,4,FALSE)&amp;" - "&amp;VLOOKUP(G169,'Dados de Base'!$D$10:$G$20,4,FALSE))</f>
        <v>#N/A</v>
      </c>
      <c r="H179" s="656" t="str">
        <f>IF(H169="","",VLOOKUP(H168,'Dados de Base'!$D$10:$G$20,4,FALSE)&amp;" - "&amp;VLOOKUP(H169,'Dados de Base'!$D$10:$G$20,4,FALSE))</f>
        <v/>
      </c>
      <c r="I179" s="593" t="str">
        <f>IF(I169="","",VLOOKUP(I168,'Dados de Base'!$D$10:$G$20,4,FALSE)&amp;" - "&amp;VLOOKUP(I169,'Dados de Base'!$D$10:$G$20,4,FALSE))</f>
        <v/>
      </c>
      <c r="J179" s="505"/>
      <c r="K179" s="608">
        <f t="shared" si="106"/>
        <v>6</v>
      </c>
      <c r="L179" s="609" t="s">
        <v>299</v>
      </c>
      <c r="Q179" s="705" t="s">
        <v>260</v>
      </c>
      <c r="R179" s="611">
        <v>3.0</v>
      </c>
      <c r="S179" s="625">
        <v>8.0</v>
      </c>
      <c r="T179" s="611">
        <v>60.0</v>
      </c>
      <c r="U179" s="611">
        <v>1.0</v>
      </c>
      <c r="V179" s="611">
        <v>2.0</v>
      </c>
      <c r="W179" s="639">
        <f>IF(L179="","",OFFSET(Biblioteca!$G$2,MATCH(L179,Biblioteca!$A$3:$A$200,0),)*(1.05^(10-S179)))</f>
        <v>22.05</v>
      </c>
      <c r="X179" s="640"/>
      <c r="Y179" s="632"/>
      <c r="Z179" s="641">
        <f t="shared" si="107"/>
        <v>6</v>
      </c>
      <c r="AA179" s="609" t="s">
        <v>273</v>
      </c>
      <c r="AF179" s="705" t="s">
        <v>260</v>
      </c>
      <c r="AG179" s="611">
        <v>3.0</v>
      </c>
      <c r="AH179" s="625">
        <v>8.0</v>
      </c>
      <c r="AI179" s="611">
        <v>60.0</v>
      </c>
      <c r="AJ179" s="611">
        <v>1.0</v>
      </c>
      <c r="AK179" s="611">
        <v>2.0</v>
      </c>
      <c r="AL179" s="639">
        <f>IF(AA179="","",OFFSET(Biblioteca!$G$2,MATCH(AA179,Biblioteca!$A$3:$A$200,0),)*(1.05^(10-AH179)))</f>
        <v>243.10125</v>
      </c>
      <c r="AM179" s="640"/>
      <c r="AN179" s="632"/>
      <c r="AO179" s="641">
        <f t="shared" si="108"/>
        <v>1</v>
      </c>
      <c r="AP179" s="645"/>
      <c r="AU179" s="610"/>
      <c r="AV179" s="611"/>
      <c r="AW179" s="611"/>
      <c r="AX179" s="614"/>
      <c r="AY179" s="611"/>
      <c r="AZ179" s="644"/>
      <c r="BA179" s="639" t="str">
        <f>IF(AP179="","",OFFSET(Biblioteca!$G$2,MATCH(AP179,Biblioteca!$A$3:$A$200,0),)*(1.05^(10-AW179)))</f>
        <v/>
      </c>
      <c r="BB179" s="640"/>
      <c r="BC179" s="632"/>
      <c r="BD179" s="641">
        <f t="shared" si="109"/>
        <v>5</v>
      </c>
      <c r="BE179" s="645" t="s">
        <v>321</v>
      </c>
      <c r="BJ179" s="705" t="s">
        <v>322</v>
      </c>
      <c r="BK179" s="644">
        <v>3.0</v>
      </c>
      <c r="BL179" s="644">
        <v>20.0</v>
      </c>
      <c r="BM179" s="640"/>
      <c r="BN179" s="644">
        <v>1.0</v>
      </c>
      <c r="BO179" s="644">
        <v>1.0</v>
      </c>
      <c r="BP179" s="639">
        <f>IF(BE179="","",OFFSET(Biblioteca!$G$2,MATCH(BE179,Biblioteca!$A$3:$A$200,0),)*(1.05^(10-BL179)))</f>
        <v>0</v>
      </c>
      <c r="BQ179" s="640"/>
      <c r="BR179" s="632"/>
      <c r="BS179" s="641">
        <f t="shared" si="110"/>
        <v>5</v>
      </c>
      <c r="BT179" s="645" t="s">
        <v>323</v>
      </c>
      <c r="BY179" s="705" t="s">
        <v>260</v>
      </c>
      <c r="BZ179" s="611">
        <v>3.0</v>
      </c>
      <c r="CA179" s="611">
        <v>10.0</v>
      </c>
      <c r="CB179" s="611">
        <v>60.0</v>
      </c>
      <c r="CC179" s="611">
        <v>1.0</v>
      </c>
      <c r="CD179" s="611">
        <v>2.0</v>
      </c>
      <c r="CE179" s="639">
        <f>IF(BT179="","",OFFSET(Biblioteca!$G$2,MATCH(BT179,Biblioteca!$A$3:$A$200,0),)*(1.05^(10-CA179)))</f>
        <v>0</v>
      </c>
      <c r="CF179" s="640"/>
      <c r="CG179" s="632"/>
      <c r="CH179" s="641">
        <f t="shared" si="111"/>
        <v>1</v>
      </c>
      <c r="CI179" s="645"/>
      <c r="CN179" s="610"/>
      <c r="CO179" s="611"/>
      <c r="CP179" s="611"/>
      <c r="CQ179" s="614"/>
      <c r="CR179" s="611"/>
      <c r="CS179" s="644"/>
      <c r="CT179" s="639" t="str">
        <f>IF(CI179="","",OFFSET(Biblioteca!$G$2,MATCH(CI179,Biblioteca!$A$3:$A$200,0),)*(1.05^(10-CP179)))</f>
        <v/>
      </c>
      <c r="CU179" s="640"/>
      <c r="CV179" s="588"/>
      <c r="CW179" s="608">
        <f t="shared" si="112"/>
        <v>1</v>
      </c>
      <c r="CX179" s="619"/>
      <c r="DC179" s="620"/>
      <c r="DD179" s="618"/>
      <c r="DE179" s="618"/>
      <c r="DF179" s="618"/>
      <c r="DG179" s="618"/>
      <c r="DH179" s="618"/>
      <c r="DI179" s="617" t="str">
        <f>IF(CX179="","",OFFSET(Biblioteca!$G$2,MATCH(CX179,Biblioteca!$A$3:$A$200,0),)*(1.05^(10-DE179)))</f>
        <v/>
      </c>
      <c r="DJ179" s="618"/>
      <c r="DK179" s="588"/>
    </row>
    <row r="180" ht="14.25" customHeight="1">
      <c r="A180" s="492" t="str">
        <f>"S "&amp;$AD152&amp;" - "&amp;TEXT(C162,"dd/mm")</f>
        <v>S 4 - 02/02</v>
      </c>
      <c r="B180" s="592" t="s">
        <v>298</v>
      </c>
      <c r="C180" s="657" t="str">
        <f>IFS(C167="","",OR(C167="CEXT",C167="CINT"),"Mantenha "&amp;(C165/C171)-3&amp;"-"&amp;(C165/C171)&amp;"min em intensidade constante com frequência cardíaca entre "&amp;C178&amp;" bpm ("&amp;C168*100&amp;" - "&amp;C169*100&amp;"% VO2Máx"&amp;IF(C166="Esteira", " -&gt; "&amp;C179&amp;"km/h",IF(C166="Pista", " -&gt; "&amp;C179&amp;"km/h "&amp;"Pace de "&amp;C182&amp;"min/km",""))&amp;")",OR(C167="IEXT",C167="IINT"),C172&amp;"x ("&amp;IF(C173&gt;=60,INT(C173/60)&amp;"m ","")&amp;IF((C173/60)-INT(C173/60)&gt;0,((C173/60)-INT(C173/60))*60&amp;"s ","")&amp;IF(C169=1.2,"all out","a "&amp;C178&amp;" bpm"&amp;IF(C166="Esteira", "-&gt; "&amp;C179&amp;"km/h",IF(C166="Pista", " -&gt; "&amp;C179&amp;"km/h "&amp;"Pace de "&amp;C182&amp;"min/km","")))&amp;IF(C174=0,""," + "&amp;IF(C174/60&gt;=1,INT(C174/60)&amp;"m ","")&amp;IF((C174/60)-INT(C174/60)&gt;0,((C174/60)-INT(C174/60))*60&amp;"s ","")&amp;IFS(C175=0," repouso",C175&lt;0.5," leve",TRUE," a "&amp;VLOOKUP(C175,'Dados de Base'!$D$10:$G$20,2,FALSE)&amp;" bpm"&amp;IF(C166="Esteira", "-&gt; "&amp;VLOOKUP(C175,'Dados de Base'!$D$10:$G$20,4,FALSE)&amp;"km/h",IF(C166="Pista", " -&gt; "&amp;C179&amp;"km/h "&amp;"Pace de "&amp;C182&amp;"min/km",""))))&amp;")")&amp;C181</f>
        <v>1x (3m a 142,95 - 148,3 bpm-&gt; 15,4 - 16,4km/h)</v>
      </c>
      <c r="D180" s="657" t="str">
        <f>IFS(D167="","",OR(D167="CEXT",D167="CINT"),"Mantenha "&amp;(D165/D171)-3&amp;"-"&amp;(D165/D171)&amp;"min em intensidade constante com frequência cardíaca entre "&amp;D178&amp;" bpm ("&amp;D168*100&amp;" - "&amp;D169*100&amp;"% VO2Máx"&amp;IF(D166="Esteira", " -&gt; "&amp;D179&amp;"km/h",IF(D166="Pista", " -&gt; "&amp;D179&amp;"km/h "&amp;"Pace de "&amp;D182&amp;"min/km",""))&amp;")",OR(D167="IEXT",D167="IINT"),D172&amp;"x ("&amp;IF(D173&gt;=60,INT(D173/60)&amp;"m ","")&amp;IF((D173/60)-INT(D173/60)&gt;0,((D173/60)-INT(D173/60))*60&amp;"s ","")&amp;IF(D169=1.2,"all out","a "&amp;D178&amp;" bpm"&amp;IF(D166="Esteira", "-&gt; "&amp;D179&amp;"km/h",IF(D166="Pista", " -&gt; "&amp;D179&amp;"km/h "&amp;"Pace de "&amp;D182&amp;"min/km","")))&amp;IF(D174=0,""," + "&amp;IF(D174/60&gt;=1,INT(D174/60)&amp;"m ","")&amp;IF((D174/60)-INT(D174/60)&gt;0,((D174/60)-INT(D174/60))*60&amp;"s ","")&amp;IFS(D175=0," repouso",D175&lt;0.5," leve",TRUE," a "&amp;VLOOKUP(D175,'Dados de Base'!$D$10:$G$20,2,FALSE)&amp;" bpm"&amp;IF(D166="Esteira", "-&gt; "&amp;VLOOKUP(D175,'Dados de Base'!$D$10:$G$20,4,FALSE)&amp;"km/h",IF(D166="Pista", " -&gt; "&amp;D179&amp;"km/h "&amp;"Pace de "&amp;D182&amp;"min/km",""))))&amp;")")&amp;D181</f>
        <v>1x (3m all out)</v>
      </c>
      <c r="E180" s="657" t="str">
        <f>IFS(E167="","",OR(E167="CEXT",E167="CINT"),"Mantenha "&amp;(E165/E171)-3&amp;"-"&amp;(E165/E171)&amp;"min em intensidade constante com frequência cardíaca entre "&amp;E178&amp;" bpm ("&amp;E168*100&amp;" - "&amp;E169*100&amp;"% VO2Máx"&amp;IF(E166="Esteira", " -&gt; "&amp;E179&amp;"km/h",IF(E166="Pista", " -&gt; "&amp;E179&amp;"km/h "&amp;"Pace de "&amp;E182&amp;"min/km",""))&amp;")",OR(E167="IEXT",E167="IINT"),E172&amp;"x ("&amp;IF(E173&gt;=60,INT(E173/60)&amp;"m ","")&amp;IF((E173/60)-INT(E173/60)&gt;0,((E173/60)-INT(E173/60))*60&amp;"s ","")&amp;IF(E169=1.2,"all out","a "&amp;E178&amp;" bpm"&amp;IF(E166="Esteira", "-&gt; "&amp;E179&amp;"km/h",IF(E166="Pista", " -&gt; "&amp;E179&amp;"km/h "&amp;"Pace de "&amp;E182&amp;"min/km","")))&amp;IF(E174=0,""," + "&amp;IF(E174/60&gt;=1,INT(E174/60)&amp;"m ","")&amp;IF((E174/60)-INT(E174/60)&gt;0,((E174/60)-INT(E174/60))*60&amp;"s ","")&amp;IFS(E175=0," repouso",E175&lt;0.5," leve",TRUE," a "&amp;VLOOKUP(E175,'Dados de Base'!$D$10:$G$20,2,FALSE)&amp;" bpm"&amp;IF(E166="Esteira", "-&gt; "&amp;VLOOKUP(E175,'Dados de Base'!$D$10:$G$20,4,FALSE)&amp;"km/h",IF(E166="Pista", " -&gt; "&amp;E179&amp;"km/h "&amp;"Pace de "&amp;E182&amp;"min/km",""))))&amp;")")&amp;E181</f>
        <v>- Correr 15 km no menor tempo possível.
</v>
      </c>
      <c r="F180" s="657" t="str">
        <f>IFS(F167="","",OR(F167="CEXT",F167="CINT"),"Mantenha "&amp;(F165/F171)-3&amp;"-"&amp;(F165/F171)&amp;"min em intensidade constante com frequência cardíaca entre "&amp;F178&amp;" bpm ("&amp;F168*100&amp;" - "&amp;F169*100&amp;"% VO2Máx"&amp;IF(F166="Esteira", " -&gt; "&amp;F179&amp;"km/h",IF(F166="Pista", " -&gt; "&amp;F179&amp;"km/h "&amp;"Pace de "&amp;F182&amp;"min/km",""))&amp;")",OR(F167="IEXT",F167="IINT"),F172&amp;"x ("&amp;IF(F173&gt;=60,INT(F173/60)&amp;"m ","")&amp;IF((F173/60)-INT(F173/60)&gt;0,((F173/60)-INT(F173/60))*60&amp;"s ","")&amp;IF(F169=1.2,"all out","a "&amp;F178&amp;" bpm"&amp;IF(F166="Esteira", "-&gt; "&amp;F179&amp;"km/h",IF(F166="Pista", " -&gt; "&amp;F179&amp;"km/h "&amp;"Pace de "&amp;F182&amp;"min/km","")))&amp;IF(F174=0,""," + "&amp;IF(F174/60&gt;=1,INT(F174/60)&amp;"m ","")&amp;IF((F174/60)-INT(F174/60)&gt;0,((F174/60)-INT(F174/60))*60&amp;"s ","")&amp;IFS(F175=0," repouso",F175&lt;0.5," leve",TRUE," a "&amp;VLOOKUP(F175,'Dados de Base'!$D$10:$G$20,2,FALSE)&amp;" bpm"&amp;IF(F166="Esteira", "-&gt; "&amp;VLOOKUP(F175,'Dados de Base'!$D$10:$G$20,4,FALSE)&amp;"km/h",IF(F166="Pista", " -&gt; "&amp;F179&amp;"km/h "&amp;"Pace de "&amp;F182&amp;"min/km",""))))&amp;")")&amp;F181</f>
        <v>Mantenha 37-40min em intensidade constante com frequência cardíaca entre 105,5 - 116,2 bpm (50 - 60% VO2Máx -&gt; 8,5 - 10,9km/h)</v>
      </c>
      <c r="G180" s="658" t="str">
        <f>IFS(G167="","",OR(G167="CEXT",G167="CINT"),"Mantenha "&amp;(G165/G171)-3&amp;"-"&amp;(G165/G171)&amp;"min em intensidade constante com frequência cardíaca entre "&amp;G178&amp;" bpm ("&amp;G168*100&amp;" - "&amp;G169*100&amp;"% VO2Máx"&amp;IF(G166="Esteira", " -&gt; "&amp;G179&amp;"km/h",IF(G166="Pista", " -&gt; "&amp;G179&amp;"km/h "&amp;"Pace de "&amp;G182&amp;"min/km",""))&amp;")",OR(G167="IEXT",G167="IINT"),G172&amp;"x ("&amp;IF(G173&gt;=60,INT(G173/60)&amp;"m ","")&amp;IF((G173/60)-INT(G173/60)&gt;0,((G173/60)-INT(G173/60))*60&amp;"s ","")&amp;IF(G169=1.2,"all out","a "&amp;G178&amp;" bpm"&amp;IF(G166="Esteira", "-&gt; "&amp;G179&amp;"km/h",IF(G166="Pista", " -&gt; "&amp;G179&amp;"km/h "&amp;"Pace de "&amp;G182&amp;"min/km","")))&amp;IF(G174=0,""," + "&amp;IF(G174/60&gt;=1,INT(G174/60)&amp;"m ","")&amp;IF((G174/60)-INT(G174/60)&gt;0,((G174/60)-INT(G174/60))*60&amp;"s ","")&amp;IFS(G175=0," repouso",G175&lt;0.5," leve",TRUE," a "&amp;VLOOKUP(G175,'Dados de Base'!$D$10:$G$20,2,FALSE)&amp;" bpm"&amp;IF(G166="Esteira", "-&gt; "&amp;VLOOKUP(G175,'Dados de Base'!$D$10:$G$20,4,FALSE)&amp;"km/h",IF(G166="Pista", " -&gt; "&amp;G179&amp;"km/h "&amp;"Pace de "&amp;G182&amp;"min/km",""))))&amp;")")&amp;G181</f>
        <v>1x (5m all out)</v>
      </c>
      <c r="H180" s="658" t="str">
        <f>IFS(H167="","",OR(H167="CEXT",H167="CINT"),"Mantenha "&amp;(H165/H171)-3&amp;"-"&amp;(H165/H171)&amp;"min em intensidade constante com frequência cardíaca entre "&amp;H178&amp;" bpm ("&amp;H168*100&amp;" - "&amp;H169*100&amp;"% VO2Máx"&amp;IF(H166="Esteira", " -&gt; "&amp;H179&amp;"km/h",IF(H166="Pista", " -&gt; "&amp;H179&amp;"km/h "&amp;"Pace de "&amp;H182&amp;"min/km",""))&amp;")",OR(H167="IEXT",H167="IINT"),H172&amp;"x ("&amp;IF(H173&gt;=60,INT(H173/60)&amp;"m ","")&amp;IF((H173/60)-INT(H173/60)&gt;0,((H173/60)-INT(H173/60))*60&amp;"s ","")&amp;IF(H169=1.2,"all out","a "&amp;H178&amp;" bpm"&amp;IF(H166="Esteira", "-&gt; "&amp;H179&amp;"km/h",IF(H166="Pista", " -&gt; "&amp;H179&amp;"km/h "&amp;"Pace de "&amp;H182&amp;"min/km","")))&amp;IF(H174=0,""," + "&amp;IF(H174/60&gt;=1,INT(H174/60)&amp;"m ","")&amp;IF((H174/60)-INT(H174/60)&gt;0,((H174/60)-INT(H174/60))*60&amp;"s ","")&amp;IFS(H175=0," repouso",H175&lt;0.5," leve",TRUE," a "&amp;VLOOKUP(H175,'Dados de Base'!$D$10:$G$20,2,FALSE)&amp;" bpm"&amp;IF(H166="Esteira", "-&gt; "&amp;VLOOKUP(H175,'Dados de Base'!$D$10:$G$20,4,FALSE)&amp;"km/h",IF(H166="Pista", " -&gt; "&amp;H179&amp;"km/h "&amp;"Pace de "&amp;H182&amp;"min/km",""))))&amp;")")&amp;H181</f>
        <v>***TRAJETO***
- 2 km à 11,0km/h;
- 26km à 12,5 km/h;
- 2 km All out </v>
      </c>
      <c r="I180" s="657" t="str">
        <f>IFS(I167="","",OR(I167="CEXT",I167="CINT"),"Mantenha "&amp;(I165/I171)-3&amp;"-"&amp;(I165/I171)&amp;"min em intensidade constante com frequência cardíaca entre "&amp;I178&amp;" bpm ("&amp;I168*100&amp;" - "&amp;I169*100&amp;"% VO2Máx"&amp;IF(I166="Esteira", " -&gt; "&amp;I179&amp;"km/h",IF(I166="Pista", " -&gt; "&amp;I179&amp;"km/h "&amp;"Pace de "&amp;I182&amp;"min/km",""))&amp;")",OR(I167="IEXT",I167="IINT"),I172&amp;"x ("&amp;IF(I173&gt;=60,INT(I173/60)&amp;"m ","")&amp;IF((I173/60)-INT(I173/60)&gt;0,((I173/60)-INT(I173/60))*60&amp;"s ","")&amp;IF(I169=1.2,"all out","a "&amp;I178&amp;" bpm"&amp;IF(I166="Esteira", "-&gt; "&amp;I179&amp;"km/h",IF(I166="Pista", " -&gt; "&amp;I179&amp;"km/h "&amp;"Pace de "&amp;I182&amp;"min/km","")))&amp;IF(I174=0,""," + "&amp;IF(I174/60&gt;=1,INT(I174/60)&amp;"m ","")&amp;IF((I174/60)-INT(I174/60)&gt;0,((I174/60)-INT(I174/60))*60&amp;"s ","")&amp;IFS(I175=0," repouso",I175&lt;0.5," leve",TRUE," a "&amp;VLOOKUP(I175,'Dados de Base'!$D$10:$G$20,2,FALSE)&amp;" bpm"&amp;IF(I166="Esteira", "-&gt; "&amp;VLOOKUP(I175,'Dados de Base'!$D$10:$G$20,4,FALSE)&amp;"km/h",IF(I166="Pista", " -&gt; "&amp;I179&amp;"km/h "&amp;"Pace de "&amp;I182&amp;"min/km",""))))&amp;")")&amp;I181</f>
        <v/>
      </c>
      <c r="J180" s="659"/>
      <c r="K180" s="608">
        <f t="shared" si="106"/>
        <v>7</v>
      </c>
      <c r="L180" s="609" t="s">
        <v>232</v>
      </c>
      <c r="Q180" s="609"/>
      <c r="R180" s="614"/>
      <c r="S180" s="614"/>
      <c r="T180" s="611">
        <v>60.0</v>
      </c>
      <c r="U180" s="614"/>
      <c r="V180" s="614"/>
      <c r="W180" s="639">
        <f>IF(L180="","",OFFSET(Biblioteca!$G$2,MATCH(L180,Biblioteca!$A$3:$A$200,0),)*(1.05^(10-S180)))</f>
        <v>0</v>
      </c>
      <c r="X180" s="640"/>
      <c r="Y180" s="632"/>
      <c r="Z180" s="641">
        <f t="shared" si="107"/>
        <v>7</v>
      </c>
      <c r="AA180" s="609" t="s">
        <v>233</v>
      </c>
      <c r="AF180" s="609"/>
      <c r="AG180" s="614"/>
      <c r="AH180" s="614"/>
      <c r="AI180" s="611">
        <v>60.0</v>
      </c>
      <c r="AJ180" s="614"/>
      <c r="AK180" s="614"/>
      <c r="AL180" s="639">
        <f>IF(AA180="","",OFFSET(Biblioteca!$G$2,MATCH(AA180,Biblioteca!$A$3:$A$200,0),)*(1.05^(10-AH180)))</f>
        <v>0</v>
      </c>
      <c r="AM180" s="640"/>
      <c r="AN180" s="632"/>
      <c r="AO180" s="641">
        <f t="shared" si="108"/>
        <v>1</v>
      </c>
      <c r="AP180" s="645"/>
      <c r="AU180" s="610"/>
      <c r="AV180" s="644"/>
      <c r="AW180" s="644"/>
      <c r="AX180" s="644"/>
      <c r="AY180" s="644"/>
      <c r="AZ180" s="644"/>
      <c r="BA180" s="639" t="str">
        <f>IF(AP180="","",OFFSET(Biblioteca!$G$2,MATCH(AP180,Biblioteca!$A$3:$A$200,0),)*(1.05^(10-AW180)))</f>
        <v/>
      </c>
      <c r="BB180" s="640"/>
      <c r="BC180" s="632"/>
      <c r="BD180" s="641">
        <f t="shared" si="109"/>
        <v>5</v>
      </c>
      <c r="BE180" s="645" t="s">
        <v>324</v>
      </c>
      <c r="BJ180" s="705" t="s">
        <v>322</v>
      </c>
      <c r="BK180" s="644">
        <v>3.0</v>
      </c>
      <c r="BL180" s="644">
        <v>15.0</v>
      </c>
      <c r="BM180" s="640"/>
      <c r="BN180" s="644">
        <v>1.0</v>
      </c>
      <c r="BO180" s="644">
        <v>1.0</v>
      </c>
      <c r="BP180" s="639">
        <f>IF(BE180="","",OFFSET(Biblioteca!$G$2,MATCH(BE180,Biblioteca!$A$3:$A$200,0),)*(1.05^(10-BL180)))</f>
        <v>0</v>
      </c>
      <c r="BQ180" s="640"/>
      <c r="BR180" s="632"/>
      <c r="BS180" s="641">
        <f t="shared" si="110"/>
        <v>6</v>
      </c>
      <c r="BT180" s="645" t="s">
        <v>325</v>
      </c>
      <c r="BY180" s="705" t="s">
        <v>260</v>
      </c>
      <c r="BZ180" s="644">
        <v>3.0</v>
      </c>
      <c r="CA180" s="644">
        <v>15.0</v>
      </c>
      <c r="CB180" s="640"/>
      <c r="CC180" s="644">
        <v>1.0</v>
      </c>
      <c r="CD180" s="644">
        <v>1.0</v>
      </c>
      <c r="CE180" s="639">
        <f>IF(BT180="","",OFFSET(Biblioteca!$G$2,MATCH(BT180,Biblioteca!$A$3:$A$200,0),)*(1.05^(10-CA180)))</f>
        <v>0</v>
      </c>
      <c r="CF180" s="640"/>
      <c r="CG180" s="632"/>
      <c r="CH180" s="641">
        <f t="shared" si="111"/>
        <v>1</v>
      </c>
      <c r="CI180" s="645"/>
      <c r="CN180" s="610"/>
      <c r="CO180" s="644"/>
      <c r="CP180" s="644"/>
      <c r="CQ180" s="644"/>
      <c r="CR180" s="644"/>
      <c r="CS180" s="644"/>
      <c r="CT180" s="639" t="str">
        <f>IF(CI180="","",OFFSET(Biblioteca!$G$2,MATCH(CI180,Biblioteca!$A$3:$A$200,0),)*(1.05^(10-CP180)))</f>
        <v/>
      </c>
      <c r="CU180" s="640"/>
      <c r="CV180" s="579"/>
      <c r="CW180" s="608">
        <f t="shared" si="112"/>
        <v>1</v>
      </c>
      <c r="CX180" s="619"/>
      <c r="DC180" s="620"/>
      <c r="DD180" s="618"/>
      <c r="DE180" s="618"/>
      <c r="DF180" s="618"/>
      <c r="DG180" s="618"/>
      <c r="DH180" s="618"/>
      <c r="DI180" s="617" t="str">
        <f>IF(CX180="","",OFFSET(Biblioteca!$G$2,MATCH(CX180,Biblioteca!$A$3:$A$200,0),)*(1.05^(10-DE180)))</f>
        <v/>
      </c>
      <c r="DJ180" s="618"/>
      <c r="DK180" s="579"/>
    </row>
    <row r="181" ht="158.25" customHeight="1">
      <c r="A181" s="492" t="str">
        <f>"S "&amp;$AD152&amp;" - "&amp;TEXT(C162,"dd/mm")</f>
        <v>S 4 - 02/02</v>
      </c>
      <c r="B181" s="647" t="s">
        <v>302</v>
      </c>
      <c r="C181" s="660"/>
      <c r="D181" s="661"/>
      <c r="E181" s="662" t="s">
        <v>303</v>
      </c>
      <c r="F181" s="660"/>
      <c r="G181" s="601"/>
      <c r="H181" s="662" t="s">
        <v>334</v>
      </c>
      <c r="I181" s="600"/>
      <c r="J181" s="505"/>
      <c r="K181" s="608">
        <f t="shared" si="106"/>
        <v>8</v>
      </c>
      <c r="L181" s="645" t="s">
        <v>283</v>
      </c>
      <c r="Q181" s="705" t="s">
        <v>260</v>
      </c>
      <c r="R181" s="644">
        <v>3.0</v>
      </c>
      <c r="S181" s="646">
        <v>8.0</v>
      </c>
      <c r="T181" s="640"/>
      <c r="U181" s="644">
        <v>1.0</v>
      </c>
      <c r="V181" s="644">
        <v>2.0</v>
      </c>
      <c r="W181" s="639">
        <f>IF(L181="","",OFFSET(Biblioteca!$G$2,MATCH(L181,Biblioteca!$A$3:$A$200,0),)*(1.05^(10-S181)))</f>
        <v>8.82</v>
      </c>
      <c r="X181" s="640"/>
      <c r="Y181" s="632"/>
      <c r="Z181" s="641">
        <f t="shared" si="107"/>
        <v>8</v>
      </c>
      <c r="AA181" s="645" t="s">
        <v>327</v>
      </c>
      <c r="AF181" s="705" t="s">
        <v>260</v>
      </c>
      <c r="AG181" s="644">
        <v>3.0</v>
      </c>
      <c r="AH181" s="646">
        <v>8.0</v>
      </c>
      <c r="AI181" s="640"/>
      <c r="AJ181" s="644">
        <v>1.0</v>
      </c>
      <c r="AK181" s="644">
        <v>2.0</v>
      </c>
      <c r="AL181" s="639">
        <f>IF(AA181="","",OFFSET(Biblioteca!$G$2,MATCH(AA181,Biblioteca!$A$3:$A$200,0),)*(1.05^(10-AH181)))</f>
        <v>39.69</v>
      </c>
      <c r="AM181" s="640"/>
      <c r="AN181" s="632"/>
      <c r="AO181" s="641">
        <f t="shared" si="108"/>
        <v>1</v>
      </c>
      <c r="AP181" s="664"/>
      <c r="AU181" s="664"/>
      <c r="AV181" s="640"/>
      <c r="AW181" s="640"/>
      <c r="AX181" s="640"/>
      <c r="AY181" s="640"/>
      <c r="AZ181" s="640"/>
      <c r="BA181" s="639" t="str">
        <f>IF(AP181="","",OFFSET(Biblioteca!$G$2,MATCH(AP181,Biblioteca!$A$3:$A$200,0),)*(1.05^(10-AW181)))</f>
        <v/>
      </c>
      <c r="BB181" s="640"/>
      <c r="BC181" s="632"/>
      <c r="BD181" s="641">
        <f t="shared" si="109"/>
        <v>5</v>
      </c>
      <c r="BE181" s="645" t="s">
        <v>328</v>
      </c>
      <c r="BJ181" s="705" t="s">
        <v>322</v>
      </c>
      <c r="BK181" s="611">
        <v>3.0</v>
      </c>
      <c r="BL181" s="611">
        <v>15.0</v>
      </c>
      <c r="BM181" s="611">
        <v>60.0</v>
      </c>
      <c r="BN181" s="611">
        <v>1.0</v>
      </c>
      <c r="BO181" s="611">
        <v>1.0</v>
      </c>
      <c r="BP181" s="639">
        <f>IF(BE181="","",OFFSET(Biblioteca!$G$2,MATCH(BE181,Biblioteca!$A$3:$A$200,0),)*(1.05^(10-BL181)))</f>
        <v>0</v>
      </c>
      <c r="BQ181" s="640"/>
      <c r="BR181" s="632"/>
      <c r="BS181" s="641">
        <f t="shared" si="110"/>
        <v>6</v>
      </c>
      <c r="BT181" s="609" t="s">
        <v>329</v>
      </c>
      <c r="BY181" s="705" t="s">
        <v>260</v>
      </c>
      <c r="BZ181" s="611">
        <v>3.0</v>
      </c>
      <c r="CA181" s="611">
        <v>15.0</v>
      </c>
      <c r="CB181" s="611">
        <v>45.0</v>
      </c>
      <c r="CC181" s="611">
        <v>1.0</v>
      </c>
      <c r="CD181" s="611">
        <v>1.0</v>
      </c>
      <c r="CE181" s="639">
        <f>IF(BT181="","",OFFSET(Biblioteca!$G$2,MATCH(BT181,Biblioteca!$A$3:$A$200,0),)*(1.05^(10-CA181)))</f>
        <v>0</v>
      </c>
      <c r="CF181" s="640"/>
      <c r="CG181" s="632"/>
      <c r="CH181" s="641">
        <f t="shared" si="111"/>
        <v>1</v>
      </c>
      <c r="CI181" s="664"/>
      <c r="CN181" s="664"/>
      <c r="CO181" s="640"/>
      <c r="CP181" s="640"/>
      <c r="CQ181" s="640"/>
      <c r="CR181" s="640"/>
      <c r="CS181" s="640"/>
      <c r="CT181" s="639" t="str">
        <f>IF(CI181="","",OFFSET(Biblioteca!$G$2,MATCH(CI181,Biblioteca!$A$3:$A$200,0),)*(1.05^(10-CP181)))</f>
        <v/>
      </c>
      <c r="CU181" s="640"/>
      <c r="CV181" s="588"/>
      <c r="CW181" s="608">
        <f t="shared" si="112"/>
        <v>1</v>
      </c>
      <c r="CX181" s="619"/>
      <c r="DC181" s="620"/>
      <c r="DD181" s="618"/>
      <c r="DE181" s="618"/>
      <c r="DF181" s="618"/>
      <c r="DG181" s="618"/>
      <c r="DH181" s="618"/>
      <c r="DI181" s="617" t="str">
        <f>IF(CX181="","",OFFSET(Biblioteca!$G$2,MATCH(CX181,Biblioteca!$A$3:$A$200,0),)*(1.05^(10-DE181)))</f>
        <v/>
      </c>
      <c r="DJ181" s="618"/>
      <c r="DK181" s="588"/>
    </row>
    <row r="182" ht="14.25" customHeight="1">
      <c r="A182" s="492" t="str">
        <f>"S "&amp;$AD152&amp;" - "&amp;TEXT(C162,"dd/mm")</f>
        <v>S 4 - 02/02</v>
      </c>
      <c r="B182" s="666" t="s">
        <v>306</v>
      </c>
      <c r="C182" s="667" t="str">
        <f>IF(C169="","",ROUND(VLOOKUP(C168,'Dados de Base'!$D$10:$H$20,5,FALSE),1)&amp;" - "&amp;ROUND(VLOOKUP(C169,'Dados de Base'!$D$10:$H$20,5,TRUE),1))</f>
        <v>3,9 - 3,7</v>
      </c>
      <c r="D182" s="667" t="str">
        <f>IF(D169="","",ROUND(VLOOKUP(D168,'Dados de Base'!$D$10:$H$20,5,FALSE),1)&amp;" - "&amp;ROUND(VLOOKUP(D169,'Dados de Base'!$D$10:$H$20,5,TRUE),1))</f>
        <v>#N/A</v>
      </c>
      <c r="E182" s="667" t="str">
        <f>IF(E169="","",ROUND(VLOOKUP(E168,'Dados de Base'!$D$10:$H$20,5,FALSE),1)&amp;" - "&amp;ROUND(VLOOKUP(E169,'Dados de Base'!$D$10:$H$20,5,TRUE),1))</f>
        <v/>
      </c>
      <c r="F182" s="667" t="str">
        <f>IF(F169="","",ROUND(VLOOKUP(F168,'Dados de Base'!$D$10:$H$20,5,FALSE),1)&amp;" - "&amp;ROUND(VLOOKUP(F169,'Dados de Base'!$D$10:$H$20,5,TRUE),1))</f>
        <v>7,1 - 5,5</v>
      </c>
      <c r="G182" s="667" t="str">
        <f>IF(G169="","",ROUND(VLOOKUP(G168,'Dados de Base'!$D$10:$H$20,5,FALSE),1)&amp;" - "&amp;ROUND(VLOOKUP(G169,'Dados de Base'!$D$10:$H$20,5,TRUE),1))</f>
        <v>#N/A</v>
      </c>
      <c r="H182" s="667" t="str">
        <f>IF(H169="","",ROUND(VLOOKUP(H168,'Dados de Base'!$D$10:$H$20,5,FALSE),1)&amp;" - "&amp;ROUND(VLOOKUP(H169,'Dados de Base'!$D$10:$H$20,5,TRUE),1))</f>
        <v/>
      </c>
      <c r="I182" s="667" t="str">
        <f>IF(I169="","",ROUND(VLOOKUP(I168,'Dados de Base'!$D$10:$H$20,5,FALSE),1)&amp;" - "&amp;ROUND(VLOOKUP(I169,'Dados de Base'!$D$10:$H$20,5,TRUE),1))</f>
        <v/>
      </c>
      <c r="J182" s="505"/>
      <c r="K182" s="608">
        <f t="shared" si="106"/>
        <v>8</v>
      </c>
      <c r="L182" s="609" t="s">
        <v>300</v>
      </c>
      <c r="Q182" s="705" t="s">
        <v>260</v>
      </c>
      <c r="R182" s="611">
        <v>3.0</v>
      </c>
      <c r="S182" s="625">
        <v>8.0</v>
      </c>
      <c r="T182" s="611">
        <v>60.0</v>
      </c>
      <c r="U182" s="611">
        <v>1.0</v>
      </c>
      <c r="V182" s="611">
        <v>2.0</v>
      </c>
      <c r="W182" s="639">
        <f>IF(L182="","",OFFSET(Biblioteca!$G$2,MATCH(L182,Biblioteca!$A$3:$A$200,0),)*(1.05^(10-S182)))</f>
        <v>8.379</v>
      </c>
      <c r="X182" s="640"/>
      <c r="Y182" s="632"/>
      <c r="Z182" s="641">
        <f t="shared" si="107"/>
        <v>8</v>
      </c>
      <c r="AA182" s="609" t="s">
        <v>330</v>
      </c>
      <c r="AF182" s="705" t="s">
        <v>260</v>
      </c>
      <c r="AG182" s="611">
        <v>3.0</v>
      </c>
      <c r="AH182" s="625">
        <v>8.0</v>
      </c>
      <c r="AI182" s="611">
        <v>60.0</v>
      </c>
      <c r="AJ182" s="611">
        <v>1.0</v>
      </c>
      <c r="AK182" s="611">
        <v>2.0</v>
      </c>
      <c r="AL182" s="639">
        <f>IF(AA182="","",OFFSET(Biblioteca!$G$2,MATCH(AA182,Biblioteca!$A$3:$A$200,0),)*(1.05^(10-AH182)))</f>
        <v>165.375</v>
      </c>
      <c r="AM182" s="640"/>
      <c r="AN182" s="632"/>
      <c r="AO182" s="641">
        <f t="shared" si="108"/>
        <v>1</v>
      </c>
      <c r="AP182" s="664"/>
      <c r="AU182" s="664"/>
      <c r="AV182" s="640"/>
      <c r="AW182" s="640"/>
      <c r="AX182" s="640"/>
      <c r="AY182" s="640"/>
      <c r="AZ182" s="640"/>
      <c r="BA182" s="639" t="str">
        <f>IF(AP182="","",OFFSET(Biblioteca!$G$2,MATCH(AP182,Biblioteca!$A$3:$A$200,0),)*(1.05^(10-AW182)))</f>
        <v/>
      </c>
      <c r="BB182" s="640"/>
      <c r="BC182" s="632"/>
      <c r="BD182" s="641">
        <f t="shared" si="109"/>
        <v>6</v>
      </c>
      <c r="BE182" s="609" t="s">
        <v>232</v>
      </c>
      <c r="BJ182" s="609"/>
      <c r="BK182" s="614"/>
      <c r="BL182" s="614"/>
      <c r="BM182" s="611">
        <v>60.0</v>
      </c>
      <c r="BN182" s="640"/>
      <c r="BO182" s="640"/>
      <c r="BP182" s="639">
        <f>IF(BE182="","",OFFSET(Biblioteca!$G$2,MATCH(BE182,Biblioteca!$A$3:$A$200,0),)*(1.05^(10-BL182)))</f>
        <v>0</v>
      </c>
      <c r="BQ182" s="640"/>
      <c r="BR182" s="632"/>
      <c r="BS182" s="641">
        <f t="shared" si="110"/>
        <v>7</v>
      </c>
      <c r="BT182" s="642" t="s">
        <v>234</v>
      </c>
      <c r="BY182" s="609"/>
      <c r="BZ182" s="614"/>
      <c r="CA182" s="614"/>
      <c r="CB182" s="611">
        <v>60.0</v>
      </c>
      <c r="CC182" s="640"/>
      <c r="CD182" s="640"/>
      <c r="CE182" s="665">
        <f>IF(BT182="","",OFFSET(Biblioteca!$G$2,MATCH(BT182,Biblioteca!$A$3:$A$200,0),)*(1.05^(10-CA182)))</f>
        <v>0</v>
      </c>
      <c r="CF182" s="640"/>
      <c r="CG182" s="632"/>
      <c r="CH182" s="641">
        <f t="shared" si="111"/>
        <v>1</v>
      </c>
      <c r="CI182" s="664"/>
      <c r="CN182" s="664"/>
      <c r="CO182" s="640"/>
      <c r="CP182" s="640"/>
      <c r="CQ182" s="640"/>
      <c r="CR182" s="640"/>
      <c r="CS182" s="640"/>
      <c r="CT182" s="665" t="str">
        <f>IF(CI182="","",OFFSET(Biblioteca!$G$2,MATCH(CI182,Biblioteca!$A$3:$A$200,0),)*(1.05^(10-CP182)))</f>
        <v/>
      </c>
      <c r="CU182" s="640"/>
      <c r="CV182" s="579"/>
      <c r="CW182" s="608">
        <f t="shared" si="112"/>
        <v>1</v>
      </c>
      <c r="CX182" s="619"/>
      <c r="DC182" s="620"/>
      <c r="DD182" s="618"/>
      <c r="DE182" s="618"/>
      <c r="DF182" s="618"/>
      <c r="DG182" s="618"/>
      <c r="DH182" s="618"/>
      <c r="DI182" s="617" t="str">
        <f>IF(CX182="","",OFFSET(Biblioteca!$G$2,MATCH(CX182,Biblioteca!$A$3:$A$200,0),)*(1.05^(10-DE182)))</f>
        <v/>
      </c>
      <c r="DJ182" s="618"/>
      <c r="DK182" s="579"/>
    </row>
    <row r="183" ht="14.25" customHeight="1">
      <c r="A183" s="492" t="str">
        <f>"S "&amp;$AD152&amp;" - "&amp;TEXT(C162,"dd/mm")</f>
        <v>S 4 - 02/02</v>
      </c>
      <c r="B183" s="592" t="s">
        <v>307</v>
      </c>
      <c r="C183" s="668" t="str">
        <f>'Anotações gerais'!$B$3</f>
        <v/>
      </c>
      <c r="D183" s="60"/>
      <c r="E183" s="60"/>
      <c r="F183" s="60"/>
      <c r="G183" s="60"/>
      <c r="H183" s="61"/>
      <c r="I183" s="669"/>
      <c r="J183" s="505"/>
      <c r="K183" s="608">
        <f t="shared" si="106"/>
        <v>9</v>
      </c>
      <c r="L183" s="609" t="s">
        <v>232</v>
      </c>
      <c r="Q183" s="609"/>
      <c r="R183" s="614"/>
      <c r="S183" s="614"/>
      <c r="T183" s="611">
        <v>60.0</v>
      </c>
      <c r="U183" s="614"/>
      <c r="V183" s="614"/>
      <c r="W183" s="639">
        <f>IF(L183="","",OFFSET(Biblioteca!$G$2,MATCH(L183,Biblioteca!$A$3:$A$200,0),)*(1.05^(10-S183)))</f>
        <v>0</v>
      </c>
      <c r="X183" s="640"/>
      <c r="Y183" s="632"/>
      <c r="Z183" s="641">
        <f t="shared" si="107"/>
        <v>9</v>
      </c>
      <c r="AA183" s="609" t="s">
        <v>233</v>
      </c>
      <c r="AF183" s="609"/>
      <c r="AG183" s="614"/>
      <c r="AH183" s="614"/>
      <c r="AI183" s="611">
        <v>60.0</v>
      </c>
      <c r="AJ183" s="614"/>
      <c r="AK183" s="614"/>
      <c r="AL183" s="639">
        <f>IF(AA183="","",OFFSET(Biblioteca!$G$2,MATCH(AA183,Biblioteca!$A$3:$A$200,0),)*(1.05^(10-AH183)))</f>
        <v>0</v>
      </c>
      <c r="AM183" s="640"/>
      <c r="AN183" s="632"/>
      <c r="AO183" s="641">
        <f t="shared" si="108"/>
        <v>1</v>
      </c>
      <c r="AP183" s="619"/>
      <c r="AU183" s="620"/>
      <c r="AV183" s="618"/>
      <c r="AW183" s="618"/>
      <c r="AX183" s="618"/>
      <c r="AY183" s="618"/>
      <c r="AZ183" s="618"/>
      <c r="BA183" s="639" t="str">
        <f>IF(AP183="","",OFFSET(Biblioteca!$G$2,MATCH(AP183,Biblioteca!$A$3:$A$200,0),)*(1.05^(10-AW183)))</f>
        <v/>
      </c>
      <c r="BB183" s="640"/>
      <c r="BC183" s="632"/>
      <c r="BD183" s="641">
        <f t="shared" si="109"/>
        <v>7</v>
      </c>
      <c r="BE183" s="664"/>
      <c r="BJ183" s="664"/>
      <c r="BK183" s="640"/>
      <c r="BL183" s="640"/>
      <c r="BM183" s="640"/>
      <c r="BN183" s="640"/>
      <c r="BO183" s="640"/>
      <c r="BP183" s="639" t="str">
        <f>IF(BE183="","",OFFSET(Biblioteca!$G$2,MATCH(BE183,Biblioteca!$A$3:$A$200,0),)*(1.05^(10-BL183)))</f>
        <v/>
      </c>
      <c r="BQ183" s="640"/>
      <c r="BR183" s="632"/>
      <c r="BS183" s="641">
        <f t="shared" si="110"/>
        <v>8</v>
      </c>
      <c r="BT183" s="664"/>
      <c r="BY183" s="664"/>
      <c r="BZ183" s="640"/>
      <c r="CA183" s="640"/>
      <c r="CB183" s="640"/>
      <c r="CC183" s="640"/>
      <c r="CD183" s="640"/>
      <c r="CE183" s="665" t="str">
        <f>IF(BT183="","",OFFSET(Biblioteca!$G$2,MATCH(BT183,Biblioteca!$A$3:$A$200,0),)*(1.05^(10-CA183)))</f>
        <v/>
      </c>
      <c r="CF183" s="640"/>
      <c r="CG183" s="632"/>
      <c r="CH183" s="641">
        <f t="shared" si="111"/>
        <v>1</v>
      </c>
      <c r="CI183" s="619"/>
      <c r="CN183" s="620"/>
      <c r="CO183" s="618"/>
      <c r="CP183" s="618"/>
      <c r="CQ183" s="618"/>
      <c r="CR183" s="618"/>
      <c r="CS183" s="618"/>
      <c r="CT183" s="665" t="str">
        <f>IF(CI183="","",OFFSET(Biblioteca!$G$2,MATCH(CI183,Biblioteca!$A$3:$A$200,0),)*(1.05^(10-CP183)))</f>
        <v/>
      </c>
      <c r="CU183" s="640"/>
      <c r="CV183" s="579"/>
      <c r="CW183" s="608">
        <f t="shared" si="112"/>
        <v>1</v>
      </c>
      <c r="CX183" s="619"/>
      <c r="DC183" s="620"/>
      <c r="DD183" s="618"/>
      <c r="DE183" s="618"/>
      <c r="DF183" s="618"/>
      <c r="DG183" s="618"/>
      <c r="DH183" s="618"/>
      <c r="DI183" s="617" t="str">
        <f>IF(CX183="","",OFFSET(Biblioteca!$G$2,MATCH(CX183,Biblioteca!$A$3:$A$200,0),)*(1.05^(10-DE183)))</f>
        <v/>
      </c>
      <c r="DJ183" s="618"/>
      <c r="DK183" s="579"/>
    </row>
    <row r="184" ht="14.25" customHeight="1">
      <c r="A184" s="492" t="str">
        <f>"S "&amp;$AD152&amp;" - "&amp;TEXT(C162,"dd/mm")</f>
        <v>S 4 - 02/02</v>
      </c>
      <c r="B184" s="592" t="s">
        <v>308</v>
      </c>
      <c r="C184" s="668" t="str">
        <f>OFFSET('Periodização Macrociclo'!$D$8,0,MATCH(C152,'Periodização Macrociclo'!$D$4:$BP$4,0))</f>
        <v>Força</v>
      </c>
      <c r="D184" s="60"/>
      <c r="E184" s="60"/>
      <c r="F184" s="60"/>
      <c r="G184" s="60"/>
      <c r="H184" s="61"/>
      <c r="I184" s="669"/>
      <c r="J184" s="505"/>
      <c r="K184" s="608">
        <f t="shared" si="106"/>
        <v>10</v>
      </c>
      <c r="L184" s="645" t="s">
        <v>331</v>
      </c>
      <c r="Q184" s="705" t="s">
        <v>260</v>
      </c>
      <c r="R184" s="644">
        <v>3.0</v>
      </c>
      <c r="S184" s="644">
        <v>15.0</v>
      </c>
      <c r="T184" s="640"/>
      <c r="U184" s="644">
        <v>1.0</v>
      </c>
      <c r="V184" s="644">
        <v>2.0</v>
      </c>
      <c r="W184" s="639">
        <f>IF(L184="","",OFFSET(Biblioteca!$G$2,MATCH(L184,Biblioteca!$A$3:$A$200,0),)*(1.05^(10-S184)))</f>
        <v>0</v>
      </c>
      <c r="X184" s="640"/>
      <c r="Y184" s="632"/>
      <c r="Z184" s="641">
        <f t="shared" si="107"/>
        <v>10</v>
      </c>
      <c r="AA184" s="645" t="s">
        <v>291</v>
      </c>
      <c r="AF184" s="705" t="s">
        <v>260</v>
      </c>
      <c r="AG184" s="644">
        <v>3.0</v>
      </c>
      <c r="AH184" s="644">
        <v>15.0</v>
      </c>
      <c r="AI184" s="640"/>
      <c r="AJ184" s="644">
        <v>1.0</v>
      </c>
      <c r="AK184" s="644">
        <v>2.0</v>
      </c>
      <c r="AL184" s="639">
        <f>IF(AA184="","",OFFSET(Biblioteca!$G$2,MATCH(AA184,Biblioteca!$A$3:$A$200,0),)*(1.05^(10-AH184)))</f>
        <v>0</v>
      </c>
      <c r="AM184" s="640"/>
      <c r="AN184" s="632"/>
      <c r="AO184" s="641">
        <f t="shared" si="108"/>
        <v>1</v>
      </c>
      <c r="AP184" s="619"/>
      <c r="AU184" s="620"/>
      <c r="AV184" s="618"/>
      <c r="AW184" s="618"/>
      <c r="AX184" s="618"/>
      <c r="AY184" s="618"/>
      <c r="AZ184" s="618"/>
      <c r="BA184" s="665" t="str">
        <f>IF(AP184="","",OFFSET(Biblioteca!$G$2,MATCH(AP184,Biblioteca!$A$3:$A$200,0),)*(1.05^(10-AW184)))</f>
        <v/>
      </c>
      <c r="BB184" s="640"/>
      <c r="BC184" s="632"/>
      <c r="BD184" s="641">
        <f t="shared" si="109"/>
        <v>7</v>
      </c>
      <c r="BE184" s="664"/>
      <c r="BJ184" s="664"/>
      <c r="BK184" s="640"/>
      <c r="BL184" s="640"/>
      <c r="BM184" s="640"/>
      <c r="BN184" s="640"/>
      <c r="BO184" s="640"/>
      <c r="BP184" s="665" t="str">
        <f>IF(BE184="","",OFFSET(Biblioteca!$G$2,MATCH(BE184,Biblioteca!$A$3:$A$200,0),)*(1.05^(10-BL184)))</f>
        <v/>
      </c>
      <c r="BQ184" s="640"/>
      <c r="BR184" s="632"/>
      <c r="BS184" s="641">
        <f t="shared" si="110"/>
        <v>8</v>
      </c>
      <c r="BT184" s="664"/>
      <c r="BY184" s="664"/>
      <c r="BZ184" s="640"/>
      <c r="CA184" s="640"/>
      <c r="CB184" s="640"/>
      <c r="CC184" s="640"/>
      <c r="CD184" s="640"/>
      <c r="CE184" s="665" t="str">
        <f>IF(BT184="","",OFFSET(Biblioteca!$G$2,MATCH(BT184,Biblioteca!$A$3:$A$200,0),)*(1.05^(10-CA184)))</f>
        <v/>
      </c>
      <c r="CF184" s="640"/>
      <c r="CG184" s="632"/>
      <c r="CH184" s="641">
        <f t="shared" si="111"/>
        <v>1</v>
      </c>
      <c r="CI184" s="619"/>
      <c r="CN184" s="620"/>
      <c r="CO184" s="618"/>
      <c r="CP184" s="618"/>
      <c r="CQ184" s="618"/>
      <c r="CR184" s="618"/>
      <c r="CS184" s="618"/>
      <c r="CT184" s="665" t="str">
        <f>IF(CI184="","",OFFSET(Biblioteca!$G$2,MATCH(CI184,Biblioteca!$A$3:$A$200,0),)*(1.05^(10-CP184)))</f>
        <v/>
      </c>
      <c r="CU184" s="640"/>
      <c r="CV184" s="579"/>
      <c r="CW184" s="608">
        <f t="shared" si="112"/>
        <v>1</v>
      </c>
      <c r="CX184" s="619"/>
      <c r="DC184" s="620"/>
      <c r="DD184" s="618"/>
      <c r="DE184" s="618"/>
      <c r="DF184" s="618"/>
      <c r="DG184" s="618"/>
      <c r="DH184" s="618"/>
      <c r="DI184" s="617" t="str">
        <f>IF(CX184="","",OFFSET(Biblioteca!$G$2,MATCH(CX184,Biblioteca!$A$3:$A$200,0),)*(1.05^(10-DE184)))</f>
        <v/>
      </c>
      <c r="DJ184" s="618"/>
      <c r="DK184" s="579"/>
    </row>
    <row r="185" ht="14.25" customHeight="1">
      <c r="A185" s="492" t="str">
        <f>"S "&amp;$AD152&amp;" - "&amp;TEXT(C162,"dd/mm")</f>
        <v>S 4 - 02/02</v>
      </c>
      <c r="B185" s="647" t="s">
        <v>309</v>
      </c>
      <c r="C185" s="668" t="str">
        <f>'Anotações gerais'!$B$5</f>
        <v/>
      </c>
      <c r="D185" s="60"/>
      <c r="E185" s="60"/>
      <c r="F185" s="60"/>
      <c r="G185" s="60"/>
      <c r="H185" s="61"/>
      <c r="I185" s="669"/>
      <c r="J185" s="505"/>
      <c r="K185" s="608">
        <f t="shared" si="106"/>
        <v>10</v>
      </c>
      <c r="L185" s="609" t="s">
        <v>332</v>
      </c>
      <c r="Q185" s="705" t="s">
        <v>260</v>
      </c>
      <c r="R185" s="611">
        <v>3.0</v>
      </c>
      <c r="S185" s="611">
        <v>15.0</v>
      </c>
      <c r="T185" s="611">
        <v>60.0</v>
      </c>
      <c r="U185" s="611">
        <v>1.0</v>
      </c>
      <c r="V185" s="611">
        <v>2.0</v>
      </c>
      <c r="W185" s="639">
        <f>IF(L185="","",OFFSET(Biblioteca!$G$2,MATCH(L185,Biblioteca!$A$3:$A$200,0),)*(1.05^(10-S185)))</f>
        <v>0</v>
      </c>
      <c r="X185" s="640"/>
      <c r="Y185" s="632"/>
      <c r="Z185" s="641">
        <f t="shared" si="107"/>
        <v>10</v>
      </c>
      <c r="AA185" s="609" t="s">
        <v>281</v>
      </c>
      <c r="AF185" s="705" t="s">
        <v>260</v>
      </c>
      <c r="AG185" s="611">
        <v>3.0</v>
      </c>
      <c r="AH185" s="611">
        <v>10.0</v>
      </c>
      <c r="AI185" s="611">
        <v>60.0</v>
      </c>
      <c r="AJ185" s="611">
        <v>1.0</v>
      </c>
      <c r="AK185" s="611">
        <v>2.0</v>
      </c>
      <c r="AL185" s="639">
        <f>IF(AA185="","",OFFSET(Biblioteca!$G$2,MATCH(AA185,Biblioteca!$A$3:$A$200,0),)*(1.05^(10-AH185)))</f>
        <v>4</v>
      </c>
      <c r="AM185" s="640"/>
      <c r="AN185" s="632"/>
      <c r="AO185" s="641">
        <f t="shared" si="108"/>
        <v>1</v>
      </c>
      <c r="AP185" s="619"/>
      <c r="AU185" s="620"/>
      <c r="AV185" s="618"/>
      <c r="AW185" s="618"/>
      <c r="AX185" s="618"/>
      <c r="AY185" s="618"/>
      <c r="AZ185" s="618"/>
      <c r="BA185" s="665" t="str">
        <f>IF(AP185="","",OFFSET(Biblioteca!$G$2,MATCH(AP185,Biblioteca!$A$3:$A$200,0),)*(1.05^(10-AW185)))</f>
        <v/>
      </c>
      <c r="BB185" s="640"/>
      <c r="BC185" s="632"/>
      <c r="BD185" s="641">
        <f t="shared" si="109"/>
        <v>7</v>
      </c>
      <c r="BE185" s="664"/>
      <c r="BJ185" s="664"/>
      <c r="BK185" s="640"/>
      <c r="BL185" s="640"/>
      <c r="BM185" s="640"/>
      <c r="BN185" s="640"/>
      <c r="BO185" s="640"/>
      <c r="BP185" s="665" t="str">
        <f>IF(BE185="","",OFFSET(Biblioteca!$G$2,MATCH(BE185,Biblioteca!$A$3:$A$200,0),)*(1.05^(10-BL185)))</f>
        <v/>
      </c>
      <c r="BQ185" s="640"/>
      <c r="BR185" s="632"/>
      <c r="BS185" s="641">
        <f t="shared" si="110"/>
        <v>8</v>
      </c>
      <c r="BT185" s="664"/>
      <c r="BY185" s="664"/>
      <c r="BZ185" s="640"/>
      <c r="CA185" s="640"/>
      <c r="CB185" s="640"/>
      <c r="CC185" s="640"/>
      <c r="CD185" s="640"/>
      <c r="CE185" s="665" t="str">
        <f>IF(BT185="","",OFFSET(Biblioteca!$G$2,MATCH(BT185,Biblioteca!$A$3:$A$200,0),)*(1.05^(10-CA185)))</f>
        <v/>
      </c>
      <c r="CF185" s="640"/>
      <c r="CG185" s="632"/>
      <c r="CH185" s="641">
        <f t="shared" si="111"/>
        <v>1</v>
      </c>
      <c r="CI185" s="619"/>
      <c r="CN185" s="620"/>
      <c r="CO185" s="618"/>
      <c r="CP185" s="618"/>
      <c r="CQ185" s="618"/>
      <c r="CR185" s="618"/>
      <c r="CS185" s="618"/>
      <c r="CT185" s="665" t="str">
        <f>IF(CI185="","",OFFSET(Biblioteca!$G$2,MATCH(CI185,Biblioteca!$A$3:$A$200,0),)*(1.05^(10-CP185)))</f>
        <v/>
      </c>
      <c r="CU185" s="640"/>
      <c r="CV185" s="604"/>
      <c r="CW185" s="608">
        <f t="shared" si="112"/>
        <v>1</v>
      </c>
      <c r="CX185" s="619"/>
      <c r="DC185" s="620"/>
      <c r="DD185" s="618"/>
      <c r="DE185" s="618"/>
      <c r="DF185" s="618"/>
      <c r="DG185" s="618"/>
      <c r="DH185" s="618"/>
      <c r="DI185" s="617" t="str">
        <f>IF(CX185="","",OFFSET(Biblioteca!$G$2,MATCH(CX185,Biblioteca!$A$3:$A$200,0),)*(1.05^(10-DE185)))</f>
        <v/>
      </c>
      <c r="DJ185" s="618"/>
      <c r="DK185" s="604"/>
    </row>
    <row r="186" ht="14.25" customHeight="1">
      <c r="A186" s="492" t="str">
        <f>"S "&amp;$AD152&amp;" - "&amp;TEXT(C162,"dd/mm")</f>
        <v>S 4 - 02/02</v>
      </c>
      <c r="B186" s="647" t="s">
        <v>310</v>
      </c>
      <c r="C186" s="668" t="str">
        <f>'Anotações gerais'!$B$6</f>
        <v/>
      </c>
      <c r="D186" s="60"/>
      <c r="E186" s="60"/>
      <c r="F186" s="60"/>
      <c r="G186" s="60"/>
      <c r="H186" s="61"/>
      <c r="I186" s="669"/>
      <c r="J186" s="505"/>
      <c r="K186" s="608">
        <f t="shared" si="106"/>
        <v>11</v>
      </c>
      <c r="L186" s="664"/>
      <c r="Q186" s="664"/>
      <c r="R186" s="640"/>
      <c r="S186" s="640"/>
      <c r="T186" s="640"/>
      <c r="U186" s="640"/>
      <c r="V186" s="640"/>
      <c r="W186" s="665" t="str">
        <f>IF(L186="","",OFFSET(Biblioteca!$G$2,MATCH(L186,Biblioteca!$A$3:$A$200,0),)*(1.05^(10-S186)))</f>
        <v/>
      </c>
      <c r="X186" s="640"/>
      <c r="Y186" s="632"/>
      <c r="Z186" s="641">
        <f t="shared" si="107"/>
        <v>11</v>
      </c>
      <c r="AA186" s="664"/>
      <c r="AF186" s="664"/>
      <c r="AG186" s="640"/>
      <c r="AH186" s="640"/>
      <c r="AI186" s="640"/>
      <c r="AJ186" s="640"/>
      <c r="AK186" s="640"/>
      <c r="AL186" s="665" t="str">
        <f>IF(AA186="","",OFFSET(Biblioteca!$G$2,MATCH(AA186,Biblioteca!$A$3:$A$200,0),)*(1.05^(10-AH186)))</f>
        <v/>
      </c>
      <c r="AM186" s="640"/>
      <c r="AN186" s="632"/>
      <c r="AO186" s="641">
        <f t="shared" si="108"/>
        <v>1</v>
      </c>
      <c r="AP186" s="619"/>
      <c r="AU186" s="620"/>
      <c r="AV186" s="618"/>
      <c r="AW186" s="618"/>
      <c r="AX186" s="618"/>
      <c r="AY186" s="618"/>
      <c r="AZ186" s="618"/>
      <c r="BA186" s="665" t="str">
        <f>IF(AP186="","",OFFSET(Biblioteca!$G$2,MATCH(AP186,Biblioteca!$A$3:$A$200,0),)*(1.05^(10-AW186)))</f>
        <v/>
      </c>
      <c r="BB186" s="640"/>
      <c r="BC186" s="632"/>
      <c r="BD186" s="641">
        <f t="shared" si="109"/>
        <v>7</v>
      </c>
      <c r="BE186" s="664"/>
      <c r="BJ186" s="664"/>
      <c r="BK186" s="640"/>
      <c r="BL186" s="640"/>
      <c r="BM186" s="640"/>
      <c r="BN186" s="640"/>
      <c r="BO186" s="640"/>
      <c r="BP186" s="665" t="str">
        <f>IF(BE186="","",OFFSET(Biblioteca!$G$2,MATCH(BE186,Biblioteca!$A$3:$A$200,0),)*(1.05^(10-BL186)))</f>
        <v/>
      </c>
      <c r="BQ186" s="640"/>
      <c r="BR186" s="632"/>
      <c r="BS186" s="641">
        <f t="shared" si="110"/>
        <v>8</v>
      </c>
      <c r="BT186" s="664"/>
      <c r="BY186" s="664"/>
      <c r="BZ186" s="640"/>
      <c r="CA186" s="640"/>
      <c r="CB186" s="640"/>
      <c r="CC186" s="640"/>
      <c r="CD186" s="640"/>
      <c r="CE186" s="665" t="str">
        <f>IF(BT186="","",OFFSET(Biblioteca!$G$2,MATCH(BT186,Biblioteca!$A$3:$A$200,0),)*(1.05^(10-CA186)))</f>
        <v/>
      </c>
      <c r="CF186" s="640"/>
      <c r="CG186" s="632"/>
      <c r="CH186" s="641">
        <f t="shared" si="111"/>
        <v>1</v>
      </c>
      <c r="CI186" s="619"/>
      <c r="CN186" s="620"/>
      <c r="CO186" s="618"/>
      <c r="CP186" s="618"/>
      <c r="CQ186" s="618"/>
      <c r="CR186" s="618"/>
      <c r="CS186" s="618"/>
      <c r="CT186" s="665" t="str">
        <f>IF(CI186="","",OFFSET(Biblioteca!$G$2,MATCH(CI186,Biblioteca!$A$3:$A$200,0),)*(1.05^(10-CP186)))</f>
        <v/>
      </c>
      <c r="CU186" s="640"/>
      <c r="CV186" s="579"/>
      <c r="CW186" s="608">
        <f t="shared" si="112"/>
        <v>1</v>
      </c>
      <c r="CX186" s="619"/>
      <c r="DC186" s="620"/>
      <c r="DD186" s="618"/>
      <c r="DE186" s="618"/>
      <c r="DF186" s="618"/>
      <c r="DG186" s="618"/>
      <c r="DH186" s="618"/>
      <c r="DI186" s="617" t="str">
        <f>IF(CX186="","",OFFSET(Biblioteca!$G$2,MATCH(CX186,Biblioteca!$A$3:$A$200,0),)*(1.05^(10-DE186)))</f>
        <v/>
      </c>
      <c r="DJ186" s="618"/>
      <c r="DK186" s="579"/>
    </row>
    <row r="187" ht="14.25" customHeight="1">
      <c r="A187" s="492" t="str">
        <f>"S "&amp;$AD152&amp;" - "&amp;TEXT(C162,"dd/mm")</f>
        <v>S 4 - 02/02</v>
      </c>
      <c r="B187" s="537"/>
      <c r="C187" s="669"/>
      <c r="D187" s="669"/>
      <c r="E187" s="669"/>
      <c r="F187" s="669"/>
      <c r="G187" s="669"/>
      <c r="H187" s="669"/>
      <c r="I187" s="669"/>
      <c r="J187" s="505"/>
      <c r="K187" s="608">
        <f t="shared" si="106"/>
        <v>11</v>
      </c>
      <c r="L187" s="664"/>
      <c r="Q187" s="664"/>
      <c r="R187" s="640"/>
      <c r="S187" s="640"/>
      <c r="T187" s="640"/>
      <c r="U187" s="640"/>
      <c r="V187" s="640"/>
      <c r="W187" s="665" t="str">
        <f>IF(L187="","",OFFSET(Biblioteca!$G$2,MATCH(L187,Biblioteca!$A$3:$A$200,0),)*(1.05^(10-S187)))</f>
        <v/>
      </c>
      <c r="X187" s="640"/>
      <c r="Y187" s="632"/>
      <c r="Z187" s="641">
        <f t="shared" si="107"/>
        <v>11</v>
      </c>
      <c r="AA187" s="664"/>
      <c r="AF187" s="664"/>
      <c r="AG187" s="640"/>
      <c r="AH187" s="640"/>
      <c r="AI187" s="640"/>
      <c r="AJ187" s="640"/>
      <c r="AK187" s="640"/>
      <c r="AL187" s="665" t="str">
        <f>IF(AA187="","",OFFSET(Biblioteca!$G$2,MATCH(AA187,Biblioteca!$A$3:$A$200,0),)*(1.05^(10-AH187)))</f>
        <v/>
      </c>
      <c r="AM187" s="640"/>
      <c r="AN187" s="632"/>
      <c r="AO187" s="641">
        <f t="shared" si="108"/>
        <v>1</v>
      </c>
      <c r="AP187" s="619"/>
      <c r="AU187" s="620"/>
      <c r="AV187" s="618"/>
      <c r="AW187" s="618"/>
      <c r="AX187" s="618"/>
      <c r="AY187" s="618"/>
      <c r="AZ187" s="618"/>
      <c r="BA187" s="665" t="str">
        <f>IF(AP187="","",OFFSET(Biblioteca!$G$2,MATCH(AP187,Biblioteca!$A$3:$A$200,0),)*(1.05^(10-AW187)))</f>
        <v/>
      </c>
      <c r="BB187" s="640"/>
      <c r="BC187" s="632"/>
      <c r="BD187" s="641">
        <f t="shared" si="109"/>
        <v>7</v>
      </c>
      <c r="BE187" s="664"/>
      <c r="BJ187" s="664"/>
      <c r="BK187" s="640"/>
      <c r="BL187" s="640"/>
      <c r="BM187" s="640"/>
      <c r="BN187" s="640"/>
      <c r="BO187" s="640"/>
      <c r="BP187" s="665" t="str">
        <f>IF(BE187="","",OFFSET(Biblioteca!$G$2,MATCH(BE187,Biblioteca!$A$3:$A$200,0),)*(1.05^(10-BL187)))</f>
        <v/>
      </c>
      <c r="BQ187" s="640"/>
      <c r="BR187" s="632"/>
      <c r="BS187" s="641">
        <f t="shared" si="110"/>
        <v>8</v>
      </c>
      <c r="BT187" s="664"/>
      <c r="BY187" s="664"/>
      <c r="BZ187" s="640"/>
      <c r="CA187" s="640"/>
      <c r="CB187" s="640"/>
      <c r="CC187" s="640"/>
      <c r="CD187" s="640"/>
      <c r="CE187" s="665" t="str">
        <f>IF(BT187="","",OFFSET(Biblioteca!$G$2,MATCH(BT187,Biblioteca!$A$3:$A$200,0),)*(1.05^(10-CA187)))</f>
        <v/>
      </c>
      <c r="CF187" s="640"/>
      <c r="CG187" s="632"/>
      <c r="CH187" s="641">
        <f t="shared" si="111"/>
        <v>1</v>
      </c>
      <c r="CI187" s="619"/>
      <c r="CN187" s="620"/>
      <c r="CO187" s="618"/>
      <c r="CP187" s="618"/>
      <c r="CQ187" s="618"/>
      <c r="CR187" s="618"/>
      <c r="CS187" s="618"/>
      <c r="CT187" s="665" t="str">
        <f>IF(CI187="","",OFFSET(Biblioteca!$G$2,MATCH(CI187,Biblioteca!$A$3:$A$200,0),)*(1.05^(10-CP187)))</f>
        <v/>
      </c>
      <c r="CU187" s="640"/>
      <c r="CV187" s="579"/>
      <c r="CW187" s="608">
        <f t="shared" si="112"/>
        <v>1</v>
      </c>
      <c r="CX187" s="619"/>
      <c r="DC187" s="620"/>
      <c r="DD187" s="618"/>
      <c r="DE187" s="618"/>
      <c r="DF187" s="618"/>
      <c r="DG187" s="618"/>
      <c r="DH187" s="618"/>
      <c r="DI187" s="617" t="str">
        <f>IF(CX187="","",OFFSET(Biblioteca!$G$2,MATCH(CX187,Biblioteca!$A$3:$A$200,0),)*(1.05^(10-DE187)))</f>
        <v/>
      </c>
      <c r="DJ187" s="618"/>
      <c r="DK187" s="579"/>
    </row>
    <row r="188" ht="14.25" customHeight="1">
      <c r="A188" s="492" t="str">
        <f>"S "&amp;$AD152&amp;" - "&amp;TEXT(C162,"dd/mm")</f>
        <v>S 4 - 02/02</v>
      </c>
      <c r="B188" s="537"/>
      <c r="C188" s="669"/>
      <c r="D188" s="669"/>
      <c r="E188" s="669"/>
      <c r="F188" s="669"/>
      <c r="G188" s="669"/>
      <c r="H188" s="669"/>
      <c r="I188" s="669"/>
      <c r="J188" s="505"/>
      <c r="K188" s="608">
        <f t="shared" si="106"/>
        <v>11</v>
      </c>
      <c r="L188" s="664"/>
      <c r="Q188" s="664"/>
      <c r="R188" s="640"/>
      <c r="S188" s="640"/>
      <c r="T188" s="640"/>
      <c r="U188" s="640"/>
      <c r="V188" s="640"/>
      <c r="W188" s="665" t="str">
        <f>IF(L188="","",OFFSET(Biblioteca!$G$2,MATCH(L188,Biblioteca!$A$3:$A$200,0),)*(1.05^(10-S188)))</f>
        <v/>
      </c>
      <c r="X188" s="640"/>
      <c r="Y188" s="632"/>
      <c r="Z188" s="641">
        <f t="shared" si="107"/>
        <v>11</v>
      </c>
      <c r="AA188" s="664"/>
      <c r="AF188" s="664"/>
      <c r="AG188" s="640"/>
      <c r="AH188" s="640"/>
      <c r="AI188" s="640"/>
      <c r="AJ188" s="640"/>
      <c r="AK188" s="640"/>
      <c r="AL188" s="665" t="str">
        <f>IF(AA188="","",OFFSET(Biblioteca!$G$2,MATCH(AA188,Biblioteca!$A$3:$A$200,0),)*(1.05^(10-AH188)))</f>
        <v/>
      </c>
      <c r="AM188" s="640"/>
      <c r="AN188" s="632"/>
      <c r="AO188" s="641">
        <f t="shared" si="108"/>
        <v>1</v>
      </c>
      <c r="AP188" s="664"/>
      <c r="AU188" s="664"/>
      <c r="AV188" s="640"/>
      <c r="AW188" s="640"/>
      <c r="AX188" s="640"/>
      <c r="AY188" s="640"/>
      <c r="AZ188" s="640"/>
      <c r="BA188" s="665" t="str">
        <f>IF(AP188="","",OFFSET(Biblioteca!$G$2,MATCH(AP188,Biblioteca!$A$3:$A$200,0),)*(1.05^(10-AW188)))</f>
        <v/>
      </c>
      <c r="BB188" s="640"/>
      <c r="BC188" s="632"/>
      <c r="BD188" s="641">
        <f t="shared" si="109"/>
        <v>7</v>
      </c>
      <c r="BE188" s="664"/>
      <c r="BJ188" s="664"/>
      <c r="BK188" s="640"/>
      <c r="BL188" s="640"/>
      <c r="BM188" s="640"/>
      <c r="BN188" s="640"/>
      <c r="BO188" s="640"/>
      <c r="BP188" s="665" t="str">
        <f>IF(BE188="","",OFFSET(Biblioteca!$G$2,MATCH(BE188,Biblioteca!$A$3:$A$200,0),)*(1.05^(10-BL188)))</f>
        <v/>
      </c>
      <c r="BQ188" s="640"/>
      <c r="BR188" s="632"/>
      <c r="BS188" s="641">
        <f t="shared" si="110"/>
        <v>8</v>
      </c>
      <c r="BT188" s="664"/>
      <c r="BY188" s="664"/>
      <c r="BZ188" s="640"/>
      <c r="CA188" s="640"/>
      <c r="CB188" s="640"/>
      <c r="CC188" s="640"/>
      <c r="CD188" s="640"/>
      <c r="CE188" s="665" t="str">
        <f>IF(BT188="","",OFFSET(Biblioteca!$G$2,MATCH(BT188,Biblioteca!$A$3:$A$200,0),)*(1.05^(10-CA188)))</f>
        <v/>
      </c>
      <c r="CF188" s="640"/>
      <c r="CG188" s="632"/>
      <c r="CH188" s="641">
        <f t="shared" si="111"/>
        <v>1</v>
      </c>
      <c r="CI188" s="664"/>
      <c r="CN188" s="664"/>
      <c r="CO188" s="640"/>
      <c r="CP188" s="640"/>
      <c r="CQ188" s="640"/>
      <c r="CR188" s="640"/>
      <c r="CS188" s="640"/>
      <c r="CT188" s="665" t="str">
        <f>IF(CI188="","",OFFSET(Biblioteca!$G$2,MATCH(CI188,Biblioteca!$A$3:$A$200,0),)*(1.05^(10-CP188)))</f>
        <v/>
      </c>
      <c r="CU188" s="640"/>
      <c r="CV188" s="579"/>
      <c r="CW188" s="608">
        <f t="shared" si="112"/>
        <v>1</v>
      </c>
      <c r="CX188" s="619"/>
      <c r="DC188" s="620"/>
      <c r="DD188" s="618"/>
      <c r="DE188" s="618"/>
      <c r="DF188" s="618"/>
      <c r="DG188" s="618"/>
      <c r="DH188" s="618"/>
      <c r="DI188" s="617" t="str">
        <f>IF(CX188="","",OFFSET(Biblioteca!$G$2,MATCH(CX188,Biblioteca!$A$3:$A$200,0),)*(1.05^(10-DE188)))</f>
        <v/>
      </c>
      <c r="DJ188" s="618"/>
      <c r="DK188" s="579"/>
    </row>
    <row r="189" ht="14.25" customHeight="1">
      <c r="A189" s="492" t="str">
        <f>"S "&amp;$AD152&amp;" - "&amp;TEXT(C162,"dd/mm")</f>
        <v>S 4 - 02/02</v>
      </c>
      <c r="B189" s="537"/>
      <c r="C189" s="669"/>
      <c r="D189" s="669"/>
      <c r="E189" s="669"/>
      <c r="F189" s="669"/>
      <c r="G189" s="669"/>
      <c r="H189" s="669"/>
      <c r="I189" s="669"/>
      <c r="J189" s="505"/>
      <c r="K189" s="608">
        <f t="shared" si="106"/>
        <v>11</v>
      </c>
      <c r="L189" s="619"/>
      <c r="Q189" s="620"/>
      <c r="R189" s="618"/>
      <c r="S189" s="618"/>
      <c r="T189" s="618"/>
      <c r="U189" s="618"/>
      <c r="V189" s="618"/>
      <c r="W189" s="617" t="str">
        <f>IF(L189="","",OFFSET(Biblioteca!$G$2,MATCH(L189,Biblioteca!$A$3:$A$200,0),)*(1.05^(10-S189)))</f>
        <v/>
      </c>
      <c r="X189" s="618"/>
      <c r="Y189" s="670"/>
      <c r="Z189" s="608">
        <f t="shared" si="107"/>
        <v>11</v>
      </c>
      <c r="AA189" s="619"/>
      <c r="AF189" s="620"/>
      <c r="AG189" s="618"/>
      <c r="AH189" s="618"/>
      <c r="AI189" s="618"/>
      <c r="AJ189" s="618"/>
      <c r="AK189" s="618"/>
      <c r="AL189" s="617" t="str">
        <f>IF(AA189="","",OFFSET(Biblioteca!$G$2,MATCH(AA189,Biblioteca!$A$3:$A$200,0),)*(1.05^(10-AH189)))</f>
        <v/>
      </c>
      <c r="AM189" s="618"/>
      <c r="AN189" s="670"/>
      <c r="AO189" s="608">
        <f t="shared" si="108"/>
        <v>1</v>
      </c>
      <c r="AP189" s="619"/>
      <c r="AU189" s="620"/>
      <c r="AV189" s="618"/>
      <c r="AW189" s="618"/>
      <c r="AX189" s="618"/>
      <c r="AY189" s="618"/>
      <c r="AZ189" s="618"/>
      <c r="BA189" s="617" t="str">
        <f>IF(AP189="","",OFFSET(Biblioteca!$G$2,MATCH(AP189,Biblioteca!$A$3:$A$200,0),)*(1.05^(10-AW189)))</f>
        <v/>
      </c>
      <c r="BB189" s="618"/>
      <c r="BC189" s="670"/>
      <c r="BD189" s="608">
        <f t="shared" si="109"/>
        <v>7</v>
      </c>
      <c r="BE189" s="619"/>
      <c r="BJ189" s="620"/>
      <c r="BK189" s="618"/>
      <c r="BL189" s="618"/>
      <c r="BM189" s="618"/>
      <c r="BN189" s="618"/>
      <c r="BO189" s="618"/>
      <c r="BP189" s="617" t="str">
        <f>IF(BE189="","",OFFSET(Biblioteca!$G$2,MATCH(BE189,Biblioteca!$A$3:$A$200,0),)*(1.05^(10-BL189)))</f>
        <v/>
      </c>
      <c r="BQ189" s="618"/>
      <c r="BR189" s="670"/>
      <c r="BS189" s="608">
        <f t="shared" si="110"/>
        <v>8</v>
      </c>
      <c r="BT189" s="619"/>
      <c r="BY189" s="620"/>
      <c r="BZ189" s="618"/>
      <c r="CA189" s="618"/>
      <c r="CB189" s="618"/>
      <c r="CC189" s="618"/>
      <c r="CD189" s="618"/>
      <c r="CE189" s="617" t="str">
        <f>IF(BT189="","",OFFSET(Biblioteca!$G$2,MATCH(BT189,Biblioteca!$A$3:$A$200,0),)*(1.05^(10-CA189)))</f>
        <v/>
      </c>
      <c r="CF189" s="618"/>
      <c r="CG189" s="670"/>
      <c r="CH189" s="608">
        <f t="shared" si="111"/>
        <v>1</v>
      </c>
      <c r="CI189" s="619"/>
      <c r="CN189" s="620"/>
      <c r="CO189" s="618"/>
      <c r="CP189" s="618"/>
      <c r="CQ189" s="618"/>
      <c r="CR189" s="618"/>
      <c r="CS189" s="618"/>
      <c r="CT189" s="617" t="str">
        <f>IF(CI189="","",OFFSET(Biblioteca!$G$2,MATCH(CI189,Biblioteca!$A$3:$A$200,0),)*(1.05^(10-CP189)))</f>
        <v/>
      </c>
      <c r="CU189" s="618"/>
      <c r="CV189" s="670"/>
      <c r="CW189" s="608">
        <f t="shared" si="112"/>
        <v>1</v>
      </c>
      <c r="CX189" s="619"/>
      <c r="DC189" s="620"/>
      <c r="DD189" s="618"/>
      <c r="DE189" s="618"/>
      <c r="DF189" s="618"/>
      <c r="DG189" s="618"/>
      <c r="DH189" s="618"/>
      <c r="DI189" s="617" t="str">
        <f>IF(CX189="","",OFFSET(Biblioteca!$G$2,MATCH(CX189,Biblioteca!$A$3:$A$200,0),)*(1.05^(10-DE189)))</f>
        <v/>
      </c>
      <c r="DJ189" s="618"/>
      <c r="DK189" s="670"/>
    </row>
    <row r="190" ht="14.25" customHeight="1">
      <c r="A190" s="492" t="str">
        <f>"S "&amp;$AD152&amp;" - "&amp;TEXT(C162,"dd/mm")</f>
        <v>S 4 - 02/02</v>
      </c>
      <c r="B190" s="537"/>
      <c r="C190" s="669"/>
      <c r="D190" s="669"/>
      <c r="E190" s="669"/>
      <c r="F190" s="669"/>
      <c r="G190" s="669"/>
      <c r="H190" s="669"/>
      <c r="I190" s="669"/>
      <c r="J190" s="505"/>
      <c r="K190" s="608">
        <f t="shared" si="106"/>
        <v>11</v>
      </c>
      <c r="L190" s="619"/>
      <c r="Q190" s="620"/>
      <c r="R190" s="618"/>
      <c r="S190" s="618"/>
      <c r="T190" s="618"/>
      <c r="U190" s="618"/>
      <c r="V190" s="618"/>
      <c r="W190" s="617" t="str">
        <f>IF(L190="","",OFFSET(Biblioteca!$G$2,MATCH(L190,Biblioteca!$A$3:$A$200,0),)*(1.05^(10-S190)))</f>
        <v/>
      </c>
      <c r="X190" s="618"/>
      <c r="Y190" s="670"/>
      <c r="Z190" s="608">
        <f t="shared" si="107"/>
        <v>11</v>
      </c>
      <c r="AA190" s="619"/>
      <c r="AF190" s="620"/>
      <c r="AG190" s="618"/>
      <c r="AH190" s="618"/>
      <c r="AI190" s="618"/>
      <c r="AJ190" s="618"/>
      <c r="AK190" s="618"/>
      <c r="AL190" s="617" t="str">
        <f>IF(AA190="","",OFFSET(Biblioteca!$G$2,MATCH(AA190,Biblioteca!$A$3:$A$200,0),)*(1.05^(10-AH190)))</f>
        <v/>
      </c>
      <c r="AM190" s="618"/>
      <c r="AN190" s="670"/>
      <c r="AO190" s="608">
        <f t="shared" si="108"/>
        <v>1</v>
      </c>
      <c r="AP190" s="619"/>
      <c r="AU190" s="620"/>
      <c r="AV190" s="618"/>
      <c r="AW190" s="618"/>
      <c r="AX190" s="618"/>
      <c r="AY190" s="618"/>
      <c r="AZ190" s="618"/>
      <c r="BA190" s="617" t="str">
        <f>IF(AP190="","",OFFSET(Biblioteca!$G$2,MATCH(AP190,Biblioteca!$A$3:$A$200,0),)*(1.05^(10-AW190)))</f>
        <v/>
      </c>
      <c r="BB190" s="618"/>
      <c r="BC190" s="670"/>
      <c r="BD190" s="608">
        <f t="shared" si="109"/>
        <v>7</v>
      </c>
      <c r="BE190" s="619"/>
      <c r="BJ190" s="620"/>
      <c r="BK190" s="618"/>
      <c r="BL190" s="618"/>
      <c r="BM190" s="618"/>
      <c r="BN190" s="618"/>
      <c r="BO190" s="618"/>
      <c r="BP190" s="617" t="str">
        <f>IF(BE190="","",OFFSET(Biblioteca!$G$2,MATCH(BE190,Biblioteca!$A$3:$A$200,0),)*(1.05^(10-BL190)))</f>
        <v/>
      </c>
      <c r="BQ190" s="618"/>
      <c r="BR190" s="670"/>
      <c r="BS190" s="608">
        <f t="shared" si="110"/>
        <v>8</v>
      </c>
      <c r="BT190" s="619"/>
      <c r="BY190" s="620"/>
      <c r="BZ190" s="618"/>
      <c r="CA190" s="618"/>
      <c r="CB190" s="618"/>
      <c r="CC190" s="618"/>
      <c r="CD190" s="618"/>
      <c r="CE190" s="617" t="str">
        <f>IF(BT190="","",OFFSET(Biblioteca!$G$2,MATCH(BT190,Biblioteca!$A$3:$A$200,0),)*(1.05^(10-CA190)))</f>
        <v/>
      </c>
      <c r="CF190" s="618"/>
      <c r="CG190" s="670"/>
      <c r="CH190" s="608">
        <f t="shared" si="111"/>
        <v>1</v>
      </c>
      <c r="CI190" s="619"/>
      <c r="CN190" s="620"/>
      <c r="CO190" s="618"/>
      <c r="CP190" s="618"/>
      <c r="CQ190" s="618"/>
      <c r="CR190" s="618"/>
      <c r="CS190" s="618"/>
      <c r="CT190" s="617" t="str">
        <f>IF(CI190="","",OFFSET(Biblioteca!$G$2,MATCH(CI190,Biblioteca!$A$3:$A$200,0),)*(1.05^(10-CP190)))</f>
        <v/>
      </c>
      <c r="CU190" s="618"/>
      <c r="CV190" s="670"/>
      <c r="CW190" s="608">
        <f t="shared" si="112"/>
        <v>1</v>
      </c>
      <c r="CX190" s="619"/>
      <c r="DC190" s="620"/>
      <c r="DD190" s="618"/>
      <c r="DE190" s="618"/>
      <c r="DF190" s="618"/>
      <c r="DG190" s="618"/>
      <c r="DH190" s="618"/>
      <c r="DI190" s="617" t="str">
        <f>IF(CX190="","",OFFSET(Biblioteca!$G$2,MATCH(CX190,Biblioteca!$A$3:$A$200,0),)*(1.05^(10-DE190)))</f>
        <v/>
      </c>
      <c r="DJ190" s="618"/>
      <c r="DK190" s="670"/>
    </row>
    <row r="191" ht="14.25" customHeight="1">
      <c r="A191" s="492" t="str">
        <f>"S "&amp;$AD152&amp;" - "&amp;TEXT(C162,"dd/mm")</f>
        <v>S 4 - 02/02</v>
      </c>
      <c r="B191" s="537"/>
      <c r="C191" s="669"/>
      <c r="D191" s="669"/>
      <c r="E191" s="669"/>
      <c r="F191" s="669"/>
      <c r="G191" s="669"/>
      <c r="H191" s="669"/>
      <c r="I191" s="669"/>
      <c r="J191" s="505"/>
      <c r="K191" s="581"/>
      <c r="L191" s="581"/>
      <c r="M191" s="581"/>
      <c r="N191" s="581"/>
      <c r="O191" s="581"/>
      <c r="P191" s="627" t="s">
        <v>48</v>
      </c>
      <c r="Q191" s="627"/>
      <c r="R191" s="627"/>
      <c r="S191" s="627"/>
      <c r="T191" s="627"/>
      <c r="U191" s="627"/>
      <c r="V191" s="627"/>
      <c r="W191" s="627"/>
      <c r="X191" s="627"/>
      <c r="Y191" s="627"/>
      <c r="Z191" s="581"/>
      <c r="AA191" s="581"/>
      <c r="AB191" s="581"/>
      <c r="AC191" s="581"/>
      <c r="AD191" s="581"/>
      <c r="AE191" s="627" t="s">
        <v>48</v>
      </c>
      <c r="AF191" s="627"/>
      <c r="AG191" s="627"/>
      <c r="AH191" s="627"/>
      <c r="AI191" s="627"/>
      <c r="AJ191" s="627"/>
      <c r="AK191" s="627"/>
      <c r="AL191" s="627"/>
      <c r="AM191" s="627"/>
      <c r="AN191" s="670"/>
      <c r="AO191" s="581"/>
      <c r="AP191" s="581"/>
      <c r="AQ191" s="581"/>
      <c r="AR191" s="581"/>
      <c r="AS191" s="581"/>
      <c r="AT191" s="627" t="s">
        <v>48</v>
      </c>
      <c r="AU191" s="627"/>
      <c r="AV191" s="627"/>
      <c r="AW191" s="627"/>
      <c r="AX191" s="627"/>
      <c r="AY191" s="627"/>
      <c r="AZ191" s="627"/>
      <c r="BA191" s="627"/>
      <c r="BB191" s="627"/>
      <c r="BC191" s="671"/>
      <c r="BD191" s="581"/>
      <c r="BE191" s="581"/>
      <c r="BF191" s="581"/>
      <c r="BG191" s="581"/>
      <c r="BH191" s="581"/>
      <c r="BI191" s="627" t="s">
        <v>48</v>
      </c>
      <c r="BJ191" s="627"/>
      <c r="BK191" s="627"/>
      <c r="BL191" s="627"/>
      <c r="BM191" s="627"/>
      <c r="BN191" s="627"/>
      <c r="BO191" s="627"/>
      <c r="BP191" s="627"/>
      <c r="BQ191" s="627"/>
      <c r="BR191" s="671"/>
      <c r="BS191" s="581"/>
      <c r="BT191" s="581"/>
      <c r="BU191" s="581"/>
      <c r="BV191" s="581"/>
      <c r="BW191" s="581"/>
      <c r="BX191" s="627" t="s">
        <v>48</v>
      </c>
      <c r="BY191" s="627"/>
      <c r="BZ191" s="627"/>
      <c r="CA191" s="627"/>
      <c r="CB191" s="627"/>
      <c r="CC191" s="627"/>
      <c r="CD191" s="627"/>
      <c r="CE191" s="627"/>
      <c r="CF191" s="627"/>
      <c r="CG191" s="671"/>
      <c r="CH191" s="581"/>
      <c r="CI191" s="581"/>
      <c r="CJ191" s="581"/>
      <c r="CK191" s="581"/>
      <c r="CL191" s="581"/>
      <c r="CM191" s="627" t="s">
        <v>48</v>
      </c>
      <c r="CN191" s="627"/>
      <c r="CO191" s="627"/>
      <c r="CP191" s="627"/>
      <c r="CQ191" s="627"/>
      <c r="CR191" s="627"/>
      <c r="CS191" s="627"/>
      <c r="CT191" s="627"/>
      <c r="CU191" s="627"/>
      <c r="CV191" s="671"/>
      <c r="CW191" s="581"/>
      <c r="CX191" s="581"/>
      <c r="CY191" s="581"/>
      <c r="CZ191" s="581"/>
      <c r="DA191" s="581"/>
      <c r="DB191" s="627" t="s">
        <v>48</v>
      </c>
      <c r="DC191" s="627"/>
      <c r="DD191" s="627"/>
      <c r="DE191" s="627"/>
      <c r="DF191" s="627"/>
      <c r="DG191" s="627"/>
      <c r="DH191" s="627"/>
      <c r="DI191" s="627"/>
      <c r="DJ191" s="627"/>
      <c r="DK191" s="670"/>
    </row>
    <row r="192" ht="14.25" customHeight="1">
      <c r="A192" s="492" t="str">
        <f>"S "&amp;$AD152&amp;" - "&amp;TEXT(C162,"dd/mm")</f>
        <v>S 4 - 02/02</v>
      </c>
      <c r="B192" s="673"/>
      <c r="C192" s="672"/>
      <c r="D192" s="672"/>
      <c r="E192" s="672"/>
      <c r="F192" s="672"/>
      <c r="G192" s="672"/>
      <c r="H192" s="672"/>
      <c r="I192" s="672"/>
      <c r="J192" s="505"/>
      <c r="K192" s="608">
        <v>1.0</v>
      </c>
      <c r="L192" s="619"/>
      <c r="Q192" s="620"/>
      <c r="R192" s="618"/>
      <c r="S192" s="618"/>
      <c r="T192" s="618"/>
      <c r="U192" s="618"/>
      <c r="V192" s="618"/>
      <c r="W192" s="617" t="str">
        <f>IF(L192="","",OFFSET(Biblioteca!$G$2,MATCH(L192,Biblioteca!$A$3:$A$200,0),)*(1.05^(10-S192)))</f>
        <v/>
      </c>
      <c r="X192" s="618"/>
      <c r="Y192" s="670"/>
      <c r="Z192" s="608">
        <v>1.0</v>
      </c>
      <c r="AA192" s="619"/>
      <c r="AF192" s="620"/>
      <c r="AG192" s="618"/>
      <c r="AH192" s="618"/>
      <c r="AI192" s="618"/>
      <c r="AJ192" s="618"/>
      <c r="AK192" s="618"/>
      <c r="AL192" s="617" t="str">
        <f>IF(AA192="","",OFFSET(Biblioteca!$G$2,MATCH(AA192,Biblioteca!$A$3:$A$200,0),)*(1.05^(10-AH192)))</f>
        <v/>
      </c>
      <c r="AM192" s="618"/>
      <c r="AN192" s="670"/>
      <c r="AO192" s="608">
        <v>1.0</v>
      </c>
      <c r="AP192" s="619"/>
      <c r="AU192" s="620"/>
      <c r="AV192" s="618"/>
      <c r="AW192" s="618"/>
      <c r="AX192" s="618"/>
      <c r="AY192" s="618"/>
      <c r="AZ192" s="618"/>
      <c r="BA192" s="617" t="str">
        <f>IF(AP192="","",OFFSET(Biblioteca!$G$2,MATCH(AP192,Biblioteca!$A$3:$A$200,0),)*(1.05^(10-AW192)))</f>
        <v/>
      </c>
      <c r="BB192" s="618"/>
      <c r="BC192" s="670"/>
      <c r="BD192" s="608">
        <v>1.0</v>
      </c>
      <c r="BE192" s="619"/>
      <c r="BJ192" s="620"/>
      <c r="BK192" s="618"/>
      <c r="BL192" s="618"/>
      <c r="BM192" s="618"/>
      <c r="BN192" s="618"/>
      <c r="BO192" s="618"/>
      <c r="BP192" s="617" t="str">
        <f>IF(BE192="","",OFFSET(Biblioteca!$G$2,MATCH(BE192,Biblioteca!$A$3:$A$200,0),)*(1.05^(10-BL192)))</f>
        <v/>
      </c>
      <c r="BQ192" s="618"/>
      <c r="BR192" s="670"/>
      <c r="BS192" s="608">
        <v>1.0</v>
      </c>
      <c r="BT192" s="619"/>
      <c r="BY192" s="620"/>
      <c r="BZ192" s="618"/>
      <c r="CA192" s="618"/>
      <c r="CB192" s="618"/>
      <c r="CC192" s="618"/>
      <c r="CD192" s="618"/>
      <c r="CE192" s="617" t="str">
        <f>IF(BT192="","",OFFSET(Biblioteca!$G$2,MATCH(BT192,Biblioteca!$A$3:$A$200,0),)*(1.05^(10-CA192)))</f>
        <v/>
      </c>
      <c r="CF192" s="618"/>
      <c r="CG192" s="670"/>
      <c r="CH192" s="608">
        <v>1.0</v>
      </c>
      <c r="CI192" s="619"/>
      <c r="CN192" s="620"/>
      <c r="CO192" s="618"/>
      <c r="CP192" s="618"/>
      <c r="CQ192" s="618"/>
      <c r="CR192" s="618"/>
      <c r="CS192" s="618"/>
      <c r="CT192" s="617" t="str">
        <f>IF(CI192="","",OFFSET(Biblioteca!$G$2,MATCH(CI192,Biblioteca!$A$3:$A$200,0),)*(1.05^(10-CP192)))</f>
        <v/>
      </c>
      <c r="CU192" s="618"/>
      <c r="CV192" s="670"/>
      <c r="CW192" s="608">
        <v>1.0</v>
      </c>
      <c r="CX192" s="619"/>
      <c r="DC192" s="620"/>
      <c r="DD192" s="618"/>
      <c r="DE192" s="618"/>
      <c r="DF192" s="618"/>
      <c r="DG192" s="618"/>
      <c r="DH192" s="618"/>
      <c r="DI192" s="617" t="str">
        <f>IF(CX192="","",OFFSET(Biblioteca!$G$2,MATCH(CX192,Biblioteca!$A$3:$A$200,0),)*(1.05^(10-DE192)))</f>
        <v/>
      </c>
      <c r="DJ192" s="618"/>
      <c r="DK192" s="670"/>
    </row>
    <row r="193" ht="14.25" customHeight="1">
      <c r="A193" s="492" t="str">
        <f>"S "&amp;$AD152&amp;" - "&amp;TEXT(C162,"dd/mm")</f>
        <v>S 4 - 02/02</v>
      </c>
      <c r="B193" s="673">
        <f>MAX(C193:I193)</f>
        <v>6</v>
      </c>
      <c r="C193" s="674">
        <f>IF(C164=0,0,1)</f>
        <v>1</v>
      </c>
      <c r="D193" s="674">
        <f>IF(D164=0,0,C193+1)</f>
        <v>2</v>
      </c>
      <c r="E193" s="674">
        <f>IF(E164=0,0,MAX(C193:D193)+1)</f>
        <v>3</v>
      </c>
      <c r="F193" s="674">
        <f>IF(F164=0,0,MAX(C193:E193)+1)</f>
        <v>4</v>
      </c>
      <c r="G193" s="674">
        <f>IF(G164=0,0,MAX(C193:F193)+1)</f>
        <v>5</v>
      </c>
      <c r="H193" s="674">
        <f>IF(H164=0,0,MAX(C193:G193)+1)</f>
        <v>6</v>
      </c>
      <c r="I193" s="674">
        <f>IF(I164=0,0,MAX(C193:H193)+1)</f>
        <v>0</v>
      </c>
      <c r="J193" s="505"/>
      <c r="K193" s="608">
        <f t="shared" ref="K193:K194" si="117">IF(T192="",K192,K192+1)</f>
        <v>1</v>
      </c>
      <c r="L193" s="619"/>
      <c r="Q193" s="620"/>
      <c r="R193" s="618"/>
      <c r="S193" s="618"/>
      <c r="T193" s="618"/>
      <c r="U193" s="618"/>
      <c r="V193" s="618"/>
      <c r="W193" s="617" t="str">
        <f>IF(L193="","",OFFSET(Biblioteca!$G$2,MATCH(L193,Biblioteca!$A$3:$A$200,0),)*(1.05^(10-S193)))</f>
        <v/>
      </c>
      <c r="X193" s="618"/>
      <c r="Y193" s="670"/>
      <c r="Z193" s="608">
        <f t="shared" ref="Z193:Z194" si="118">IF(AI192="",Z192,Z192+1)</f>
        <v>1</v>
      </c>
      <c r="AA193" s="619"/>
      <c r="AF193" s="620"/>
      <c r="AG193" s="618"/>
      <c r="AH193" s="618"/>
      <c r="AI193" s="618"/>
      <c r="AJ193" s="618"/>
      <c r="AK193" s="618"/>
      <c r="AL193" s="617" t="str">
        <f>IF(AA193="","",OFFSET(Biblioteca!$G$2,MATCH(AA193,Biblioteca!$A$3:$A$200,0),)*(1.05^(10-AH193)))</f>
        <v/>
      </c>
      <c r="AM193" s="618"/>
      <c r="AN193" s="670"/>
      <c r="AO193" s="608">
        <f t="shared" ref="AO193:AO194" si="119">IF(AX192="",AO192,AO192+1)</f>
        <v>1</v>
      </c>
      <c r="AP193" s="619"/>
      <c r="AU193" s="620"/>
      <c r="AV193" s="618"/>
      <c r="AW193" s="618"/>
      <c r="AX193" s="618"/>
      <c r="AY193" s="618"/>
      <c r="AZ193" s="618"/>
      <c r="BA193" s="617" t="str">
        <f>IF(AP193="","",OFFSET(Biblioteca!$G$2,MATCH(AP193,Biblioteca!$A$3:$A$200,0),)*(1.05^(10-AW193)))</f>
        <v/>
      </c>
      <c r="BB193" s="618"/>
      <c r="BC193" s="670"/>
      <c r="BD193" s="608">
        <f t="shared" ref="BD193:BD194" si="120">IF(BM192="",BD192,BD192+1)</f>
        <v>1</v>
      </c>
      <c r="BE193" s="619"/>
      <c r="BJ193" s="620"/>
      <c r="BK193" s="618"/>
      <c r="BL193" s="618"/>
      <c r="BM193" s="618"/>
      <c r="BN193" s="618"/>
      <c r="BO193" s="618"/>
      <c r="BP193" s="617" t="str">
        <f>IF(BE193="","",OFFSET(Biblioteca!$G$2,MATCH(BE193,Biblioteca!$A$3:$A$200,0),)*(1.05^(10-BL193)))</f>
        <v/>
      </c>
      <c r="BQ193" s="618"/>
      <c r="BR193" s="670"/>
      <c r="BS193" s="608">
        <f t="shared" ref="BS193:BS194" si="121">IF(CB192="",BS192,BS192+1)</f>
        <v>1</v>
      </c>
      <c r="BT193" s="619"/>
      <c r="BY193" s="620"/>
      <c r="BZ193" s="618"/>
      <c r="CA193" s="618"/>
      <c r="CB193" s="618"/>
      <c r="CC193" s="618"/>
      <c r="CD193" s="618"/>
      <c r="CE193" s="617" t="str">
        <f>IF(BT193="","",OFFSET(Biblioteca!$G$2,MATCH(BT193,Biblioteca!$A$3:$A$200,0),)*(1.05^(10-CA193)))</f>
        <v/>
      </c>
      <c r="CF193" s="618"/>
      <c r="CG193" s="670"/>
      <c r="CH193" s="608">
        <f t="shared" ref="CH193:CH194" si="122">IF(CQ192="",CH192,CH192+1)</f>
        <v>1</v>
      </c>
      <c r="CI193" s="619"/>
      <c r="CN193" s="620"/>
      <c r="CO193" s="618"/>
      <c r="CP193" s="618"/>
      <c r="CQ193" s="618"/>
      <c r="CR193" s="618"/>
      <c r="CS193" s="618"/>
      <c r="CT193" s="617" t="str">
        <f>IF(CI193="","",OFFSET(Biblioteca!$G$2,MATCH(CI193,Biblioteca!$A$3:$A$200,0),)*(1.05^(10-CP193)))</f>
        <v/>
      </c>
      <c r="CU193" s="618"/>
      <c r="CV193" s="670"/>
      <c r="CW193" s="608">
        <f t="shared" ref="CW193:CW194" si="123">IF(DF192="",CW192,CW192+1)</f>
        <v>1</v>
      </c>
      <c r="CX193" s="619"/>
      <c r="DC193" s="620"/>
      <c r="DD193" s="618"/>
      <c r="DE193" s="618"/>
      <c r="DF193" s="618"/>
      <c r="DG193" s="618"/>
      <c r="DH193" s="618"/>
      <c r="DI193" s="617" t="str">
        <f>IF(CX193="","",OFFSET(Biblioteca!$G$2,MATCH(CX193,Biblioteca!$A$3:$A$200,0),)*(1.05^(10-DE193)))</f>
        <v/>
      </c>
      <c r="DJ193" s="618"/>
      <c r="DK193" s="670"/>
    </row>
    <row r="194" ht="14.25" customHeight="1">
      <c r="A194" s="492" t="str">
        <f>"S "&amp;$AD152&amp;" - "&amp;TEXT(C162,"dd/mm")</f>
        <v>S 4 - 02/02</v>
      </c>
      <c r="B194" s="673"/>
      <c r="C194" s="675">
        <f t="shared" ref="C194:I194" si="116">C162</f>
        <v>46055</v>
      </c>
      <c r="D194" s="675">
        <f t="shared" si="116"/>
        <v>46056</v>
      </c>
      <c r="E194" s="675">
        <f t="shared" si="116"/>
        <v>46057</v>
      </c>
      <c r="F194" s="675">
        <f t="shared" si="116"/>
        <v>46058</v>
      </c>
      <c r="G194" s="675">
        <f t="shared" si="116"/>
        <v>46059</v>
      </c>
      <c r="H194" s="675">
        <f t="shared" si="116"/>
        <v>46060</v>
      </c>
      <c r="I194" s="675">
        <f t="shared" si="116"/>
        <v>46061</v>
      </c>
      <c r="J194" s="505"/>
      <c r="K194" s="608">
        <f t="shared" si="117"/>
        <v>1</v>
      </c>
      <c r="L194" s="619"/>
      <c r="Q194" s="620"/>
      <c r="R194" s="618"/>
      <c r="S194" s="618"/>
      <c r="T194" s="618"/>
      <c r="U194" s="618"/>
      <c r="V194" s="618"/>
      <c r="W194" s="617" t="str">
        <f>IF(L194="","",OFFSET(Biblioteca!$G$2,MATCH(L194,Biblioteca!$A$3:$A$200,0),)*(1.05^(10-S194)))</f>
        <v/>
      </c>
      <c r="X194" s="618"/>
      <c r="Y194" s="670"/>
      <c r="Z194" s="608">
        <f t="shared" si="118"/>
        <v>1</v>
      </c>
      <c r="AA194" s="619"/>
      <c r="AF194" s="620"/>
      <c r="AG194" s="618"/>
      <c r="AH194" s="618"/>
      <c r="AI194" s="618"/>
      <c r="AJ194" s="618"/>
      <c r="AK194" s="618"/>
      <c r="AL194" s="617" t="str">
        <f>IF(AA194="","",OFFSET(Biblioteca!$G$2,MATCH(AA194,Biblioteca!$A$3:$A$200,0),)*(1.05^(10-AH194)))</f>
        <v/>
      </c>
      <c r="AM194" s="618"/>
      <c r="AN194" s="670"/>
      <c r="AO194" s="608">
        <f t="shared" si="119"/>
        <v>1</v>
      </c>
      <c r="AP194" s="619"/>
      <c r="AU194" s="620"/>
      <c r="AV194" s="618"/>
      <c r="AW194" s="618"/>
      <c r="AX194" s="618"/>
      <c r="AY194" s="618"/>
      <c r="AZ194" s="618"/>
      <c r="BA194" s="617" t="str">
        <f>IF(AP194="","",OFFSET(Biblioteca!$G$2,MATCH(AP194,Biblioteca!$A$3:$A$200,0),)*(1.05^(10-AW194)))</f>
        <v/>
      </c>
      <c r="BB194" s="618"/>
      <c r="BC194" s="670"/>
      <c r="BD194" s="608">
        <f t="shared" si="120"/>
        <v>1</v>
      </c>
      <c r="BE194" s="619"/>
      <c r="BJ194" s="620"/>
      <c r="BK194" s="618"/>
      <c r="BL194" s="618"/>
      <c r="BM194" s="618"/>
      <c r="BN194" s="618"/>
      <c r="BO194" s="618"/>
      <c r="BP194" s="617" t="str">
        <f>IF(BE194="","",OFFSET(Biblioteca!$G$2,MATCH(BE194,Biblioteca!$A$3:$A$200,0),)*(1.05^(10-BL194)))</f>
        <v/>
      </c>
      <c r="BQ194" s="618"/>
      <c r="BR194" s="670"/>
      <c r="BS194" s="608">
        <f t="shared" si="121"/>
        <v>1</v>
      </c>
      <c r="BT194" s="619"/>
      <c r="BY194" s="620"/>
      <c r="BZ194" s="618"/>
      <c r="CA194" s="618"/>
      <c r="CB194" s="618"/>
      <c r="CC194" s="618"/>
      <c r="CD194" s="618"/>
      <c r="CE194" s="617" t="str">
        <f>IF(BT194="","",OFFSET(Biblioteca!$G$2,MATCH(BT194,Biblioteca!$A$3:$A$200,0),)*(1.05^(10-CA194)))</f>
        <v/>
      </c>
      <c r="CF194" s="618"/>
      <c r="CG194" s="670"/>
      <c r="CH194" s="608">
        <f t="shared" si="122"/>
        <v>1</v>
      </c>
      <c r="CI194" s="619"/>
      <c r="CN194" s="620"/>
      <c r="CO194" s="618"/>
      <c r="CP194" s="618"/>
      <c r="CQ194" s="618"/>
      <c r="CR194" s="618"/>
      <c r="CS194" s="618"/>
      <c r="CT194" s="617" t="str">
        <f>IF(CI194="","",OFFSET(Biblioteca!$G$2,MATCH(CI194,Biblioteca!$A$3:$A$200,0),)*(1.05^(10-CP194)))</f>
        <v/>
      </c>
      <c r="CU194" s="618"/>
      <c r="CV194" s="670"/>
      <c r="CW194" s="608">
        <f t="shared" si="123"/>
        <v>1</v>
      </c>
      <c r="CX194" s="619"/>
      <c r="DC194" s="620"/>
      <c r="DD194" s="618"/>
      <c r="DE194" s="618"/>
      <c r="DF194" s="618"/>
      <c r="DG194" s="618"/>
      <c r="DH194" s="618"/>
      <c r="DI194" s="617" t="str">
        <f>IF(CX194="","",OFFSET(Biblioteca!$G$2,MATCH(CX194,Biblioteca!$A$3:$A$200,0),)*(1.05^(10-DE194)))</f>
        <v/>
      </c>
      <c r="DJ194" s="618"/>
      <c r="DK194" s="670"/>
    </row>
    <row r="195" ht="14.25" customHeight="1">
      <c r="A195" s="492" t="str">
        <f>"S "&amp;$AD152&amp;" - "&amp;TEXT(C162,"dd/mm")</f>
        <v>S 4 - 02/02</v>
      </c>
      <c r="B195" s="673"/>
      <c r="C195" s="676">
        <f>OFFSET($B194,0,MATCH(1,$C193:$I193,0))</f>
        <v>46055</v>
      </c>
      <c r="D195" s="676">
        <f>OFFSET($B194,0,MATCH(2,$C193:$I193,0))</f>
        <v>46056</v>
      </c>
      <c r="E195" s="676">
        <f>OFFSET($B194,0,MATCH(3,$C193:$I193,0))</f>
        <v>46057</v>
      </c>
      <c r="F195" s="676">
        <f>OFFSET($B194,0,MATCH(4,$C193:$I193,0))</f>
        <v>46058</v>
      </c>
      <c r="G195" s="676">
        <f>OFFSET($B194,0,MATCH(5,$C193:$I193,0))</f>
        <v>46059</v>
      </c>
      <c r="H195" s="676">
        <f>OFFSET($B194,0,MATCH(6,$C193:$I193,0))</f>
        <v>46060</v>
      </c>
      <c r="I195" s="672" t="str">
        <f>OFFSET($B194,0,MATCH(7,$C193:$I193,0))</f>
        <v>#N/A</v>
      </c>
      <c r="J195" s="505"/>
      <c r="K195" s="581"/>
      <c r="L195" s="582"/>
      <c r="M195" s="582"/>
      <c r="N195" s="582"/>
      <c r="O195" s="582"/>
      <c r="P195" s="582" t="s">
        <v>174</v>
      </c>
      <c r="Q195" s="582"/>
      <c r="R195" s="582"/>
      <c r="S195" s="582"/>
      <c r="T195" s="582"/>
      <c r="U195" s="582"/>
      <c r="V195" s="582"/>
      <c r="W195" s="582"/>
      <c r="X195" s="582"/>
      <c r="Y195" s="670"/>
      <c r="Z195" s="581"/>
      <c r="AA195" s="582"/>
      <c r="AB195" s="582"/>
      <c r="AC195" s="582"/>
      <c r="AD195" s="582"/>
      <c r="AE195" s="582" t="s">
        <v>174</v>
      </c>
      <c r="AF195" s="582"/>
      <c r="AG195" s="582"/>
      <c r="AH195" s="582"/>
      <c r="AI195" s="582"/>
      <c r="AJ195" s="582"/>
      <c r="AK195" s="582"/>
      <c r="AL195" s="582"/>
      <c r="AM195" s="582"/>
      <c r="AN195" s="670"/>
      <c r="AO195" s="581"/>
      <c r="AP195" s="582"/>
      <c r="AQ195" s="582"/>
      <c r="AR195" s="582"/>
      <c r="AS195" s="582"/>
      <c r="AT195" s="582" t="s">
        <v>174</v>
      </c>
      <c r="AU195" s="582"/>
      <c r="AV195" s="582"/>
      <c r="AW195" s="582"/>
      <c r="AX195" s="582"/>
      <c r="AY195" s="582"/>
      <c r="AZ195" s="582"/>
      <c r="BA195" s="582"/>
      <c r="BB195" s="582"/>
      <c r="BC195" s="671"/>
      <c r="BD195" s="581"/>
      <c r="BE195" s="582"/>
      <c r="BF195" s="582"/>
      <c r="BG195" s="582"/>
      <c r="BH195" s="582"/>
      <c r="BI195" s="582" t="s">
        <v>174</v>
      </c>
      <c r="BJ195" s="582"/>
      <c r="BK195" s="582"/>
      <c r="BL195" s="582"/>
      <c r="BM195" s="582"/>
      <c r="BN195" s="582"/>
      <c r="BO195" s="582"/>
      <c r="BP195" s="582"/>
      <c r="BQ195" s="582"/>
      <c r="BR195" s="671"/>
      <c r="BS195" s="581"/>
      <c r="BT195" s="582"/>
      <c r="BU195" s="582"/>
      <c r="BV195" s="582"/>
      <c r="BW195" s="582"/>
      <c r="BX195" s="582" t="s">
        <v>174</v>
      </c>
      <c r="BY195" s="582"/>
      <c r="BZ195" s="582"/>
      <c r="CA195" s="582"/>
      <c r="CB195" s="582"/>
      <c r="CC195" s="582"/>
      <c r="CD195" s="582"/>
      <c r="CE195" s="582"/>
      <c r="CF195" s="582"/>
      <c r="CG195" s="671"/>
      <c r="CH195" s="581"/>
      <c r="CI195" s="582"/>
      <c r="CJ195" s="582"/>
      <c r="CK195" s="582"/>
      <c r="CL195" s="582"/>
      <c r="CM195" s="582" t="s">
        <v>174</v>
      </c>
      <c r="CN195" s="582"/>
      <c r="CO195" s="582"/>
      <c r="CP195" s="582"/>
      <c r="CQ195" s="582"/>
      <c r="CR195" s="582"/>
      <c r="CS195" s="582"/>
      <c r="CT195" s="582"/>
      <c r="CU195" s="582"/>
      <c r="CV195" s="671"/>
      <c r="CW195" s="581"/>
      <c r="CX195" s="582"/>
      <c r="CY195" s="582"/>
      <c r="CZ195" s="582"/>
      <c r="DA195" s="582"/>
      <c r="DB195" s="582" t="s">
        <v>174</v>
      </c>
      <c r="DC195" s="582"/>
      <c r="DD195" s="582"/>
      <c r="DE195" s="582"/>
      <c r="DF195" s="582"/>
      <c r="DG195" s="582"/>
      <c r="DH195" s="582"/>
      <c r="DI195" s="582"/>
      <c r="DJ195" s="582"/>
      <c r="DK195" s="670"/>
    </row>
    <row r="196" ht="14.25" customHeight="1">
      <c r="A196" s="492" t="str">
        <f>"S "&amp;$AD152&amp;" - "&amp;TEXT(C162,"dd/mm")</f>
        <v>S 4 - 02/02</v>
      </c>
      <c r="B196" s="666" t="s">
        <v>267</v>
      </c>
      <c r="C196" s="672">
        <f t="shared" ref="C196:I196" si="124">(C173/60)*C172*C171</f>
        <v>15</v>
      </c>
      <c r="D196" s="672">
        <f t="shared" si="124"/>
        <v>15</v>
      </c>
      <c r="E196" s="672">
        <f t="shared" si="124"/>
        <v>0</v>
      </c>
      <c r="F196" s="672">
        <f t="shared" si="124"/>
        <v>0</v>
      </c>
      <c r="G196" s="672">
        <f t="shared" si="124"/>
        <v>10</v>
      </c>
      <c r="H196" s="672">
        <f t="shared" si="124"/>
        <v>0</v>
      </c>
      <c r="I196" s="672">
        <f t="shared" si="124"/>
        <v>0</v>
      </c>
      <c r="J196" s="505"/>
      <c r="K196" s="498"/>
      <c r="T196" s="677" t="s">
        <v>311</v>
      </c>
      <c r="X196" s="678"/>
      <c r="Y196" s="670"/>
      <c r="Z196" s="498"/>
      <c r="AI196" s="677" t="s">
        <v>311</v>
      </c>
      <c r="AM196" s="678"/>
      <c r="AN196" s="670"/>
      <c r="AO196" s="498"/>
      <c r="AX196" s="677" t="s">
        <v>311</v>
      </c>
      <c r="BB196" s="678"/>
      <c r="BC196" s="670"/>
      <c r="BD196" s="498"/>
      <c r="BM196" s="677" t="s">
        <v>311</v>
      </c>
      <c r="BQ196" s="678"/>
      <c r="BR196" s="670"/>
      <c r="BS196" s="498"/>
      <c r="CB196" s="677" t="s">
        <v>311</v>
      </c>
      <c r="CF196" s="678"/>
      <c r="CG196" s="670"/>
      <c r="CH196" s="498"/>
      <c r="CQ196" s="677" t="s">
        <v>311</v>
      </c>
      <c r="CU196" s="678"/>
      <c r="CV196" s="670"/>
      <c r="CW196" s="498"/>
      <c r="DF196" s="677" t="s">
        <v>311</v>
      </c>
      <c r="DJ196" s="678"/>
      <c r="DK196" s="670"/>
    </row>
    <row r="197" ht="14.25" customHeight="1">
      <c r="A197" s="492" t="str">
        <f>"S "&amp;$AD152&amp;" - "&amp;TEXT(C162,"dd/mm")</f>
        <v>S 4 - 02/02</v>
      </c>
      <c r="B197" s="666" t="s">
        <v>272</v>
      </c>
      <c r="C197" s="672">
        <f t="shared" ref="C197:I197" si="125">(C174/60)*C172*C171</f>
        <v>0</v>
      </c>
      <c r="D197" s="672">
        <f t="shared" si="125"/>
        <v>0</v>
      </c>
      <c r="E197" s="672">
        <f t="shared" si="125"/>
        <v>0</v>
      </c>
      <c r="F197" s="672">
        <f t="shared" si="125"/>
        <v>0</v>
      </c>
      <c r="G197" s="672">
        <f t="shared" si="125"/>
        <v>0</v>
      </c>
      <c r="H197" s="672">
        <f t="shared" si="125"/>
        <v>0</v>
      </c>
      <c r="I197" s="672">
        <f t="shared" si="125"/>
        <v>0</v>
      </c>
      <c r="J197" s="505"/>
      <c r="K197" s="498"/>
      <c r="Y197" s="670"/>
      <c r="Z197" s="498"/>
      <c r="AN197" s="670"/>
      <c r="AO197" s="498"/>
      <c r="BC197" s="670"/>
      <c r="BD197" s="498"/>
      <c r="BR197" s="670"/>
      <c r="BS197" s="498"/>
      <c r="CG197" s="670"/>
      <c r="CH197" s="498"/>
      <c r="CV197" s="670"/>
      <c r="CW197" s="498"/>
      <c r="DK197" s="670"/>
    </row>
    <row r="198" ht="14.25" customHeight="1">
      <c r="A198" s="492" t="str">
        <f>"S "&amp;$AD152&amp;" - "&amp;TEXT(C162,"dd/mm")</f>
        <v>S 4 - 02/02</v>
      </c>
      <c r="B198" s="673"/>
      <c r="C198" s="672"/>
      <c r="D198" s="672"/>
      <c r="E198" s="672"/>
      <c r="F198" s="672"/>
      <c r="G198" s="672"/>
      <c r="H198" s="672"/>
      <c r="I198" s="672"/>
      <c r="J198" s="505"/>
      <c r="K198" s="498"/>
      <c r="Y198" s="670"/>
      <c r="Z198" s="498"/>
      <c r="AN198" s="670"/>
      <c r="AO198" s="498"/>
      <c r="BC198" s="670"/>
      <c r="BD198" s="498"/>
      <c r="BR198" s="670"/>
      <c r="BS198" s="498"/>
      <c r="CG198" s="670"/>
      <c r="CH198" s="498"/>
      <c r="CV198" s="670"/>
      <c r="CW198" s="498"/>
      <c r="DK198" s="670"/>
    </row>
    <row r="199" ht="14.25" customHeight="1">
      <c r="A199" s="492" t="str">
        <f>"S "&amp;$AD152&amp;" - "&amp;TEXT(C162,"dd/mm")</f>
        <v>S 4 - 02/02</v>
      </c>
      <c r="B199" s="537"/>
      <c r="C199" s="498"/>
      <c r="D199" s="498"/>
      <c r="E199" s="498"/>
      <c r="F199" s="498"/>
      <c r="G199" s="498"/>
      <c r="H199" s="498"/>
      <c r="I199" s="498"/>
      <c r="J199" s="505"/>
      <c r="K199" s="498"/>
      <c r="Y199" s="670"/>
      <c r="Z199" s="498"/>
      <c r="AN199" s="670"/>
      <c r="AO199" s="498"/>
      <c r="BC199" s="670"/>
      <c r="BD199" s="498"/>
      <c r="BR199" s="670"/>
      <c r="BS199" s="498"/>
      <c r="CG199" s="670"/>
      <c r="CH199" s="498"/>
      <c r="CV199" s="670"/>
      <c r="CW199" s="498"/>
      <c r="DK199" s="670"/>
    </row>
    <row r="200" ht="14.25" customHeight="1">
      <c r="A200" s="492" t="str">
        <f>"S "&amp;$AD152&amp;" - "&amp;TEXT(C162,"dd/mm")</f>
        <v>S 4 - 02/02</v>
      </c>
      <c r="B200" s="537"/>
      <c r="C200" s="498"/>
      <c r="D200" s="498"/>
      <c r="E200" s="498"/>
      <c r="F200" s="498"/>
      <c r="G200" s="498"/>
      <c r="H200" s="498"/>
      <c r="I200" s="498"/>
      <c r="J200" s="679"/>
      <c r="K200" s="498"/>
      <c r="Y200" s="670"/>
      <c r="Z200" s="498"/>
      <c r="AN200" s="670"/>
      <c r="AO200" s="498"/>
      <c r="BC200" s="670"/>
      <c r="BD200" s="498"/>
      <c r="BR200" s="670"/>
      <c r="BS200" s="498"/>
      <c r="CG200" s="670"/>
      <c r="CH200" s="498"/>
      <c r="CV200" s="670"/>
      <c r="CW200" s="498"/>
      <c r="DK200" s="670"/>
    </row>
    <row r="201" ht="14.25" customHeight="1">
      <c r="A201" s="680" t="str">
        <f>"S "&amp;$F$2&amp;" - "&amp;TEXT($C$12,"dd/mm")</f>
        <v>S 29 - 12/01</v>
      </c>
      <c r="B201" s="681"/>
      <c r="C201" s="682"/>
      <c r="D201" s="681"/>
      <c r="E201" s="681"/>
      <c r="F201" s="682"/>
      <c r="G201" s="681"/>
      <c r="H201" s="681"/>
      <c r="I201" s="681"/>
      <c r="J201" s="683"/>
      <c r="K201" s="681"/>
      <c r="L201" s="681"/>
      <c r="M201" s="681"/>
      <c r="N201" s="681"/>
      <c r="O201" s="681"/>
      <c r="P201" s="681"/>
      <c r="Q201" s="684"/>
      <c r="R201" s="685"/>
      <c r="S201" s="685"/>
      <c r="T201" s="685"/>
      <c r="U201" s="685"/>
      <c r="V201" s="685"/>
      <c r="W201" s="685"/>
      <c r="X201" s="684"/>
      <c r="Y201" s="686"/>
      <c r="Z201" s="686"/>
      <c r="AA201" s="671"/>
      <c r="AB201" s="671"/>
      <c r="AC201" s="671"/>
      <c r="AD201" s="671"/>
      <c r="AE201" s="686"/>
      <c r="AF201" s="671"/>
      <c r="AG201" s="671"/>
      <c r="AH201" s="671"/>
      <c r="AI201" s="671"/>
      <c r="AJ201" s="671"/>
      <c r="AK201" s="671"/>
      <c r="AL201" s="686"/>
      <c r="AM201" s="687"/>
      <c r="AN201" s="686"/>
      <c r="AO201" s="686"/>
      <c r="AP201" s="671"/>
      <c r="AQ201" s="671"/>
      <c r="AR201" s="671"/>
      <c r="AS201" s="671"/>
      <c r="AT201" s="686"/>
      <c r="AU201" s="671"/>
      <c r="AV201" s="671"/>
      <c r="AW201" s="671"/>
      <c r="AX201" s="671"/>
      <c r="AY201" s="671"/>
      <c r="AZ201" s="686"/>
      <c r="BA201" s="686"/>
      <c r="BB201" s="687"/>
      <c r="BC201" s="686"/>
      <c r="BD201" s="686"/>
      <c r="BE201" s="671"/>
      <c r="BF201" s="671"/>
      <c r="BG201" s="671"/>
      <c r="BH201" s="671"/>
      <c r="BI201" s="686"/>
      <c r="BJ201" s="671"/>
      <c r="BK201" s="671"/>
      <c r="BL201" s="671"/>
      <c r="BM201" s="671"/>
      <c r="BN201" s="671"/>
      <c r="BO201" s="686"/>
      <c r="BP201" s="686"/>
      <c r="BQ201" s="687"/>
      <c r="BR201" s="686"/>
      <c r="BS201" s="686"/>
      <c r="BT201" s="671"/>
      <c r="BU201" s="671"/>
      <c r="BV201" s="671"/>
      <c r="BW201" s="671"/>
      <c r="BX201" s="686"/>
      <c r="BY201" s="671"/>
      <c r="BZ201" s="671"/>
      <c r="CA201" s="671"/>
      <c r="CB201" s="671"/>
      <c r="CC201" s="671"/>
      <c r="CD201" s="686"/>
      <c r="CE201" s="686"/>
      <c r="CF201" s="687"/>
      <c r="CG201" s="686"/>
      <c r="CH201" s="686"/>
      <c r="CI201" s="671"/>
      <c r="CJ201" s="671"/>
      <c r="CK201" s="671"/>
      <c r="CL201" s="671"/>
      <c r="CM201" s="686"/>
      <c r="CN201" s="671"/>
      <c r="CO201" s="671"/>
      <c r="CP201" s="671"/>
      <c r="CQ201" s="671"/>
      <c r="CR201" s="671"/>
      <c r="CS201" s="686"/>
      <c r="CT201" s="686"/>
      <c r="CU201" s="687"/>
      <c r="CV201" s="686"/>
      <c r="CW201" s="686"/>
      <c r="CX201" s="671"/>
      <c r="CY201" s="671"/>
      <c r="CZ201" s="671"/>
      <c r="DA201" s="671"/>
      <c r="DB201" s="686"/>
      <c r="DC201" s="671"/>
      <c r="DD201" s="671"/>
      <c r="DE201" s="671"/>
      <c r="DF201" s="671"/>
      <c r="DG201" s="671"/>
      <c r="DH201" s="686"/>
      <c r="DI201" s="686"/>
      <c r="DJ201" s="687"/>
      <c r="DK201" s="686"/>
    </row>
    <row r="202" ht="14.25" customHeight="1">
      <c r="A202" s="492" t="str">
        <f>"S "&amp;$AD202&amp;" - "&amp;TEXT(C212,"dd/mm")</f>
        <v>S 5 - 09/02</v>
      </c>
      <c r="B202" s="493" t="s">
        <v>5</v>
      </c>
      <c r="C202" s="503">
        <f>OFFSET('Periodização Macrociclo'!$D$37,0,MATCH(F202,'Periodização Macrociclo'!$E$5:$BN$5,0))</f>
        <v>9</v>
      </c>
      <c r="D202" s="493" t="s">
        <v>6</v>
      </c>
      <c r="E202" s="168"/>
      <c r="F202" s="504">
        <f>F152+1</f>
        <v>33</v>
      </c>
      <c r="G202" s="493" t="s">
        <v>180</v>
      </c>
      <c r="H202" s="168"/>
      <c r="I202" s="494">
        <f>COUNT(C215:I215)</f>
        <v>0</v>
      </c>
      <c r="J202" s="505"/>
      <c r="K202" s="494" t="str">
        <f>B202</f>
        <v>Meso </v>
      </c>
      <c r="L202" s="168"/>
      <c r="M202" s="506">
        <f t="shared" ref="M202:N202" si="126">C202</f>
        <v>9</v>
      </c>
      <c r="N202" s="493" t="str">
        <f t="shared" si="126"/>
        <v>Micro</v>
      </c>
      <c r="O202" s="168"/>
      <c r="P202" s="168"/>
      <c r="Q202" s="507">
        <f>F202</f>
        <v>33</v>
      </c>
      <c r="R202" s="496" t="s">
        <v>181</v>
      </c>
      <c r="S202" s="168"/>
      <c r="T202" s="168"/>
      <c r="U202" s="168"/>
      <c r="V202" s="168"/>
      <c r="W202" s="168"/>
      <c r="X202" s="508">
        <f>SUM(IF(V210&gt;0,1,0),IF(AK210&gt;0,1,0),IF(AZ210&gt;0,1,0),IF(BO210&gt;0,1,0),IF(CD210&gt;0,1,0),IF(CS210&gt;0,1,0),IF(DH210&gt;0,1,0))</f>
        <v>0</v>
      </c>
      <c r="Y202" s="498"/>
      <c r="Z202" s="498"/>
      <c r="AA202" s="509"/>
      <c r="AB202" s="513" t="s">
        <v>0</v>
      </c>
      <c r="AC202" s="61"/>
      <c r="AD202" s="511">
        <f>AD152+1</f>
        <v>5</v>
      </c>
      <c r="AE202" s="498"/>
      <c r="AF202" s="512" t="s">
        <v>182</v>
      </c>
      <c r="AG202" s="60"/>
      <c r="AH202" s="60"/>
      <c r="AI202" s="60"/>
      <c r="AJ202" s="60"/>
      <c r="AK202" s="61"/>
      <c r="AL202" s="498"/>
      <c r="AM202" s="501"/>
      <c r="AN202" s="498"/>
      <c r="AO202" s="498"/>
      <c r="AP202" s="509"/>
      <c r="AQ202" s="513" t="s">
        <v>0</v>
      </c>
      <c r="AR202" s="61"/>
      <c r="AS202" s="511">
        <f>$AD202</f>
        <v>5</v>
      </c>
      <c r="AT202" s="498"/>
      <c r="AU202" s="512" t="s">
        <v>182</v>
      </c>
      <c r="AV202" s="60"/>
      <c r="AW202" s="60"/>
      <c r="AX202" s="60"/>
      <c r="AY202" s="60"/>
      <c r="AZ202" s="61"/>
      <c r="BA202" s="498"/>
      <c r="BB202" s="501"/>
      <c r="BC202" s="498"/>
      <c r="BD202" s="498"/>
      <c r="BE202" s="509"/>
      <c r="BF202" s="513" t="s">
        <v>0</v>
      </c>
      <c r="BG202" s="61"/>
      <c r="BH202" s="511">
        <f>$AD202</f>
        <v>5</v>
      </c>
      <c r="BI202" s="498"/>
      <c r="BJ202" s="512" t="s">
        <v>182</v>
      </c>
      <c r="BK202" s="60"/>
      <c r="BL202" s="60"/>
      <c r="BM202" s="60"/>
      <c r="BN202" s="60"/>
      <c r="BO202" s="61"/>
      <c r="BP202" s="498"/>
      <c r="BQ202" s="501"/>
      <c r="BR202" s="498"/>
      <c r="BS202" s="498"/>
      <c r="BT202" s="509"/>
      <c r="BU202" s="513" t="s">
        <v>0</v>
      </c>
      <c r="BV202" s="61"/>
      <c r="BW202" s="511">
        <f>$AD202</f>
        <v>5</v>
      </c>
      <c r="BX202" s="498"/>
      <c r="BY202" s="512" t="s">
        <v>182</v>
      </c>
      <c r="BZ202" s="60"/>
      <c r="CA202" s="60"/>
      <c r="CB202" s="60"/>
      <c r="CC202" s="60"/>
      <c r="CD202" s="61"/>
      <c r="CE202" s="498"/>
      <c r="CF202" s="501"/>
      <c r="CG202" s="498"/>
      <c r="CH202" s="498"/>
      <c r="CI202" s="509"/>
      <c r="CJ202" s="513" t="s">
        <v>0</v>
      </c>
      <c r="CK202" s="61"/>
      <c r="CL202" s="511">
        <f>$AD202</f>
        <v>5</v>
      </c>
      <c r="CM202" s="498"/>
      <c r="CN202" s="512" t="s">
        <v>182</v>
      </c>
      <c r="CO202" s="60"/>
      <c r="CP202" s="60"/>
      <c r="CQ202" s="60"/>
      <c r="CR202" s="60"/>
      <c r="CS202" s="61"/>
      <c r="CT202" s="498"/>
      <c r="CU202" s="501"/>
      <c r="CV202" s="498"/>
      <c r="CW202" s="498"/>
      <c r="CX202" s="509"/>
      <c r="CY202" s="513" t="s">
        <v>0</v>
      </c>
      <c r="CZ202" s="61"/>
      <c r="DA202" s="511">
        <f>$AD202</f>
        <v>5</v>
      </c>
      <c r="DB202" s="498"/>
      <c r="DC202" s="512" t="s">
        <v>182</v>
      </c>
      <c r="DD202" s="60"/>
      <c r="DE202" s="60"/>
      <c r="DF202" s="60"/>
      <c r="DG202" s="60"/>
      <c r="DH202" s="61"/>
      <c r="DI202" s="498"/>
      <c r="DJ202" s="501"/>
      <c r="DK202" s="498"/>
    </row>
    <row r="203" ht="14.25" customHeight="1">
      <c r="A203" s="492" t="str">
        <f>"S "&amp;$AD202&amp;" - "&amp;TEXT(C212,"dd/mm")</f>
        <v>S 5 - 09/02</v>
      </c>
      <c r="B203" s="514" t="s">
        <v>183</v>
      </c>
      <c r="J203" s="505"/>
      <c r="K203" s="515" t="s">
        <v>184</v>
      </c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70"/>
      <c r="Y203" s="498"/>
      <c r="Z203" s="498"/>
      <c r="AA203" s="509"/>
      <c r="AB203" s="509"/>
      <c r="AC203" s="509"/>
      <c r="AD203" s="509"/>
      <c r="AE203" s="498"/>
      <c r="AF203" s="516" t="s">
        <v>185</v>
      </c>
      <c r="AG203" s="516">
        <f>$C214</f>
        <v>0</v>
      </c>
      <c r="AH203" s="517" t="s">
        <v>186</v>
      </c>
      <c r="AI203" s="61"/>
      <c r="AJ203" s="517">
        <f>$H214</f>
        <v>0</v>
      </c>
      <c r="AK203" s="61"/>
      <c r="AL203" s="498"/>
      <c r="AM203" s="501"/>
      <c r="AN203" s="498"/>
      <c r="AO203" s="498"/>
      <c r="AP203" s="509"/>
      <c r="AQ203" s="513" t="s">
        <v>187</v>
      </c>
      <c r="AR203" s="61"/>
      <c r="AS203" s="511" t="b">
        <v>1</v>
      </c>
      <c r="AT203" s="498"/>
      <c r="AU203" s="516" t="s">
        <v>185</v>
      </c>
      <c r="AV203" s="516">
        <f>$C214</f>
        <v>0</v>
      </c>
      <c r="AW203" s="517" t="s">
        <v>186</v>
      </c>
      <c r="AX203" s="61"/>
      <c r="AY203" s="517">
        <f>$H214</f>
        <v>0</v>
      </c>
      <c r="AZ203" s="61"/>
      <c r="BA203" s="498"/>
      <c r="BB203" s="501"/>
      <c r="BC203" s="498"/>
      <c r="BD203" s="498"/>
      <c r="BE203" s="509"/>
      <c r="BF203" s="509"/>
      <c r="BG203" s="509"/>
      <c r="BH203" s="509"/>
      <c r="BI203" s="498"/>
      <c r="BJ203" s="516" t="s">
        <v>185</v>
      </c>
      <c r="BK203" s="516">
        <f>$C214</f>
        <v>0</v>
      </c>
      <c r="BL203" s="517" t="s">
        <v>186</v>
      </c>
      <c r="BM203" s="61"/>
      <c r="BN203" s="517">
        <f>$H214</f>
        <v>0</v>
      </c>
      <c r="BO203" s="61"/>
      <c r="BP203" s="498"/>
      <c r="BQ203" s="501"/>
      <c r="BR203" s="498"/>
      <c r="BS203" s="498"/>
      <c r="BT203" s="509"/>
      <c r="BU203" s="509"/>
      <c r="BV203" s="509"/>
      <c r="BW203" s="509"/>
      <c r="BX203" s="498"/>
      <c r="BY203" s="516" t="s">
        <v>185</v>
      </c>
      <c r="BZ203" s="516">
        <f>$C214</f>
        <v>0</v>
      </c>
      <c r="CA203" s="517" t="s">
        <v>186</v>
      </c>
      <c r="CB203" s="61"/>
      <c r="CC203" s="517">
        <f>$H214</f>
        <v>0</v>
      </c>
      <c r="CD203" s="61"/>
      <c r="CE203" s="498"/>
      <c r="CF203" s="501"/>
      <c r="CG203" s="498"/>
      <c r="CH203" s="498"/>
      <c r="CI203" s="509"/>
      <c r="CJ203" s="509"/>
      <c r="CK203" s="509"/>
      <c r="CL203" s="509"/>
      <c r="CM203" s="498"/>
      <c r="CN203" s="516" t="s">
        <v>185</v>
      </c>
      <c r="CO203" s="516">
        <f>$C214</f>
        <v>0</v>
      </c>
      <c r="CP203" s="517" t="s">
        <v>186</v>
      </c>
      <c r="CQ203" s="61"/>
      <c r="CR203" s="517">
        <f>$H214</f>
        <v>0</v>
      </c>
      <c r="CS203" s="61"/>
      <c r="CT203" s="498"/>
      <c r="CU203" s="501"/>
      <c r="CV203" s="498"/>
      <c r="CW203" s="498"/>
      <c r="CX203" s="509"/>
      <c r="CY203" s="509"/>
      <c r="CZ203" s="509"/>
      <c r="DA203" s="509"/>
      <c r="DB203" s="498"/>
      <c r="DC203" s="516" t="s">
        <v>185</v>
      </c>
      <c r="DD203" s="516">
        <f>$C214</f>
        <v>0</v>
      </c>
      <c r="DE203" s="517" t="s">
        <v>186</v>
      </c>
      <c r="DF203" s="61"/>
      <c r="DG203" s="517">
        <f>$H214</f>
        <v>0</v>
      </c>
      <c r="DH203" s="61"/>
      <c r="DI203" s="498"/>
      <c r="DJ203" s="501"/>
      <c r="DK203" s="498"/>
    </row>
    <row r="204" ht="14.25" customHeight="1">
      <c r="A204" s="492" t="str">
        <f>"S "&amp;$AD202&amp;" - "&amp;TEXT(C212,"dd/mm")</f>
        <v>S 5 - 09/02</v>
      </c>
      <c r="B204" s="518" t="s">
        <v>188</v>
      </c>
      <c r="C204" s="519"/>
      <c r="D204" s="520">
        <f>HLOOKUP(F202,'Periodização Macrociclo'!$E$5:$BN$19,15,FALSE)</f>
        <v>0</v>
      </c>
      <c r="E204" s="521" t="s">
        <v>189</v>
      </c>
      <c r="F204" s="522"/>
      <c r="G204" s="519"/>
      <c r="H204" s="523">
        <f>HLOOKUP(F202,'Periodização Macrociclo'!$E$5:$BN$20,16,FALSE)</f>
        <v>0</v>
      </c>
      <c r="I204" s="524">
        <f>MATCH(F202,'Periodização Macrociclo'!$E$5:$BP$5,0)</f>
        <v>41</v>
      </c>
      <c r="J204" s="505"/>
      <c r="K204" s="525" t="s">
        <v>139</v>
      </c>
      <c r="L204" s="240"/>
      <c r="M204" s="526" t="str">
        <f>OFFSET('Periodização Macrociclo'!$D$10,0,$I204)</f>
        <v/>
      </c>
      <c r="N204" s="527" t="s">
        <v>190</v>
      </c>
      <c r="O204" s="528">
        <f>OFFSET('Periodização Macrociclo'!$D$12,0,$I204)</f>
        <v>32</v>
      </c>
      <c r="P204" s="529" t="s">
        <v>143</v>
      </c>
      <c r="Q204" s="530"/>
      <c r="R204" s="531" t="str">
        <f>OFFSET('Periodização Macrociclo'!$D$14,0,$I204)</f>
        <v/>
      </c>
      <c r="S204" s="532" t="s">
        <v>191</v>
      </c>
      <c r="T204" s="239"/>
      <c r="U204" s="239"/>
      <c r="V204" s="239"/>
      <c r="W204" s="240"/>
      <c r="X204" s="533" t="str">
        <f>OFFSET('Periodização Macrociclo'!$D$16,0,$I204)</f>
        <v/>
      </c>
      <c r="Y204" s="498"/>
      <c r="Z204" s="498"/>
      <c r="AA204" s="509"/>
      <c r="AB204" s="509"/>
      <c r="AC204" s="509"/>
      <c r="AD204" s="509"/>
      <c r="AE204" s="498"/>
      <c r="AF204" s="516" t="s">
        <v>192</v>
      </c>
      <c r="AG204" s="516">
        <f>$D214</f>
        <v>0</v>
      </c>
      <c r="AH204" s="517" t="s">
        <v>193</v>
      </c>
      <c r="AI204" s="61"/>
      <c r="AJ204" s="517">
        <f>$I214</f>
        <v>0</v>
      </c>
      <c r="AK204" s="61"/>
      <c r="AL204" s="498"/>
      <c r="AM204" s="501"/>
      <c r="AN204" s="498"/>
      <c r="AO204" s="498"/>
      <c r="AP204" s="509"/>
      <c r="AQ204" s="509"/>
      <c r="AR204" s="509"/>
      <c r="AS204" s="509"/>
      <c r="AT204" s="498"/>
      <c r="AU204" s="516" t="s">
        <v>192</v>
      </c>
      <c r="AV204" s="516">
        <f>$D214</f>
        <v>0</v>
      </c>
      <c r="AW204" s="517" t="s">
        <v>193</v>
      </c>
      <c r="AX204" s="61"/>
      <c r="AY204" s="517">
        <f>$I214</f>
        <v>0</v>
      </c>
      <c r="AZ204" s="61"/>
      <c r="BA204" s="498"/>
      <c r="BB204" s="501"/>
      <c r="BC204" s="498"/>
      <c r="BD204" s="498"/>
      <c r="BE204" s="509"/>
      <c r="BF204" s="509"/>
      <c r="BG204" s="509"/>
      <c r="BH204" s="509"/>
      <c r="BI204" s="498"/>
      <c r="BJ204" s="516" t="s">
        <v>192</v>
      </c>
      <c r="BK204" s="516">
        <f>$D214</f>
        <v>0</v>
      </c>
      <c r="BL204" s="517" t="s">
        <v>193</v>
      </c>
      <c r="BM204" s="61"/>
      <c r="BN204" s="517">
        <f>$I214</f>
        <v>0</v>
      </c>
      <c r="BO204" s="61"/>
      <c r="BP204" s="498"/>
      <c r="BQ204" s="501"/>
      <c r="BR204" s="498"/>
      <c r="BS204" s="498"/>
      <c r="BT204" s="509"/>
      <c r="BU204" s="509"/>
      <c r="BV204" s="509"/>
      <c r="BW204" s="509"/>
      <c r="BX204" s="498"/>
      <c r="BY204" s="516" t="s">
        <v>192</v>
      </c>
      <c r="BZ204" s="516">
        <f>$D214</f>
        <v>0</v>
      </c>
      <c r="CA204" s="517" t="s">
        <v>193</v>
      </c>
      <c r="CB204" s="61"/>
      <c r="CC204" s="517">
        <f>$I214</f>
        <v>0</v>
      </c>
      <c r="CD204" s="61"/>
      <c r="CE204" s="498"/>
      <c r="CF204" s="501"/>
      <c r="CG204" s="498"/>
      <c r="CH204" s="498"/>
      <c r="CI204" s="509"/>
      <c r="CJ204" s="509"/>
      <c r="CK204" s="509"/>
      <c r="CL204" s="509"/>
      <c r="CM204" s="498"/>
      <c r="CN204" s="516" t="s">
        <v>192</v>
      </c>
      <c r="CO204" s="516">
        <f>$D214</f>
        <v>0</v>
      </c>
      <c r="CP204" s="517" t="s">
        <v>193</v>
      </c>
      <c r="CQ204" s="61"/>
      <c r="CR204" s="517">
        <f>$I214</f>
        <v>0</v>
      </c>
      <c r="CS204" s="61"/>
      <c r="CT204" s="498"/>
      <c r="CU204" s="501"/>
      <c r="CV204" s="498"/>
      <c r="CW204" s="498"/>
      <c r="CX204" s="509"/>
      <c r="CY204" s="509"/>
      <c r="CZ204" s="509"/>
      <c r="DA204" s="509"/>
      <c r="DB204" s="498"/>
      <c r="DC204" s="516" t="s">
        <v>192</v>
      </c>
      <c r="DD204" s="516">
        <f>$D214</f>
        <v>0</v>
      </c>
      <c r="DE204" s="517" t="s">
        <v>193</v>
      </c>
      <c r="DF204" s="61"/>
      <c r="DG204" s="517">
        <f>$I214</f>
        <v>0</v>
      </c>
      <c r="DH204" s="61"/>
      <c r="DI204" s="498"/>
      <c r="DJ204" s="501"/>
      <c r="DK204" s="498"/>
    </row>
    <row r="205" ht="14.25" customHeight="1">
      <c r="A205" s="492" t="str">
        <f>"S "&amp;$AD202&amp;" - "&amp;TEXT(C212,"dd/mm")</f>
        <v>S 5 - 09/02</v>
      </c>
      <c r="B205" s="534" t="s">
        <v>194</v>
      </c>
      <c r="C205" s="535" t="s">
        <v>195</v>
      </c>
      <c r="D205" s="535" t="s">
        <v>196</v>
      </c>
      <c r="E205" s="535" t="s">
        <v>197</v>
      </c>
      <c r="F205" s="535" t="s">
        <v>198</v>
      </c>
      <c r="G205" s="535" t="s">
        <v>199</v>
      </c>
      <c r="H205" s="536" t="s">
        <v>200</v>
      </c>
      <c r="I205" s="537"/>
      <c r="J205" s="505"/>
      <c r="K205" s="538" t="s">
        <v>140</v>
      </c>
      <c r="L205" s="61"/>
      <c r="M205" s="539" t="str">
        <f>OFFSET('Periodização Macrociclo'!$D$11,0,$I204)</f>
        <v/>
      </c>
      <c r="N205" s="540" t="s">
        <v>142</v>
      </c>
      <c r="O205" s="541">
        <f>OFFSET('Periodização Macrociclo'!$D$13,0,$I204)</f>
        <v>2</v>
      </c>
      <c r="P205" s="542" t="s">
        <v>15</v>
      </c>
      <c r="Q205" s="543"/>
      <c r="R205" s="544" t="str">
        <f>OFFSET('Periodização Macrociclo'!$D$15,0,$I204)</f>
        <v/>
      </c>
      <c r="S205" s="545" t="s">
        <v>201</v>
      </c>
      <c r="T205" s="60"/>
      <c r="U205" s="60"/>
      <c r="V205" s="60"/>
      <c r="W205" s="61"/>
      <c r="X205" s="533">
        <f>SUM(IF(V210&gt;0,1,0),IF(AK210&gt;0,1,0),IF(AZ210&gt;0,1,0),IF(BO210&gt;0,1,0),IF(CD210&gt;0,1,0),IF(CS210&gt;0,1,0),IF(DH210&gt;0,1,0))</f>
        <v>0</v>
      </c>
      <c r="Y205" s="537"/>
      <c r="Z205" s="498"/>
      <c r="AA205" s="509"/>
      <c r="AB205" s="509"/>
      <c r="AC205" s="509"/>
      <c r="AD205" s="509"/>
      <c r="AE205" s="498"/>
      <c r="AF205" s="516" t="s">
        <v>202</v>
      </c>
      <c r="AG205" s="546">
        <f>$E214</f>
        <v>0</v>
      </c>
      <c r="AH205" s="517" t="s">
        <v>200</v>
      </c>
      <c r="AI205" s="61"/>
      <c r="AJ205" s="547">
        <f>SUM($AG202:$AG206,$AJ202:$AJ203)</f>
        <v>0</v>
      </c>
      <c r="AK205" s="61"/>
      <c r="AL205" s="537"/>
      <c r="AM205" s="548"/>
      <c r="AN205" s="537"/>
      <c r="AO205" s="498"/>
      <c r="AP205" s="509"/>
      <c r="AQ205" s="509"/>
      <c r="AR205" s="509"/>
      <c r="AS205" s="509"/>
      <c r="AT205" s="498"/>
      <c r="AU205" s="516" t="s">
        <v>202</v>
      </c>
      <c r="AV205" s="546">
        <f>$E214</f>
        <v>0</v>
      </c>
      <c r="AW205" s="517" t="s">
        <v>200</v>
      </c>
      <c r="AX205" s="61"/>
      <c r="AY205" s="547">
        <f>SUM($AG202:$AG206,$AJ202:$AJ203)</f>
        <v>0</v>
      </c>
      <c r="AZ205" s="61"/>
      <c r="BA205" s="537"/>
      <c r="BB205" s="548"/>
      <c r="BC205" s="537"/>
      <c r="BD205" s="498"/>
      <c r="BE205" s="509"/>
      <c r="BF205" s="509"/>
      <c r="BG205" s="509"/>
      <c r="BH205" s="509"/>
      <c r="BI205" s="498"/>
      <c r="BJ205" s="516" t="s">
        <v>202</v>
      </c>
      <c r="BK205" s="546">
        <f>$E214</f>
        <v>0</v>
      </c>
      <c r="BL205" s="517" t="s">
        <v>200</v>
      </c>
      <c r="BM205" s="61"/>
      <c r="BN205" s="547">
        <f>SUM($AG202:$AG206,$AJ202:$AJ203)</f>
        <v>0</v>
      </c>
      <c r="BO205" s="61"/>
      <c r="BP205" s="537"/>
      <c r="BQ205" s="548"/>
      <c r="BR205" s="537"/>
      <c r="BS205" s="498"/>
      <c r="BT205" s="509"/>
      <c r="BU205" s="509"/>
      <c r="BV205" s="509"/>
      <c r="BW205" s="509"/>
      <c r="BX205" s="498"/>
      <c r="BY205" s="516" t="s">
        <v>202</v>
      </c>
      <c r="BZ205" s="546">
        <f>$E214</f>
        <v>0</v>
      </c>
      <c r="CA205" s="517" t="s">
        <v>200</v>
      </c>
      <c r="CB205" s="61"/>
      <c r="CC205" s="547">
        <f>SUM($AG202:$AG206,$AJ202:$AJ203)</f>
        <v>0</v>
      </c>
      <c r="CD205" s="61"/>
      <c r="CE205" s="537"/>
      <c r="CF205" s="548"/>
      <c r="CG205" s="537"/>
      <c r="CH205" s="498"/>
      <c r="CI205" s="509"/>
      <c r="CJ205" s="509"/>
      <c r="CK205" s="509"/>
      <c r="CL205" s="509"/>
      <c r="CM205" s="498"/>
      <c r="CN205" s="516" t="s">
        <v>202</v>
      </c>
      <c r="CO205" s="546">
        <f>$E214</f>
        <v>0</v>
      </c>
      <c r="CP205" s="517" t="s">
        <v>200</v>
      </c>
      <c r="CQ205" s="61"/>
      <c r="CR205" s="547">
        <f>SUM($AG202:$AG206,$AJ202:$AJ203)</f>
        <v>0</v>
      </c>
      <c r="CS205" s="61"/>
      <c r="CT205" s="537"/>
      <c r="CU205" s="548"/>
      <c r="CV205" s="537"/>
      <c r="CW205" s="498"/>
      <c r="CX205" s="509"/>
      <c r="CY205" s="509"/>
      <c r="CZ205" s="509"/>
      <c r="DA205" s="509"/>
      <c r="DB205" s="498"/>
      <c r="DC205" s="516" t="s">
        <v>202</v>
      </c>
      <c r="DD205" s="546">
        <f>$E214</f>
        <v>0</v>
      </c>
      <c r="DE205" s="517" t="s">
        <v>200</v>
      </c>
      <c r="DF205" s="61"/>
      <c r="DG205" s="547">
        <f>SUM($AG202:$AG206,$AJ202:$AJ203)</f>
        <v>0</v>
      </c>
      <c r="DH205" s="61"/>
      <c r="DI205" s="537"/>
      <c r="DJ205" s="548"/>
      <c r="DK205" s="537"/>
    </row>
    <row r="206" ht="14.25" customHeight="1">
      <c r="A206" s="492" t="str">
        <f>"S "&amp;$AD202&amp;" - "&amp;TEXT(C212,"dd/mm")</f>
        <v>S 5 - 09/02</v>
      </c>
      <c r="B206" s="549" t="s">
        <v>203</v>
      </c>
      <c r="C206" s="550">
        <f>OFFSET('Periodização Macrociclo'!$D$21,0,$I204)</f>
        <v>25</v>
      </c>
      <c r="D206" s="550">
        <f>OFFSET('Periodização Macrociclo'!$D$22,0,$I204)</f>
        <v>40</v>
      </c>
      <c r="E206" s="550">
        <f>OFFSET('Periodização Macrociclo'!$D$23,0,$I204)</f>
        <v>20</v>
      </c>
      <c r="F206" s="550">
        <f>OFFSET('Periodização Macrociclo'!$D$24,0,$I204)</f>
        <v>10</v>
      </c>
      <c r="G206" s="550">
        <f>OFFSET('Periodização Macrociclo'!$D$25,0,$I204)</f>
        <v>5</v>
      </c>
      <c r="H206" s="551">
        <f>SUM(C206:G206)</f>
        <v>100</v>
      </c>
      <c r="I206" s="498"/>
      <c r="J206" s="505"/>
      <c r="K206" s="552" t="s">
        <v>151</v>
      </c>
      <c r="L206" s="553"/>
      <c r="M206" s="554" t="str">
        <f>OFFSET('Periodização Macrociclo'!$D$18,0,$I204)</f>
        <v/>
      </c>
      <c r="N206" s="472"/>
      <c r="O206" s="553"/>
      <c r="P206" s="555" t="s">
        <v>170</v>
      </c>
      <c r="Q206" s="556"/>
      <c r="R206" s="557" t="str">
        <f>OFFSET('Periodização Macrociclo'!$D$7,0,$I204)</f>
        <v>ORD</v>
      </c>
      <c r="S206" s="558" t="s">
        <v>150</v>
      </c>
      <c r="T206" s="472"/>
      <c r="U206" s="472"/>
      <c r="V206" s="472"/>
      <c r="W206" s="553"/>
      <c r="X206" s="559" t="str">
        <f>OFFSET('Periodização Macrociclo'!$D$17,0,$I204)</f>
        <v/>
      </c>
      <c r="Y206" s="498"/>
      <c r="Z206" s="498"/>
      <c r="AA206" s="509"/>
      <c r="AB206" s="509"/>
      <c r="AC206" s="509"/>
      <c r="AD206" s="509"/>
      <c r="AE206" s="537"/>
      <c r="AF206" s="560" t="s">
        <v>204</v>
      </c>
      <c r="AG206" s="560">
        <f>$F214</f>
        <v>0</v>
      </c>
      <c r="AH206" s="537"/>
      <c r="AL206" s="498"/>
      <c r="AM206" s="501"/>
      <c r="AN206" s="498"/>
      <c r="AO206" s="498"/>
      <c r="AP206" s="509"/>
      <c r="AQ206" s="509"/>
      <c r="AR206" s="509"/>
      <c r="AS206" s="509"/>
      <c r="AT206" s="537"/>
      <c r="AU206" s="560" t="s">
        <v>204</v>
      </c>
      <c r="AV206" s="560">
        <f>$F214</f>
        <v>0</v>
      </c>
      <c r="AW206" s="537"/>
      <c r="BA206" s="498"/>
      <c r="BB206" s="501"/>
      <c r="BC206" s="498"/>
      <c r="BD206" s="498"/>
      <c r="BE206" s="509"/>
      <c r="BF206" s="509"/>
      <c r="BG206" s="509"/>
      <c r="BH206" s="509"/>
      <c r="BI206" s="537"/>
      <c r="BJ206" s="560" t="s">
        <v>204</v>
      </c>
      <c r="BK206" s="560">
        <f>$F214</f>
        <v>0</v>
      </c>
      <c r="BL206" s="537"/>
      <c r="BP206" s="498"/>
      <c r="BQ206" s="501"/>
      <c r="BR206" s="498"/>
      <c r="BS206" s="498"/>
      <c r="BT206" s="509"/>
      <c r="BU206" s="509"/>
      <c r="BV206" s="509"/>
      <c r="BW206" s="509"/>
      <c r="BX206" s="537"/>
      <c r="BY206" s="560" t="s">
        <v>204</v>
      </c>
      <c r="BZ206" s="560">
        <f>$F214</f>
        <v>0</v>
      </c>
      <c r="CA206" s="537"/>
      <c r="CE206" s="498"/>
      <c r="CF206" s="501"/>
      <c r="CG206" s="498"/>
      <c r="CH206" s="498"/>
      <c r="CI206" s="509"/>
      <c r="CJ206" s="509"/>
      <c r="CK206" s="509"/>
      <c r="CL206" s="509"/>
      <c r="CM206" s="537"/>
      <c r="CN206" s="560" t="s">
        <v>204</v>
      </c>
      <c r="CO206" s="560">
        <f>$F214</f>
        <v>0</v>
      </c>
      <c r="CP206" s="537"/>
      <c r="CT206" s="498"/>
      <c r="CU206" s="501"/>
      <c r="CV206" s="498"/>
      <c r="CW206" s="498"/>
      <c r="CX206" s="509"/>
      <c r="CY206" s="509"/>
      <c r="CZ206" s="509"/>
      <c r="DA206" s="509"/>
      <c r="DB206" s="537"/>
      <c r="DC206" s="560" t="s">
        <v>204</v>
      </c>
      <c r="DD206" s="560">
        <f>$F214</f>
        <v>0</v>
      </c>
      <c r="DE206" s="537"/>
      <c r="DI206" s="498"/>
      <c r="DJ206" s="501"/>
      <c r="DK206" s="498"/>
    </row>
    <row r="207" ht="14.25" customHeight="1">
      <c r="A207" s="492" t="str">
        <f>"S "&amp;$AD202&amp;" - "&amp;TEXT(C212,"dd/mm")</f>
        <v>S 5 - 09/02</v>
      </c>
      <c r="B207" s="561" t="s">
        <v>205</v>
      </c>
      <c r="C207" s="562">
        <f>D204*(C206/100)</f>
        <v>0</v>
      </c>
      <c r="D207" s="562">
        <f>D204*(D206/100)</f>
        <v>0</v>
      </c>
      <c r="E207" s="562">
        <f>D204*(E206/100)</f>
        <v>0</v>
      </c>
      <c r="F207" s="550">
        <f>D204*(F206/200)</f>
        <v>0</v>
      </c>
      <c r="G207" s="699">
        <f>D204*(G206/200)</f>
        <v>0</v>
      </c>
      <c r="H207" s="563">
        <f t="shared" ref="H207:H209" si="127">SUM(C207:E207,F207*2,G207*2)</f>
        <v>0</v>
      </c>
      <c r="I207" s="498"/>
      <c r="J207" s="505"/>
      <c r="K207" s="498"/>
      <c r="L207" s="498"/>
      <c r="M207" s="498"/>
      <c r="N207" s="498"/>
      <c r="O207" s="499"/>
      <c r="P207" s="499"/>
      <c r="Q207" s="499"/>
      <c r="R207" s="498"/>
      <c r="S207" s="498"/>
      <c r="T207" s="499"/>
      <c r="U207" s="499"/>
      <c r="V207" s="499"/>
      <c r="W207" s="498"/>
      <c r="X207" s="501"/>
      <c r="Y207" s="498"/>
      <c r="Z207" s="498"/>
      <c r="AA207" s="509"/>
      <c r="AB207" s="509"/>
      <c r="AC207" s="509"/>
      <c r="AD207" s="509"/>
      <c r="AE207" s="498"/>
      <c r="AF207" s="706" t="s">
        <v>206</v>
      </c>
      <c r="AG207" s="707">
        <f>$G214</f>
        <v>0</v>
      </c>
      <c r="AL207" s="498"/>
      <c r="AM207" s="501"/>
      <c r="AN207" s="498"/>
      <c r="AO207" s="498"/>
      <c r="AP207" s="509"/>
      <c r="AQ207" s="509"/>
      <c r="AR207" s="509"/>
      <c r="AS207" s="509"/>
      <c r="AT207" s="498"/>
      <c r="AU207" s="706" t="s">
        <v>206</v>
      </c>
      <c r="AV207" s="707">
        <f>$G214</f>
        <v>0</v>
      </c>
      <c r="BA207" s="498"/>
      <c r="BB207" s="501"/>
      <c r="BC207" s="498"/>
      <c r="BD207" s="498"/>
      <c r="BE207" s="509"/>
      <c r="BF207" s="509"/>
      <c r="BG207" s="509"/>
      <c r="BH207" s="509"/>
      <c r="BI207" s="498"/>
      <c r="BJ207" s="706" t="s">
        <v>206</v>
      </c>
      <c r="BK207" s="707">
        <f>$G214</f>
        <v>0</v>
      </c>
      <c r="BP207" s="498"/>
      <c r="BQ207" s="501"/>
      <c r="BR207" s="498"/>
      <c r="BS207" s="498"/>
      <c r="BT207" s="509"/>
      <c r="BU207" s="509"/>
      <c r="BV207" s="509"/>
      <c r="BW207" s="509"/>
      <c r="BX207" s="498"/>
      <c r="BY207" s="706" t="s">
        <v>206</v>
      </c>
      <c r="BZ207" s="707">
        <f>$G214</f>
        <v>0</v>
      </c>
      <c r="CE207" s="498"/>
      <c r="CF207" s="501"/>
      <c r="CG207" s="498"/>
      <c r="CH207" s="498"/>
      <c r="CI207" s="509"/>
      <c r="CJ207" s="509"/>
      <c r="CK207" s="509"/>
      <c r="CL207" s="509"/>
      <c r="CM207" s="498"/>
      <c r="CN207" s="706" t="s">
        <v>206</v>
      </c>
      <c r="CO207" s="707">
        <f>$G214</f>
        <v>0</v>
      </c>
      <c r="CT207" s="498"/>
      <c r="CU207" s="501"/>
      <c r="CV207" s="498"/>
      <c r="CW207" s="498"/>
      <c r="CX207" s="509"/>
      <c r="CY207" s="509"/>
      <c r="CZ207" s="509"/>
      <c r="DA207" s="509"/>
      <c r="DB207" s="498"/>
      <c r="DC207" s="706" t="s">
        <v>206</v>
      </c>
      <c r="DD207" s="707">
        <f>$G214</f>
        <v>0</v>
      </c>
      <c r="DI207" s="498"/>
      <c r="DJ207" s="501"/>
      <c r="DK207" s="498"/>
    </row>
    <row r="208" ht="14.25" customHeight="1">
      <c r="A208" s="492" t="str">
        <f>"S "&amp;$AD202&amp;" - "&amp;TEXT(C212,"dd/mm")</f>
        <v>S 5 - 09/02</v>
      </c>
      <c r="B208" s="564" t="s">
        <v>207</v>
      </c>
      <c r="C208" s="565">
        <f>SUMIFS(C246:I246,C227:I227,"&lt;=0,6")+SUMIFS(C247:I247,C225:I225,"&lt;=0,6")+SUMIFS(C215:I215,C227:I227,"&lt;=0,6",C246:I246,0)</f>
        <v>0</v>
      </c>
      <c r="D208" s="565">
        <f>SUMIFS(C246:I246,C227:I227,"&gt;0,6",C227:I227,"&lt;=0,8")+SUMIFS(C247:I247,C225:I225,"&gt;0,6",C225:I225,"&lt;=0,8")+SUMIFS(C215:I215,C227:I227,"&gt;0,6",C227:I227,"&lt;=0,8",C246:I246,0)</f>
        <v>0</v>
      </c>
      <c r="E208" s="565">
        <f>SUMIFS(C246:I246,C227:I227,"&gt;0,8",C227:I227,"&lt;=0,9")+SUMIFS(C247:I247,C225:I225,"&gt;0,8",C225:I225,"&lt;=0,9")+SUMIFS(C215:I215,C227:I227,"&gt;0,8",C227:I227,"&lt;=0,9",C246:I246,0)</f>
        <v>0</v>
      </c>
      <c r="F208" s="565">
        <f>SUMIFS(C246:I246,C227:I227,"&gt;0,9",C227:I227,"&lt;=1")+SUMIFS(C247:I247,C225:I225,"&gt;0,9",C225:I225,"&lt;=1")+SUMIFS(C215:I215,C227:I227,"&gt;0,9",C227:I227,"&lt;=1",C246:I246,0)</f>
        <v>0</v>
      </c>
      <c r="G208" s="565">
        <f>SUMIFS(C246:I246,C227:I227,"&gt;1")+SUMIFS(C247:I247,C225:I225,"&gt;1")+SUMIFS(C215:I215,C227:I227,"&gt;1",C246:I246,0)</f>
        <v>0</v>
      </c>
      <c r="H208" s="563">
        <f t="shared" si="127"/>
        <v>0</v>
      </c>
      <c r="I208" s="498"/>
      <c r="J208" s="505"/>
      <c r="K208" s="708">
        <f>C212</f>
        <v>46062</v>
      </c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567"/>
      <c r="Z208" s="709">
        <f>K208+1</f>
        <v>46063</v>
      </c>
      <c r="AA208" s="155"/>
      <c r="AB208" s="155"/>
      <c r="AC208" s="155"/>
      <c r="AD208" s="155"/>
      <c r="AE208" s="155"/>
      <c r="AF208" s="155"/>
      <c r="AG208" s="155"/>
      <c r="AH208" s="155"/>
      <c r="AI208" s="155"/>
      <c r="AJ208" s="155"/>
      <c r="AK208" s="155"/>
      <c r="AL208" s="155"/>
      <c r="AM208" s="155"/>
      <c r="AN208" s="567"/>
      <c r="AO208" s="709">
        <f>Z208+1</f>
        <v>46064</v>
      </c>
      <c r="AP208" s="155"/>
      <c r="AQ208" s="155"/>
      <c r="AR208" s="155"/>
      <c r="AS208" s="155"/>
      <c r="AT208" s="155"/>
      <c r="AU208" s="155"/>
      <c r="AV208" s="155"/>
      <c r="AW208" s="155"/>
      <c r="AX208" s="155"/>
      <c r="AY208" s="155"/>
      <c r="AZ208" s="155"/>
      <c r="BA208" s="155"/>
      <c r="BB208" s="155"/>
      <c r="BC208" s="567"/>
      <c r="BD208" s="709">
        <f>AO208+1</f>
        <v>46065</v>
      </c>
      <c r="BE208" s="155"/>
      <c r="BF208" s="155"/>
      <c r="BG208" s="155"/>
      <c r="BH208" s="155"/>
      <c r="BI208" s="155"/>
      <c r="BJ208" s="155"/>
      <c r="BK208" s="155"/>
      <c r="BL208" s="155"/>
      <c r="BM208" s="155"/>
      <c r="BN208" s="155"/>
      <c r="BO208" s="155"/>
      <c r="BP208" s="155"/>
      <c r="BQ208" s="155"/>
      <c r="BR208" s="567"/>
      <c r="BS208" s="709">
        <f>BD208+1</f>
        <v>46066</v>
      </c>
      <c r="BT208" s="155"/>
      <c r="BU208" s="155"/>
      <c r="BV208" s="155"/>
      <c r="BW208" s="155"/>
      <c r="BX208" s="155"/>
      <c r="BY208" s="155"/>
      <c r="BZ208" s="155"/>
      <c r="CA208" s="155"/>
      <c r="CB208" s="155"/>
      <c r="CC208" s="155"/>
      <c r="CD208" s="155"/>
      <c r="CE208" s="155"/>
      <c r="CF208" s="155"/>
      <c r="CG208" s="567"/>
      <c r="CH208" s="709">
        <f>BS208+1</f>
        <v>46067</v>
      </c>
      <c r="CI208" s="155"/>
      <c r="CJ208" s="155"/>
      <c r="CK208" s="155"/>
      <c r="CL208" s="155"/>
      <c r="CM208" s="155"/>
      <c r="CN208" s="155"/>
      <c r="CO208" s="155"/>
      <c r="CP208" s="155"/>
      <c r="CQ208" s="155"/>
      <c r="CR208" s="155"/>
      <c r="CS208" s="155"/>
      <c r="CT208" s="155"/>
      <c r="CU208" s="155"/>
      <c r="CV208" s="567"/>
      <c r="CW208" s="709">
        <f>CH208+1</f>
        <v>46068</v>
      </c>
      <c r="CX208" s="155"/>
      <c r="CY208" s="155"/>
      <c r="CZ208" s="155"/>
      <c r="DA208" s="155"/>
      <c r="DB208" s="155"/>
      <c r="DC208" s="155"/>
      <c r="DD208" s="155"/>
      <c r="DE208" s="155"/>
      <c r="DF208" s="155"/>
      <c r="DG208" s="155"/>
      <c r="DH208" s="155"/>
      <c r="DI208" s="155"/>
      <c r="DJ208" s="155"/>
      <c r="DK208" s="567"/>
    </row>
    <row r="209" ht="14.25" customHeight="1">
      <c r="A209" s="492" t="str">
        <f>"S "&amp;$AD202&amp;" - "&amp;TEXT(C212,"dd/mm")</f>
        <v>S 5 - 09/02</v>
      </c>
      <c r="B209" s="534" t="s">
        <v>208</v>
      </c>
      <c r="C209" s="528">
        <f t="shared" ref="C209:G209" si="128">C207-C208</f>
        <v>0</v>
      </c>
      <c r="D209" s="528">
        <f t="shared" si="128"/>
        <v>0</v>
      </c>
      <c r="E209" s="528">
        <f t="shared" si="128"/>
        <v>0</v>
      </c>
      <c r="F209" s="528">
        <f t="shared" si="128"/>
        <v>0</v>
      </c>
      <c r="G209" s="528">
        <f t="shared" si="128"/>
        <v>0</v>
      </c>
      <c r="H209" s="563">
        <f t="shared" si="127"/>
        <v>0</v>
      </c>
      <c r="I209" s="498"/>
      <c r="J209" s="505"/>
      <c r="K209" s="710" t="s">
        <v>209</v>
      </c>
      <c r="Y209" s="570"/>
      <c r="Z209" s="711" t="s">
        <v>210</v>
      </c>
      <c r="AN209" s="570"/>
      <c r="AO209" s="711" t="s">
        <v>211</v>
      </c>
      <c r="BC209" s="570"/>
      <c r="BD209" s="711" t="s">
        <v>212</v>
      </c>
      <c r="BR209" s="570"/>
      <c r="BS209" s="711" t="s">
        <v>213</v>
      </c>
      <c r="CG209" s="570"/>
      <c r="CH209" s="711" t="s">
        <v>214</v>
      </c>
      <c r="CV209" s="570"/>
      <c r="CW209" s="711" t="s">
        <v>215</v>
      </c>
      <c r="DK209" s="570"/>
    </row>
    <row r="210" ht="14.25" customHeight="1">
      <c r="A210" s="492" t="str">
        <f>"S "&amp;$AD202&amp;" - "&amp;TEXT(C212,"dd/mm")</f>
        <v>S 5 - 09/02</v>
      </c>
      <c r="B210" s="572" t="s">
        <v>216</v>
      </c>
      <c r="C210" s="573"/>
      <c r="D210" s="472"/>
      <c r="E210" s="553"/>
      <c r="F210" s="554"/>
      <c r="G210" s="472"/>
      <c r="H210" s="574"/>
      <c r="I210" s="498"/>
      <c r="J210" s="505"/>
      <c r="K210" s="575" t="s">
        <v>217</v>
      </c>
      <c r="N210" s="576">
        <f>C214</f>
        <v>0</v>
      </c>
      <c r="O210" s="577" t="s">
        <v>218</v>
      </c>
      <c r="Q210" s="575" t="str">
        <f>C215</f>
        <v/>
      </c>
      <c r="S210" s="577" t="s">
        <v>219</v>
      </c>
      <c r="V210" s="578">
        <f>ROUNDUP((SUMPRODUCT(S216:S219,(U216:U219+V216:V219),R216:R219)+SUMPRODUCT(T216:T219,R216:R219)+SUMPRODUCT(S221:S240,(U221:U240+V221:V240),R221:R240)+SUMPRODUCT(T221:T240,R221:R240)+SUMPRODUCT(S242:S244,(U242:U244+V242:V244),R242:R244)+SUMPRODUCT(T242:T244,R242:R244))/60,0)</f>
        <v>0</v>
      </c>
      <c r="Y210" s="579"/>
      <c r="Z210" s="580" t="s">
        <v>217</v>
      </c>
      <c r="AC210" s="576">
        <f>D214</f>
        <v>0</v>
      </c>
      <c r="AD210" s="577" t="s">
        <v>218</v>
      </c>
      <c r="AF210" s="575" t="str">
        <f>D215</f>
        <v/>
      </c>
      <c r="AH210" s="577" t="s">
        <v>219</v>
      </c>
      <c r="AK210" s="578">
        <f>ROUNDUP((SUMPRODUCT(AH216:AH219,(AJ216:AJ219+AK216:AK219),AG216:AG219)+SUMPRODUCT(AI216:AI219,AG216:AG219)+SUMPRODUCT(AH221:AH240,(AJ221:AJ240+AK221:AK240),AG221:AG240)+SUMPRODUCT(AI221:AI240,AG221:AG240)+SUMPRODUCT(AH242:AH244,(AJ242:AJ244+AK242:AK244),AG242:AG244)+SUMPRODUCT(AI242:AI244,AG242:AG244))/60,0)</f>
        <v>0</v>
      </c>
      <c r="AN210" s="579"/>
      <c r="AO210" s="580" t="s">
        <v>217</v>
      </c>
      <c r="AR210" s="576">
        <f>E214</f>
        <v>0</v>
      </c>
      <c r="AS210" s="577" t="s">
        <v>218</v>
      </c>
      <c r="AU210" s="575" t="str">
        <f>E215</f>
        <v/>
      </c>
      <c r="AW210" s="577" t="s">
        <v>219</v>
      </c>
      <c r="AZ210" s="578">
        <f>ROUNDUP((SUMPRODUCT(AW216:AW219,(AY216:AY219+AZ216:AZ219),AV216:AV219)+SUMPRODUCT(AX216:AX219,AV216:AV219)+SUMPRODUCT(AW221:AW240,(AY221:AY240+AZ221:AZ240),AV221:AV240)+SUMPRODUCT(AX221:AX240,AV221:AV240)+SUMPRODUCT(AW242:AW244,(AY242:AY244+AZ242:AZ244),AV242:AV244)+SUMPRODUCT(AX242:AX244,AV242:AV244))/60,0)</f>
        <v>0</v>
      </c>
      <c r="BC210" s="579"/>
      <c r="BD210" s="580" t="s">
        <v>217</v>
      </c>
      <c r="BG210" s="576">
        <f>F214</f>
        <v>0</v>
      </c>
      <c r="BH210" s="577" t="s">
        <v>218</v>
      </c>
      <c r="BJ210" s="575" t="str">
        <f>F215</f>
        <v/>
      </c>
      <c r="BL210" s="577" t="s">
        <v>219</v>
      </c>
      <c r="BO210" s="578">
        <f>ROUNDUP((SUMPRODUCT(BL216:BL219,(BN216:BN219+BO216:BO219),BK216:BK219)+SUMPRODUCT(BM216:BM219,BK216:BK219)+SUMPRODUCT(BL221:BL240,(BN221:BN240+BO221:BO240),BK221:BK240)+SUMPRODUCT(BM221:BM240,BK221:BK240)+SUMPRODUCT(BL242:BL244,(BN242:BN244+BO242:BO244),BK242:BK244)+SUMPRODUCT(BM242:BM244,BK242:BK244))/60,0)</f>
        <v>0</v>
      </c>
      <c r="BR210" s="579"/>
      <c r="BS210" s="580" t="s">
        <v>217</v>
      </c>
      <c r="BV210" s="576">
        <f>G214</f>
        <v>0</v>
      </c>
      <c r="BW210" s="577" t="s">
        <v>218</v>
      </c>
      <c r="BY210" s="575" t="str">
        <f>G215</f>
        <v/>
      </c>
      <c r="CA210" s="577" t="s">
        <v>219</v>
      </c>
      <c r="CD210" s="578">
        <f>ROUNDUP((SUMPRODUCT(CA216:CA219,(CC216:CC219+CD216:CD219),BZ216:BZ219)+SUMPRODUCT(CB216:CB219,BZ216:BZ219)+SUMPRODUCT(CA221:CA240,(CC221:CC240+CD221:CD240),BZ221:BZ240)+SUMPRODUCT(CB221:CB240,BZ221:BZ240)+SUMPRODUCT(CA242:CA244,(CC242:CC244+CD242:CD244),BZ242:BZ244)+SUMPRODUCT(CB242:CB244,BZ242:BZ244))/60,0)</f>
        <v>0</v>
      </c>
      <c r="CG210" s="579"/>
      <c r="CH210" s="580" t="s">
        <v>217</v>
      </c>
      <c r="CK210" s="576">
        <f>H214</f>
        <v>0</v>
      </c>
      <c r="CL210" s="577" t="s">
        <v>218</v>
      </c>
      <c r="CN210" s="575" t="str">
        <f>H215</f>
        <v/>
      </c>
      <c r="CP210" s="577" t="s">
        <v>219</v>
      </c>
      <c r="CS210" s="578">
        <f>ROUNDUP((SUMPRODUCT(CP216:CP219,(CR216:CR219+CS216:CS219),CO216:CO219)+SUMPRODUCT(CQ216:CQ219,CO216:CO219)+SUMPRODUCT(CP221:CP240,(CR221:CR240+CS221:CS240),CO221:CO240)+SUMPRODUCT(CQ221:CQ240,CO221:CO240)+SUMPRODUCT(CP242:CP244,(CR242:CR244+CS242:CS244),CO242:CO244)+SUMPRODUCT(CQ242:CQ244,CO242:CO244))/60,0)</f>
        <v>0</v>
      </c>
      <c r="CV210" s="579"/>
      <c r="CW210" s="580" t="s">
        <v>217</v>
      </c>
      <c r="CZ210" s="576">
        <f>I214</f>
        <v>0</v>
      </c>
      <c r="DA210" s="577" t="s">
        <v>218</v>
      </c>
      <c r="DC210" s="575" t="str">
        <f>I215</f>
        <v/>
      </c>
      <c r="DE210" s="577" t="s">
        <v>219</v>
      </c>
      <c r="DH210" s="578">
        <f>ROUNDUP((SUMPRODUCT(DE216:DE219,(DG216:DG219+DH216:DH219),DD216:DD219)+SUMPRODUCT(DF216:DF219,DD216:DD219)+SUMPRODUCT(DE221:DE240,(DG221:DG240+DH221:DH240),DD221:DD240)+SUMPRODUCT(DF221:DF240,DD221:DD240)+SUMPRODUCT(DE242:DE244,(DG242:DG244+DH242:DH244),DD242:DD244)+SUMPRODUCT(DF242:DF244,DD242:DD244))/60,0)</f>
        <v>0</v>
      </c>
      <c r="DK210" s="579"/>
    </row>
    <row r="211" ht="14.25" customHeight="1">
      <c r="A211" s="492" t="str">
        <f>"S "&amp;$AD202&amp;" - "&amp;TEXT(C212,"dd/mm")</f>
        <v>S 5 - 09/02</v>
      </c>
      <c r="B211" s="498"/>
      <c r="C211" s="498"/>
      <c r="D211" s="498"/>
      <c r="E211" s="498"/>
      <c r="F211" s="498"/>
      <c r="G211" s="498"/>
      <c r="H211" s="498"/>
      <c r="I211" s="498"/>
      <c r="J211" s="505"/>
      <c r="K211" s="700"/>
      <c r="L211" s="9"/>
      <c r="M211" s="9"/>
      <c r="N211" s="9"/>
      <c r="O211" s="9"/>
      <c r="P211" s="701" t="str">
        <f>IF($R$156="","Atualizar Macrociclo","Orientações Gerais")</f>
        <v>Orientações Gerais</v>
      </c>
      <c r="Q211" s="702"/>
      <c r="R211" s="9"/>
      <c r="S211" s="9"/>
      <c r="T211" s="9"/>
      <c r="U211" s="9"/>
      <c r="V211" s="9"/>
      <c r="W211" s="9"/>
      <c r="X211" s="9"/>
      <c r="Y211" s="632"/>
      <c r="Z211" s="702"/>
      <c r="AA211" s="9"/>
      <c r="AB211" s="9"/>
      <c r="AC211" s="9"/>
      <c r="AD211" s="9"/>
      <c r="AE211" s="701" t="str">
        <f>IF($R$156="","Atualizar Macrociclo","Orientações Gerais")</f>
        <v>Orientações Gerais</v>
      </c>
      <c r="AF211" s="702"/>
      <c r="AG211" s="9"/>
      <c r="AH211" s="9"/>
      <c r="AI211" s="9"/>
      <c r="AJ211" s="9"/>
      <c r="AK211" s="9"/>
      <c r="AL211" s="9"/>
      <c r="AM211" s="9"/>
      <c r="AN211" s="632"/>
      <c r="AO211" s="702"/>
      <c r="AP211" s="9"/>
      <c r="AQ211" s="9"/>
      <c r="AR211" s="9"/>
      <c r="AS211" s="9"/>
      <c r="AT211" s="701" t="str">
        <f>IF($R$156="","Atualizar Macrociclo","Orientações Gerais")</f>
        <v>Orientações Gerais</v>
      </c>
      <c r="AU211" s="702"/>
      <c r="AV211" s="9"/>
      <c r="AW211" s="9"/>
      <c r="AX211" s="9"/>
      <c r="AY211" s="9"/>
      <c r="AZ211" s="9"/>
      <c r="BA211" s="9"/>
      <c r="BB211" s="9"/>
      <c r="BC211" s="9"/>
      <c r="BD211" s="702"/>
      <c r="BE211" s="9"/>
      <c r="BF211" s="9"/>
      <c r="BG211" s="9"/>
      <c r="BH211" s="9"/>
      <c r="BI211" s="701" t="str">
        <f>IF($R$156="","Atualizar Macrociclo","Orientações Gerais")</f>
        <v>Orientações Gerais</v>
      </c>
      <c r="BJ211" s="702"/>
      <c r="BK211" s="9"/>
      <c r="BL211" s="9"/>
      <c r="BM211" s="9"/>
      <c r="BN211" s="9"/>
      <c r="BO211" s="9"/>
      <c r="BP211" s="9"/>
      <c r="BQ211" s="9"/>
      <c r="BR211" s="9"/>
      <c r="BS211" s="702"/>
      <c r="BT211" s="9"/>
      <c r="BU211" s="9"/>
      <c r="BV211" s="9"/>
      <c r="BW211" s="9"/>
      <c r="BX211" s="701" t="str">
        <f>IF($R$156="","Atualizar Macrociclo","Orientações Gerais")</f>
        <v>Orientações Gerais</v>
      </c>
      <c r="BY211" s="702"/>
      <c r="BZ211" s="9"/>
      <c r="CA211" s="9"/>
      <c r="CB211" s="9"/>
      <c r="CC211" s="9"/>
      <c r="CD211" s="9"/>
      <c r="CE211" s="9"/>
      <c r="CF211" s="9"/>
      <c r="CG211" s="9"/>
      <c r="CH211" s="702"/>
      <c r="CI211" s="9"/>
      <c r="CJ211" s="9"/>
      <c r="CK211" s="9"/>
      <c r="CL211" s="9"/>
      <c r="CM211" s="701" t="str">
        <f>IF($R$156="","Atualizar Macrociclo","Orientações Gerais")</f>
        <v>Orientações Gerais</v>
      </c>
      <c r="CN211" s="702"/>
      <c r="CO211" s="9"/>
      <c r="CP211" s="9"/>
      <c r="CQ211" s="9"/>
      <c r="CR211" s="9"/>
      <c r="CS211" s="9"/>
      <c r="CT211" s="9"/>
      <c r="CU211" s="9"/>
      <c r="CV211" s="9"/>
      <c r="CW211" s="702"/>
      <c r="CX211" s="9"/>
      <c r="CY211" s="9"/>
      <c r="CZ211" s="9"/>
      <c r="DA211" s="9"/>
      <c r="DB211" s="701" t="str">
        <f>IF($R$156="","Atualizar Macrociclo","Orientações Gerais")</f>
        <v>Orientações Gerais</v>
      </c>
      <c r="DC211" s="702"/>
      <c r="DD211" s="9"/>
      <c r="DE211" s="9"/>
      <c r="DF211" s="9"/>
      <c r="DG211" s="9"/>
      <c r="DH211" s="9"/>
      <c r="DI211" s="9"/>
      <c r="DJ211" s="9"/>
      <c r="DK211" s="632"/>
    </row>
    <row r="212" ht="14.25" customHeight="1">
      <c r="A212" s="492" t="str">
        <f>"S "&amp;$AD202&amp;" - "&amp;TEXT(C212,"dd/mm")</f>
        <v>S 5 - 09/02</v>
      </c>
      <c r="B212" s="537"/>
      <c r="C212" s="584">
        <f>HLOOKUP(F202,'Periodização Macrociclo'!$E$5:$BN$6,2,FALSE)</f>
        <v>46062</v>
      </c>
      <c r="D212" s="584">
        <f t="shared" ref="D212:I212" si="129">C212+1</f>
        <v>46063</v>
      </c>
      <c r="E212" s="584">
        <f t="shared" si="129"/>
        <v>46064</v>
      </c>
      <c r="F212" s="584">
        <f t="shared" si="129"/>
        <v>46065</v>
      </c>
      <c r="G212" s="584">
        <f t="shared" si="129"/>
        <v>46066</v>
      </c>
      <c r="H212" s="584">
        <f t="shared" si="129"/>
        <v>46067</v>
      </c>
      <c r="I212" s="585">
        <f t="shared" si="129"/>
        <v>46068</v>
      </c>
      <c r="J212" s="505"/>
      <c r="K212" s="586"/>
      <c r="Y212" s="587"/>
      <c r="Z212" s="586"/>
      <c r="AN212" s="587"/>
      <c r="AO212" s="586"/>
      <c r="BC212" s="587"/>
      <c r="BD212" s="586"/>
      <c r="BR212" s="587"/>
      <c r="BS212" s="586"/>
      <c r="CG212" s="587"/>
      <c r="CH212" s="586"/>
      <c r="CV212" s="587"/>
      <c r="CW212" s="586"/>
      <c r="DK212" s="588"/>
    </row>
    <row r="213" ht="14.25" customHeight="1">
      <c r="A213" s="492" t="str">
        <f>"S "&amp;$AD202&amp;" - "&amp;TEXT(C212,"dd/mm")</f>
        <v>S 5 - 09/02</v>
      </c>
      <c r="B213" s="537"/>
      <c r="C213" s="589" t="s">
        <v>220</v>
      </c>
      <c r="D213" s="589" t="s">
        <v>221</v>
      </c>
      <c r="E213" s="589" t="s">
        <v>222</v>
      </c>
      <c r="F213" s="589" t="s">
        <v>223</v>
      </c>
      <c r="G213" s="589" t="s">
        <v>224</v>
      </c>
      <c r="H213" s="589" t="s">
        <v>214</v>
      </c>
      <c r="I213" s="590" t="s">
        <v>215</v>
      </c>
      <c r="J213" s="505"/>
      <c r="K213" s="591"/>
      <c r="Y213" s="587"/>
      <c r="Z213" s="591"/>
      <c r="AN213" s="587"/>
      <c r="AO213" s="591"/>
      <c r="BC213" s="587"/>
      <c r="BD213" s="591"/>
      <c r="BR213" s="587"/>
      <c r="BS213" s="591"/>
      <c r="CG213" s="587"/>
      <c r="CH213" s="591"/>
      <c r="CV213" s="587"/>
      <c r="CW213" s="591"/>
      <c r="DK213" s="588"/>
    </row>
    <row r="214" ht="14.25" customHeight="1">
      <c r="A214" s="492" t="str">
        <f>"S "&amp;$AD202&amp;" - "&amp;TEXT(C212,"dd/mm")</f>
        <v>S 5 - 09/02</v>
      </c>
      <c r="B214" s="592" t="s">
        <v>217</v>
      </c>
      <c r="C214" s="541">
        <f>V210+C215+IF(V210+C215&gt;0,+10,0)</f>
        <v>0</v>
      </c>
      <c r="D214" s="541">
        <f>AK210+D215+IF(AK210+D215&gt;0,+10,0)</f>
        <v>0</v>
      </c>
      <c r="E214" s="541">
        <f>AZ210+E215+IF(AZ210+E215&gt;0,+10,0)</f>
        <v>0</v>
      </c>
      <c r="F214" s="541">
        <f>BO210+F215+IF(BO210+F215&gt;0,+10,0)</f>
        <v>0</v>
      </c>
      <c r="G214" s="541">
        <f>CD210+G215+IF(CD210+G215&gt;0,+10,0)</f>
        <v>0</v>
      </c>
      <c r="H214" s="541">
        <f>CS210+H215+IF(CS210+H215&gt;0,+10,0)</f>
        <v>0</v>
      </c>
      <c r="I214" s="593">
        <f>DH210+I215+IF(DH210+I215&gt;0,+10,0)</f>
        <v>0</v>
      </c>
      <c r="J214" s="505"/>
      <c r="K214" s="594" t="s">
        <v>225</v>
      </c>
      <c r="L214" s="595" t="s">
        <v>31</v>
      </c>
      <c r="Q214" s="596" t="s">
        <v>32</v>
      </c>
      <c r="R214" s="597" t="s">
        <v>226</v>
      </c>
      <c r="S214" s="597" t="s">
        <v>227</v>
      </c>
      <c r="T214" s="597" t="s">
        <v>35</v>
      </c>
      <c r="U214" s="597" t="s">
        <v>36</v>
      </c>
      <c r="V214" s="598" t="s">
        <v>37</v>
      </c>
      <c r="W214" s="598" t="s">
        <v>228</v>
      </c>
      <c r="X214" s="598" t="s">
        <v>229</v>
      </c>
      <c r="Y214" s="588"/>
      <c r="Z214" s="594" t="s">
        <v>225</v>
      </c>
      <c r="AA214" s="595" t="s">
        <v>31</v>
      </c>
      <c r="AF214" s="596" t="s">
        <v>32</v>
      </c>
      <c r="AG214" s="597" t="s">
        <v>226</v>
      </c>
      <c r="AH214" s="597" t="s">
        <v>227</v>
      </c>
      <c r="AI214" s="597" t="s">
        <v>35</v>
      </c>
      <c r="AJ214" s="597" t="s">
        <v>36</v>
      </c>
      <c r="AK214" s="598" t="s">
        <v>37</v>
      </c>
      <c r="AL214" s="598" t="s">
        <v>228</v>
      </c>
      <c r="AM214" s="598" t="s">
        <v>229</v>
      </c>
      <c r="AN214" s="588"/>
      <c r="AO214" s="594" t="s">
        <v>225</v>
      </c>
      <c r="AP214" s="595" t="s">
        <v>31</v>
      </c>
      <c r="AU214" s="596" t="s">
        <v>32</v>
      </c>
      <c r="AV214" s="597" t="s">
        <v>226</v>
      </c>
      <c r="AW214" s="597" t="s">
        <v>227</v>
      </c>
      <c r="AX214" s="597" t="s">
        <v>35</v>
      </c>
      <c r="AY214" s="597" t="s">
        <v>36</v>
      </c>
      <c r="AZ214" s="598" t="s">
        <v>37</v>
      </c>
      <c r="BA214" s="598" t="s">
        <v>228</v>
      </c>
      <c r="BB214" s="598" t="s">
        <v>229</v>
      </c>
      <c r="BC214" s="588"/>
      <c r="BD214" s="594" t="s">
        <v>225</v>
      </c>
      <c r="BE214" s="595" t="s">
        <v>31</v>
      </c>
      <c r="BJ214" s="596" t="s">
        <v>32</v>
      </c>
      <c r="BK214" s="597" t="s">
        <v>226</v>
      </c>
      <c r="BL214" s="597" t="s">
        <v>227</v>
      </c>
      <c r="BM214" s="597" t="s">
        <v>35</v>
      </c>
      <c r="BN214" s="597" t="s">
        <v>36</v>
      </c>
      <c r="BO214" s="598" t="s">
        <v>37</v>
      </c>
      <c r="BP214" s="598" t="s">
        <v>228</v>
      </c>
      <c r="BQ214" s="598" t="s">
        <v>229</v>
      </c>
      <c r="BR214" s="588"/>
      <c r="BS214" s="594" t="s">
        <v>225</v>
      </c>
      <c r="BT214" s="595" t="s">
        <v>31</v>
      </c>
      <c r="BY214" s="596" t="s">
        <v>32</v>
      </c>
      <c r="BZ214" s="597" t="s">
        <v>226</v>
      </c>
      <c r="CA214" s="597" t="s">
        <v>227</v>
      </c>
      <c r="CB214" s="597" t="s">
        <v>35</v>
      </c>
      <c r="CC214" s="597" t="s">
        <v>36</v>
      </c>
      <c r="CD214" s="598" t="s">
        <v>37</v>
      </c>
      <c r="CE214" s="598" t="s">
        <v>228</v>
      </c>
      <c r="CF214" s="598" t="s">
        <v>229</v>
      </c>
      <c r="CG214" s="588"/>
      <c r="CH214" s="594" t="s">
        <v>225</v>
      </c>
      <c r="CI214" s="595" t="s">
        <v>31</v>
      </c>
      <c r="CN214" s="596" t="s">
        <v>32</v>
      </c>
      <c r="CO214" s="597" t="s">
        <v>226</v>
      </c>
      <c r="CP214" s="597" t="s">
        <v>227</v>
      </c>
      <c r="CQ214" s="597" t="s">
        <v>35</v>
      </c>
      <c r="CR214" s="597" t="s">
        <v>36</v>
      </c>
      <c r="CS214" s="598" t="s">
        <v>37</v>
      </c>
      <c r="CT214" s="598" t="s">
        <v>228</v>
      </c>
      <c r="CU214" s="598" t="s">
        <v>229</v>
      </c>
      <c r="CV214" s="588"/>
      <c r="CW214" s="594" t="s">
        <v>225</v>
      </c>
      <c r="CX214" s="595" t="s">
        <v>31</v>
      </c>
      <c r="DC214" s="596" t="s">
        <v>32</v>
      </c>
      <c r="DD214" s="597" t="s">
        <v>226</v>
      </c>
      <c r="DE214" s="597" t="s">
        <v>227</v>
      </c>
      <c r="DF214" s="597" t="s">
        <v>35</v>
      </c>
      <c r="DG214" s="597" t="s">
        <v>36</v>
      </c>
      <c r="DH214" s="598" t="s">
        <v>37</v>
      </c>
      <c r="DI214" s="598" t="s">
        <v>228</v>
      </c>
      <c r="DJ214" s="598" t="s">
        <v>229</v>
      </c>
      <c r="DK214" s="588"/>
    </row>
    <row r="215" ht="14.25" customHeight="1">
      <c r="A215" s="492" t="str">
        <f>"S "&amp;$AD202&amp;" - "&amp;TEXT(C212,"dd/mm")</f>
        <v>S 5 - 09/02</v>
      </c>
      <c r="B215" s="592" t="s">
        <v>230</v>
      </c>
      <c r="C215" s="600"/>
      <c r="D215" s="602"/>
      <c r="E215" s="600"/>
      <c r="F215" s="602"/>
      <c r="G215" s="600"/>
      <c r="H215" s="600"/>
      <c r="I215" s="602"/>
      <c r="J215" s="505"/>
      <c r="K215" s="581"/>
      <c r="L215" s="603"/>
      <c r="M215" s="603"/>
      <c r="N215" s="603"/>
      <c r="O215" s="603"/>
      <c r="P215" s="603" t="s">
        <v>29</v>
      </c>
      <c r="Q215" s="581"/>
      <c r="R215" s="603"/>
      <c r="S215" s="603"/>
      <c r="T215" s="603"/>
      <c r="U215" s="603"/>
      <c r="V215" s="603"/>
      <c r="W215" s="603"/>
      <c r="X215" s="603"/>
      <c r="Y215" s="604"/>
      <c r="Z215" s="581"/>
      <c r="AA215" s="603"/>
      <c r="AB215" s="603"/>
      <c r="AC215" s="603"/>
      <c r="AD215" s="603"/>
      <c r="AE215" s="603" t="s">
        <v>29</v>
      </c>
      <c r="AF215" s="581"/>
      <c r="AG215" s="603"/>
      <c r="AH215" s="603"/>
      <c r="AI215" s="603"/>
      <c r="AJ215" s="603"/>
      <c r="AK215" s="603"/>
      <c r="AL215" s="603"/>
      <c r="AM215" s="603"/>
      <c r="AN215" s="604"/>
      <c r="AO215" s="581"/>
      <c r="AP215" s="603"/>
      <c r="AQ215" s="603"/>
      <c r="AR215" s="603"/>
      <c r="AS215" s="603"/>
      <c r="AT215" s="603" t="s">
        <v>29</v>
      </c>
      <c r="AU215" s="581"/>
      <c r="AV215" s="603"/>
      <c r="AW215" s="603"/>
      <c r="AX215" s="603"/>
      <c r="AY215" s="603"/>
      <c r="AZ215" s="603"/>
      <c r="BA215" s="603"/>
      <c r="BB215" s="603"/>
      <c r="BC215" s="605"/>
      <c r="BD215" s="581"/>
      <c r="BE215" s="603"/>
      <c r="BF215" s="603"/>
      <c r="BG215" s="603"/>
      <c r="BH215" s="603"/>
      <c r="BI215" s="603" t="s">
        <v>29</v>
      </c>
      <c r="BJ215" s="581"/>
      <c r="BK215" s="603"/>
      <c r="BL215" s="603"/>
      <c r="BM215" s="603"/>
      <c r="BN215" s="603"/>
      <c r="BO215" s="603"/>
      <c r="BP215" s="603"/>
      <c r="BQ215" s="603"/>
      <c r="BR215" s="605"/>
      <c r="BS215" s="581"/>
      <c r="BT215" s="603"/>
      <c r="BU215" s="603"/>
      <c r="BV215" s="603"/>
      <c r="BW215" s="603"/>
      <c r="BX215" s="603" t="s">
        <v>29</v>
      </c>
      <c r="BY215" s="581"/>
      <c r="BZ215" s="603"/>
      <c r="CA215" s="603"/>
      <c r="CB215" s="603"/>
      <c r="CC215" s="603"/>
      <c r="CD215" s="603"/>
      <c r="CE215" s="603"/>
      <c r="CF215" s="603"/>
      <c r="CG215" s="605"/>
      <c r="CH215" s="581"/>
      <c r="CI215" s="603"/>
      <c r="CJ215" s="603"/>
      <c r="CK215" s="603"/>
      <c r="CL215" s="603"/>
      <c r="CM215" s="603" t="s">
        <v>29</v>
      </c>
      <c r="CN215" s="581"/>
      <c r="CO215" s="603"/>
      <c r="CP215" s="603"/>
      <c r="CQ215" s="603"/>
      <c r="CR215" s="603"/>
      <c r="CS215" s="603"/>
      <c r="CT215" s="603"/>
      <c r="CU215" s="603"/>
      <c r="CV215" s="605"/>
      <c r="CW215" s="581"/>
      <c r="CX215" s="603"/>
      <c r="CY215" s="603"/>
      <c r="CZ215" s="603"/>
      <c r="DA215" s="603"/>
      <c r="DB215" s="603" t="s">
        <v>29</v>
      </c>
      <c r="DC215" s="581"/>
      <c r="DD215" s="603"/>
      <c r="DE215" s="603"/>
      <c r="DF215" s="603"/>
      <c r="DG215" s="603"/>
      <c r="DH215" s="603"/>
      <c r="DI215" s="603"/>
      <c r="DJ215" s="603"/>
      <c r="DK215" s="604"/>
    </row>
    <row r="216" ht="14.25" customHeight="1">
      <c r="A216" s="492" t="str">
        <f>"S "&amp;$AD202&amp;" - "&amp;TEXT(C212,"dd/mm")</f>
        <v>S 5 - 09/02</v>
      </c>
      <c r="B216" s="592" t="s">
        <v>231</v>
      </c>
      <c r="C216" s="600"/>
      <c r="D216" s="712"/>
      <c r="E216" s="600"/>
      <c r="F216" s="712"/>
      <c r="G216" s="600"/>
      <c r="H216" s="600"/>
      <c r="I216" s="607"/>
      <c r="J216" s="505"/>
      <c r="K216" s="608">
        <v>1.0</v>
      </c>
      <c r="L216" s="619"/>
      <c r="Q216" s="620"/>
      <c r="R216" s="618"/>
      <c r="S216" s="618"/>
      <c r="T216" s="618"/>
      <c r="U216" s="618"/>
      <c r="V216" s="618"/>
      <c r="W216" s="617" t="str">
        <f>IF(L216="","",OFFSET(Biblioteca!$G$2,MATCH(L216,Biblioteca!$A$3:$A$200,0),)*(1.05^(10-S216)))</f>
        <v/>
      </c>
      <c r="X216" s="618"/>
      <c r="Y216" s="579"/>
      <c r="Z216" s="608">
        <v>1.0</v>
      </c>
      <c r="AA216" s="619"/>
      <c r="AF216" s="620"/>
      <c r="AG216" s="618"/>
      <c r="AH216" s="618"/>
      <c r="AI216" s="618"/>
      <c r="AJ216" s="618"/>
      <c r="AK216" s="618"/>
      <c r="AL216" s="617" t="str">
        <f>IF(AA216="","",OFFSET(Biblioteca!$G$2,MATCH(AA216,Biblioteca!$A$3:$A$200,0),)*(1.05^(10-AH216)))</f>
        <v/>
      </c>
      <c r="AM216" s="618"/>
      <c r="AN216" s="579"/>
      <c r="AO216" s="608">
        <v>1.0</v>
      </c>
      <c r="AP216" s="619"/>
      <c r="AU216" s="620"/>
      <c r="AV216" s="618"/>
      <c r="AW216" s="618"/>
      <c r="AX216" s="618"/>
      <c r="AY216" s="618"/>
      <c r="AZ216" s="618"/>
      <c r="BA216" s="617" t="str">
        <f>IF(AP216="","",OFFSET(Biblioteca!$G$2,MATCH(AP216,Biblioteca!$A$3:$A$200,0),)*(1.05^(10-AW216)))</f>
        <v/>
      </c>
      <c r="BB216" s="618"/>
      <c r="BC216" s="579"/>
      <c r="BD216" s="608">
        <v>1.0</v>
      </c>
      <c r="BE216" s="619"/>
      <c r="BJ216" s="620"/>
      <c r="BK216" s="618"/>
      <c r="BL216" s="618"/>
      <c r="BM216" s="618"/>
      <c r="BN216" s="618"/>
      <c r="BO216" s="618"/>
      <c r="BP216" s="617" t="str">
        <f>IF(BE216="","",OFFSET(Biblioteca!$G$2,MATCH(BE216,Biblioteca!$A$3:$A$200,0),)*(1.05^(10-BL216)))</f>
        <v/>
      </c>
      <c r="BQ216" s="618"/>
      <c r="BR216" s="579"/>
      <c r="BS216" s="608">
        <v>1.0</v>
      </c>
      <c r="BT216" s="619"/>
      <c r="BY216" s="620"/>
      <c r="BZ216" s="618"/>
      <c r="CA216" s="618"/>
      <c r="CB216" s="618"/>
      <c r="CC216" s="618"/>
      <c r="CD216" s="618"/>
      <c r="CE216" s="617" t="str">
        <f>IF(BT216="","",OFFSET(Biblioteca!$G$2,MATCH(BT216,Biblioteca!$A$3:$A$200,0),)*(1.05^(10-CA216)))</f>
        <v/>
      </c>
      <c r="CF216" s="618"/>
      <c r="CG216" s="579"/>
      <c r="CH216" s="608">
        <v>1.0</v>
      </c>
      <c r="CI216" s="619"/>
      <c r="CN216" s="620"/>
      <c r="CO216" s="618"/>
      <c r="CP216" s="618"/>
      <c r="CQ216" s="618"/>
      <c r="CR216" s="618"/>
      <c r="CS216" s="618"/>
      <c r="CT216" s="617" t="str">
        <f>IF(CI216="","",OFFSET(Biblioteca!$G$2,MATCH(CI216,Biblioteca!$A$3:$A$200,0),)*(1.05^(10-CP216)))</f>
        <v/>
      </c>
      <c r="CU216" s="618"/>
      <c r="CV216" s="579"/>
      <c r="CW216" s="608">
        <v>1.0</v>
      </c>
      <c r="CX216" s="619"/>
      <c r="DC216" s="620"/>
      <c r="DD216" s="618"/>
      <c r="DE216" s="618"/>
      <c r="DF216" s="618"/>
      <c r="DG216" s="618"/>
      <c r="DH216" s="618"/>
      <c r="DI216" s="617" t="str">
        <f>IF(CX216="","",OFFSET(Biblioteca!$G$2,MATCH(CX216,Biblioteca!$A$3:$A$200,0),)*(1.05^(10-DE216)))</f>
        <v/>
      </c>
      <c r="DJ216" s="618"/>
      <c r="DK216" s="579"/>
    </row>
    <row r="217" ht="14.25" customHeight="1">
      <c r="A217" s="492" t="str">
        <f>"S "&amp;$AD202&amp;" - "&amp;TEXT(C212,"dd/mm")</f>
        <v>S 5 - 09/02</v>
      </c>
      <c r="B217" s="592" t="s">
        <v>15</v>
      </c>
      <c r="C217" s="600"/>
      <c r="D217" s="600"/>
      <c r="E217" s="600"/>
      <c r="F217" s="600"/>
      <c r="G217" s="600"/>
      <c r="H217" s="600"/>
      <c r="I217" s="600"/>
      <c r="J217" s="505"/>
      <c r="K217" s="608">
        <f t="shared" ref="K217:K219" si="130">IF(T216="",K216,K216+1)</f>
        <v>1</v>
      </c>
      <c r="L217" s="619"/>
      <c r="Q217" s="620"/>
      <c r="R217" s="618"/>
      <c r="S217" s="618"/>
      <c r="T217" s="618"/>
      <c r="U217" s="618"/>
      <c r="V217" s="618"/>
      <c r="W217" s="617" t="str">
        <f>IF(L217="","",OFFSET(Biblioteca!$G$2,MATCH(L217,Biblioteca!$A$3:$A$200,0),)*(1.05^(10-S217)))</f>
        <v/>
      </c>
      <c r="X217" s="618"/>
      <c r="Y217" s="579"/>
      <c r="Z217" s="608">
        <f t="shared" ref="Z217:Z219" si="131">IF(AI216="",Z216,Z216+1)</f>
        <v>1</v>
      </c>
      <c r="AA217" s="619"/>
      <c r="AF217" s="620"/>
      <c r="AG217" s="618"/>
      <c r="AH217" s="618"/>
      <c r="AI217" s="618"/>
      <c r="AJ217" s="618"/>
      <c r="AK217" s="618"/>
      <c r="AL217" s="617" t="str">
        <f>IF(AA217="","",OFFSET(Biblioteca!$G$2,MATCH(AA217,Biblioteca!$A$3:$A$200,0),)*(1.05^(10-AH217)))</f>
        <v/>
      </c>
      <c r="AM217" s="618"/>
      <c r="AN217" s="579"/>
      <c r="AO217" s="608">
        <f t="shared" ref="AO217:AO219" si="132">IF(AX216="",AO216,AO216+1)</f>
        <v>1</v>
      </c>
      <c r="AP217" s="619"/>
      <c r="AU217" s="620"/>
      <c r="AV217" s="618"/>
      <c r="AW217" s="618"/>
      <c r="AX217" s="618"/>
      <c r="AY217" s="618"/>
      <c r="AZ217" s="618"/>
      <c r="BA217" s="617" t="str">
        <f>IF(AP217="","",OFFSET(Biblioteca!$G$2,MATCH(AP217,Biblioteca!$A$3:$A$200,0),)*(1.05^(10-AW217)))</f>
        <v/>
      </c>
      <c r="BB217" s="618"/>
      <c r="BC217" s="579"/>
      <c r="BD217" s="608">
        <f t="shared" ref="BD217:BD219" si="133">IF(BM216="",BD216,BD216+1)</f>
        <v>1</v>
      </c>
      <c r="BE217" s="619"/>
      <c r="BJ217" s="620"/>
      <c r="BK217" s="618"/>
      <c r="BL217" s="618"/>
      <c r="BM217" s="618"/>
      <c r="BN217" s="618"/>
      <c r="BO217" s="618"/>
      <c r="BP217" s="617" t="str">
        <f>IF(BE217="","",OFFSET(Biblioteca!$G$2,MATCH(BE217,Biblioteca!$A$3:$A$200,0),)*(1.05^(10-BL217)))</f>
        <v/>
      </c>
      <c r="BQ217" s="618"/>
      <c r="BR217" s="579"/>
      <c r="BS217" s="608">
        <f t="shared" ref="BS217:BS219" si="134">IF(CB216="",BS216,BS216+1)</f>
        <v>1</v>
      </c>
      <c r="BT217" s="619"/>
      <c r="BY217" s="620"/>
      <c r="BZ217" s="618"/>
      <c r="CA217" s="618"/>
      <c r="CB217" s="618"/>
      <c r="CC217" s="618"/>
      <c r="CD217" s="618"/>
      <c r="CE217" s="617" t="str">
        <f>IF(BT217="","",OFFSET(Biblioteca!$G$2,MATCH(BT217,Biblioteca!$A$3:$A$200,0),)*(1.05^(10-CA217)))</f>
        <v/>
      </c>
      <c r="CF217" s="618"/>
      <c r="CG217" s="579"/>
      <c r="CH217" s="608">
        <f t="shared" ref="CH217:CH219" si="135">IF(CQ216="",CH216,CH216+1)</f>
        <v>1</v>
      </c>
      <c r="CI217" s="619"/>
      <c r="CN217" s="620"/>
      <c r="CO217" s="618"/>
      <c r="CP217" s="618"/>
      <c r="CQ217" s="618"/>
      <c r="CR217" s="618"/>
      <c r="CS217" s="618"/>
      <c r="CT217" s="617" t="str">
        <f>IF(CI217="","",OFFSET(Biblioteca!$G$2,MATCH(CI217,Biblioteca!$A$3:$A$200,0),)*(1.05^(10-CP217)))</f>
        <v/>
      </c>
      <c r="CU217" s="618"/>
      <c r="CV217" s="579"/>
      <c r="CW217" s="608">
        <f t="shared" ref="CW217:CW219" si="136">IF(DF216="",CW216,CW216+1)</f>
        <v>1</v>
      </c>
      <c r="CX217" s="619"/>
      <c r="DC217" s="620"/>
      <c r="DD217" s="618"/>
      <c r="DE217" s="618"/>
      <c r="DF217" s="618"/>
      <c r="DG217" s="618"/>
      <c r="DH217" s="618"/>
      <c r="DI217" s="617" t="str">
        <f>IF(CX217="","",OFFSET(Biblioteca!$G$2,MATCH(CX217,Biblioteca!$A$3:$A$200,0),)*(1.05^(10-DE217)))</f>
        <v/>
      </c>
      <c r="DJ217" s="618"/>
      <c r="DK217" s="579"/>
    </row>
    <row r="218" ht="14.25" customHeight="1">
      <c r="A218" s="492" t="str">
        <f>"S "&amp;$AD202&amp;" - "&amp;TEXT(C212,"dd/mm")</f>
        <v>S 5 - 09/02</v>
      </c>
      <c r="B218" s="592" t="s">
        <v>248</v>
      </c>
      <c r="C218" s="622"/>
      <c r="D218" s="622"/>
      <c r="E218" s="622"/>
      <c r="F218" s="624"/>
      <c r="G218" s="622"/>
      <c r="H218" s="622"/>
      <c r="I218" s="624"/>
      <c r="J218" s="505"/>
      <c r="K218" s="608">
        <f t="shared" si="130"/>
        <v>1</v>
      </c>
      <c r="L218" s="619"/>
      <c r="Q218" s="620"/>
      <c r="R218" s="618"/>
      <c r="S218" s="618"/>
      <c r="T218" s="618"/>
      <c r="U218" s="618"/>
      <c r="V218" s="618"/>
      <c r="W218" s="617" t="str">
        <f>IF(L218="","",OFFSET(Biblioteca!$G$2,MATCH(L218,Biblioteca!$A$3:$A$200,0),)*(1.05^(10-S218)))</f>
        <v/>
      </c>
      <c r="X218" s="618"/>
      <c r="Y218" s="588"/>
      <c r="Z218" s="608">
        <f t="shared" si="131"/>
        <v>1</v>
      </c>
      <c r="AA218" s="619"/>
      <c r="AF218" s="620"/>
      <c r="AG218" s="618"/>
      <c r="AH218" s="618"/>
      <c r="AI218" s="618"/>
      <c r="AJ218" s="618"/>
      <c r="AK218" s="618"/>
      <c r="AL218" s="617" t="str">
        <f>IF(AA218="","",OFFSET(Biblioteca!$G$2,MATCH(AA218,Biblioteca!$A$3:$A$200,0),)*(1.05^(10-AH218)))</f>
        <v/>
      </c>
      <c r="AM218" s="618"/>
      <c r="AN218" s="588"/>
      <c r="AO218" s="608">
        <f t="shared" si="132"/>
        <v>1</v>
      </c>
      <c r="AP218" s="619"/>
      <c r="AU218" s="620"/>
      <c r="AV218" s="618"/>
      <c r="AW218" s="618"/>
      <c r="AX218" s="618"/>
      <c r="AY218" s="618"/>
      <c r="AZ218" s="618"/>
      <c r="BA218" s="617" t="str">
        <f>IF(AP218="","",OFFSET(Biblioteca!$G$2,MATCH(AP218,Biblioteca!$A$3:$A$200,0),)*(1.05^(10-AW218)))</f>
        <v/>
      </c>
      <c r="BB218" s="618"/>
      <c r="BC218" s="588"/>
      <c r="BD218" s="608">
        <f t="shared" si="133"/>
        <v>1</v>
      </c>
      <c r="BE218" s="619"/>
      <c r="BJ218" s="620"/>
      <c r="BK218" s="618"/>
      <c r="BL218" s="618"/>
      <c r="BM218" s="618"/>
      <c r="BN218" s="618"/>
      <c r="BO218" s="618"/>
      <c r="BP218" s="617" t="str">
        <f>IF(BE218="","",OFFSET(Biblioteca!$G$2,MATCH(BE218,Biblioteca!$A$3:$A$200,0),)*(1.05^(10-BL218)))</f>
        <v/>
      </c>
      <c r="BQ218" s="618"/>
      <c r="BR218" s="588"/>
      <c r="BS218" s="608">
        <f t="shared" si="134"/>
        <v>1</v>
      </c>
      <c r="BT218" s="619"/>
      <c r="BY218" s="620"/>
      <c r="BZ218" s="618"/>
      <c r="CA218" s="618"/>
      <c r="CB218" s="618"/>
      <c r="CC218" s="618"/>
      <c r="CD218" s="618"/>
      <c r="CE218" s="617" t="str">
        <f>IF(BT218="","",OFFSET(Biblioteca!$G$2,MATCH(BT218,Biblioteca!$A$3:$A$200,0),)*(1.05^(10-CA218)))</f>
        <v/>
      </c>
      <c r="CF218" s="618"/>
      <c r="CG218" s="588"/>
      <c r="CH218" s="608">
        <f t="shared" si="135"/>
        <v>1</v>
      </c>
      <c r="CI218" s="619"/>
      <c r="CN218" s="620"/>
      <c r="CO218" s="618"/>
      <c r="CP218" s="618"/>
      <c r="CQ218" s="618"/>
      <c r="CR218" s="618"/>
      <c r="CS218" s="618"/>
      <c r="CT218" s="617" t="str">
        <f>IF(CI218="","",OFFSET(Biblioteca!$G$2,MATCH(CI218,Biblioteca!$A$3:$A$200,0),)*(1.05^(10-CP218)))</f>
        <v/>
      </c>
      <c r="CU218" s="618"/>
      <c r="CV218" s="588"/>
      <c r="CW218" s="608">
        <f t="shared" si="136"/>
        <v>1</v>
      </c>
      <c r="CX218" s="619"/>
      <c r="DC218" s="620"/>
      <c r="DD218" s="618"/>
      <c r="DE218" s="618"/>
      <c r="DF218" s="618"/>
      <c r="DG218" s="618"/>
      <c r="DH218" s="618"/>
      <c r="DI218" s="617" t="str">
        <f>IF(CX218="","",OFFSET(Biblioteca!$G$2,MATCH(CX218,Biblioteca!$A$3:$A$200,0),)*(1.05^(10-DE218)))</f>
        <v/>
      </c>
      <c r="DJ218" s="618"/>
      <c r="DK218" s="588"/>
    </row>
    <row r="219" ht="14.25" customHeight="1">
      <c r="A219" s="492" t="str">
        <f>"S "&amp;$AD202&amp;" - "&amp;TEXT(C212,"dd/mm")</f>
        <v>S 5 - 09/02</v>
      </c>
      <c r="B219" s="592" t="s">
        <v>254</v>
      </c>
      <c r="C219" s="622"/>
      <c r="D219" s="622"/>
      <c r="E219" s="622"/>
      <c r="F219" s="624"/>
      <c r="G219" s="622"/>
      <c r="H219" s="622"/>
      <c r="I219" s="624"/>
      <c r="J219" s="505"/>
      <c r="K219" s="608">
        <f t="shared" si="130"/>
        <v>1</v>
      </c>
      <c r="L219" s="619"/>
      <c r="Q219" s="620"/>
      <c r="R219" s="618"/>
      <c r="S219" s="618"/>
      <c r="T219" s="618"/>
      <c r="U219" s="618"/>
      <c r="V219" s="618"/>
      <c r="W219" s="617" t="str">
        <f>IF(L219="","",OFFSET(Biblioteca!$G$2,MATCH(L219,Biblioteca!$A$3:$A$200,0),)*(1.05^(10-S219)))</f>
        <v/>
      </c>
      <c r="X219" s="618"/>
      <c r="Y219" s="588"/>
      <c r="Z219" s="608">
        <f t="shared" si="131"/>
        <v>1</v>
      </c>
      <c r="AA219" s="619"/>
      <c r="AF219" s="620"/>
      <c r="AG219" s="618"/>
      <c r="AH219" s="618"/>
      <c r="AI219" s="618"/>
      <c r="AJ219" s="618"/>
      <c r="AK219" s="618"/>
      <c r="AL219" s="617" t="str">
        <f>IF(AA219="","",OFFSET(Biblioteca!$G$2,MATCH(AA219,Biblioteca!$A$3:$A$200,0),)*(1.05^(10-AH219)))</f>
        <v/>
      </c>
      <c r="AM219" s="618"/>
      <c r="AN219" s="588"/>
      <c r="AO219" s="608">
        <f t="shared" si="132"/>
        <v>1</v>
      </c>
      <c r="AP219" s="619"/>
      <c r="AU219" s="620"/>
      <c r="AV219" s="618"/>
      <c r="AW219" s="618"/>
      <c r="AX219" s="618"/>
      <c r="AY219" s="618"/>
      <c r="AZ219" s="618"/>
      <c r="BA219" s="617" t="str">
        <f>IF(AP219="","",OFFSET(Biblioteca!$G$2,MATCH(AP219,Biblioteca!$A$3:$A$200,0),)*(1.05^(10-AW219)))</f>
        <v/>
      </c>
      <c r="BB219" s="618"/>
      <c r="BC219" s="588"/>
      <c r="BD219" s="608">
        <f t="shared" si="133"/>
        <v>1</v>
      </c>
      <c r="BE219" s="619"/>
      <c r="BJ219" s="620"/>
      <c r="BK219" s="618"/>
      <c r="BL219" s="618"/>
      <c r="BM219" s="618"/>
      <c r="BN219" s="618"/>
      <c r="BO219" s="618"/>
      <c r="BP219" s="617" t="str">
        <f>IF(BE219="","",OFFSET(Biblioteca!$G$2,MATCH(BE219,Biblioteca!$A$3:$A$200,0),)*(1.05^(10-BL219)))</f>
        <v/>
      </c>
      <c r="BQ219" s="618"/>
      <c r="BR219" s="588"/>
      <c r="BS219" s="608">
        <f t="shared" si="134"/>
        <v>1</v>
      </c>
      <c r="BT219" s="619"/>
      <c r="BY219" s="620"/>
      <c r="BZ219" s="618"/>
      <c r="CA219" s="618"/>
      <c r="CB219" s="618"/>
      <c r="CC219" s="618"/>
      <c r="CD219" s="618"/>
      <c r="CE219" s="617" t="str">
        <f>IF(BT219="","",OFFSET(Biblioteca!$G$2,MATCH(BT219,Biblioteca!$A$3:$A$200,0),)*(1.05^(10-CA219)))</f>
        <v/>
      </c>
      <c r="CF219" s="618"/>
      <c r="CG219" s="588"/>
      <c r="CH219" s="608">
        <f t="shared" si="135"/>
        <v>1</v>
      </c>
      <c r="CI219" s="619"/>
      <c r="CN219" s="620"/>
      <c r="CO219" s="618"/>
      <c r="CP219" s="618"/>
      <c r="CQ219" s="618"/>
      <c r="CR219" s="618"/>
      <c r="CS219" s="618"/>
      <c r="CT219" s="617" t="str">
        <f>IF(CI219="","",OFFSET(Biblioteca!$G$2,MATCH(CI219,Biblioteca!$A$3:$A$200,0),)*(1.05^(10-CP219)))</f>
        <v/>
      </c>
      <c r="CU219" s="618"/>
      <c r="CV219" s="588"/>
      <c r="CW219" s="608">
        <f t="shared" si="136"/>
        <v>1</v>
      </c>
      <c r="CX219" s="619"/>
      <c r="DC219" s="620"/>
      <c r="DD219" s="618"/>
      <c r="DE219" s="618"/>
      <c r="DF219" s="618"/>
      <c r="DG219" s="618"/>
      <c r="DH219" s="618"/>
      <c r="DI219" s="617" t="str">
        <f>IF(CX219="","",OFFSET(Biblioteca!$G$2,MATCH(CX219,Biblioteca!$A$3:$A$200,0),)*(1.05^(10-DE219)))</f>
        <v/>
      </c>
      <c r="DJ219" s="618"/>
      <c r="DK219" s="588"/>
    </row>
    <row r="220" ht="14.25" customHeight="1">
      <c r="A220" s="492" t="str">
        <f>"S "&amp;$AD202&amp;" - "&amp;TEXT(C212,"dd/mm")</f>
        <v>S 5 - 09/02</v>
      </c>
      <c r="B220" s="592" t="s">
        <v>256</v>
      </c>
      <c r="C220" s="600"/>
      <c r="D220" s="624"/>
      <c r="E220" s="600"/>
      <c r="F220" s="624"/>
      <c r="G220" s="600"/>
      <c r="H220" s="600"/>
      <c r="I220" s="607"/>
      <c r="J220" s="505"/>
      <c r="K220" s="627"/>
      <c r="L220" s="627"/>
      <c r="M220" s="633" t="s">
        <v>257</v>
      </c>
      <c r="N220" s="627"/>
      <c r="O220" s="634"/>
      <c r="P220" s="635"/>
      <c r="Q220" s="635"/>
      <c r="R220" s="635"/>
      <c r="S220" s="635" t="str">
        <f>OFFSET($B216,0,WEEKDAY(K208,2))&amp;" "&amp;OFFSET($B221,0,WEEKDAY(K208,2))&amp;"x"&amp;OFFSET($B220,0,WEEKDAY(K208,2))</f>
        <v> x</v>
      </c>
      <c r="T220" s="635"/>
      <c r="U220" s="635"/>
      <c r="V220" s="635"/>
      <c r="W220" s="635"/>
      <c r="X220" s="635"/>
      <c r="Y220" s="604"/>
      <c r="Z220" s="627"/>
      <c r="AA220" s="627"/>
      <c r="AB220" s="633" t="s">
        <v>257</v>
      </c>
      <c r="AC220" s="627"/>
      <c r="AD220" s="634"/>
      <c r="AE220" s="635"/>
      <c r="AF220" s="635"/>
      <c r="AG220" s="635"/>
      <c r="AH220" s="635" t="str">
        <f>OFFSET($B216,0,WEEKDAY(Z208,2))&amp;" "&amp;OFFSET($B221,0,WEEKDAY(Z208,2))&amp;"x"&amp;OFFSET($B220,0,WEEKDAY(Z208,2))</f>
        <v> x</v>
      </c>
      <c r="AI220" s="635"/>
      <c r="AJ220" s="635"/>
      <c r="AK220" s="635"/>
      <c r="AL220" s="635"/>
      <c r="AM220" s="635"/>
      <c r="AN220" s="604"/>
      <c r="AO220" s="627"/>
      <c r="AP220" s="627"/>
      <c r="AQ220" s="633" t="s">
        <v>257</v>
      </c>
      <c r="AR220" s="627"/>
      <c r="AS220" s="634"/>
      <c r="AT220" s="635"/>
      <c r="AU220" s="635"/>
      <c r="AV220" s="635"/>
      <c r="AW220" s="635" t="str">
        <f>OFFSET($B216,0,WEEKDAY(AO208,2))&amp;" "&amp;OFFSET($B221,0,WEEKDAY(AO208,2))&amp;"x"&amp;OFFSET($B220,0,WEEKDAY(AO208,2))</f>
        <v> x</v>
      </c>
      <c r="AX220" s="635"/>
      <c r="AY220" s="635"/>
      <c r="AZ220" s="635"/>
      <c r="BA220" s="635"/>
      <c r="BB220" s="635"/>
      <c r="BC220" s="604"/>
      <c r="BD220" s="627"/>
      <c r="BE220" s="627"/>
      <c r="BF220" s="633" t="s">
        <v>257</v>
      </c>
      <c r="BG220" s="627"/>
      <c r="BH220" s="634"/>
      <c r="BI220" s="635"/>
      <c r="BJ220" s="635"/>
      <c r="BK220" s="635"/>
      <c r="BL220" s="635" t="str">
        <f>OFFSET($B216,0,WEEKDAY(BD208,2))&amp;" "&amp;OFFSET($B221,0,WEEKDAY(BD208,2))&amp;"x"&amp;OFFSET($B220,0,WEEKDAY(BD208,2))</f>
        <v> x</v>
      </c>
      <c r="BM220" s="635"/>
      <c r="BN220" s="635"/>
      <c r="BO220" s="635"/>
      <c r="BP220" s="635"/>
      <c r="BQ220" s="635"/>
      <c r="BR220" s="604"/>
      <c r="BS220" s="627"/>
      <c r="BT220" s="627"/>
      <c r="BU220" s="633" t="s">
        <v>257</v>
      </c>
      <c r="BV220" s="627"/>
      <c r="BW220" s="634"/>
      <c r="BX220" s="635"/>
      <c r="BY220" s="635"/>
      <c r="BZ220" s="635"/>
      <c r="CA220" s="635" t="str">
        <f>OFFSET($B216,0,WEEKDAY(BS208,2))&amp;" "&amp;OFFSET($B221,0,WEEKDAY(BS208,2))&amp;"x"&amp;OFFSET($B220,0,WEEKDAY(BS208,2))</f>
        <v> x</v>
      </c>
      <c r="CB220" s="635"/>
      <c r="CC220" s="635"/>
      <c r="CD220" s="635"/>
      <c r="CE220" s="635"/>
      <c r="CF220" s="635"/>
      <c r="CG220" s="604"/>
      <c r="CH220" s="627"/>
      <c r="CI220" s="627"/>
      <c r="CJ220" s="633" t="s">
        <v>257</v>
      </c>
      <c r="CK220" s="627"/>
      <c r="CL220" s="634"/>
      <c r="CM220" s="635"/>
      <c r="CN220" s="635"/>
      <c r="CO220" s="635"/>
      <c r="CP220" s="635" t="str">
        <f>OFFSET($B216,0,WEEKDAY(CH208,2))&amp;" "&amp;OFFSET($B221,0,WEEKDAY(CH208,2))&amp;"x"&amp;OFFSET($B220,0,WEEKDAY(CH208,2))</f>
        <v> x</v>
      </c>
      <c r="CQ220" s="635"/>
      <c r="CR220" s="635"/>
      <c r="CS220" s="635"/>
      <c r="CT220" s="635"/>
      <c r="CU220" s="635"/>
      <c r="CV220" s="604"/>
      <c r="CW220" s="627"/>
      <c r="CX220" s="627"/>
      <c r="CY220" s="633" t="s">
        <v>257</v>
      </c>
      <c r="CZ220" s="627"/>
      <c r="DA220" s="634"/>
      <c r="DB220" s="635"/>
      <c r="DC220" s="635"/>
      <c r="DD220" s="635"/>
      <c r="DE220" s="635" t="str">
        <f>OFFSET($B216,0,WEEKDAY(CW208,2))&amp;" "&amp;OFFSET($B221,0,WEEKDAY(CW208,2))&amp;"x"&amp;OFFSET($B220,0,WEEKDAY(CW208,2))</f>
        <v> x</v>
      </c>
      <c r="DF220" s="635"/>
      <c r="DG220" s="635"/>
      <c r="DH220" s="635"/>
      <c r="DI220" s="635"/>
      <c r="DJ220" s="635"/>
      <c r="DK220" s="604"/>
    </row>
    <row r="221" ht="14.25" customHeight="1">
      <c r="A221" s="492" t="str">
        <f>"S "&amp;$AD202&amp;" - "&amp;TEXT(C212,"dd/mm")</f>
        <v>S 5 - 09/02</v>
      </c>
      <c r="B221" s="592" t="s">
        <v>258</v>
      </c>
      <c r="C221" s="637"/>
      <c r="D221" s="637"/>
      <c r="E221" s="637"/>
      <c r="F221" s="637"/>
      <c r="G221" s="637"/>
      <c r="H221" s="637"/>
      <c r="I221" s="637"/>
      <c r="J221" s="505"/>
      <c r="K221" s="608">
        <v>1.0</v>
      </c>
      <c r="L221" s="609"/>
      <c r="Q221" s="610"/>
      <c r="R221" s="625"/>
      <c r="S221" s="625"/>
      <c r="T221" s="625"/>
      <c r="U221" s="611"/>
      <c r="V221" s="611"/>
      <c r="W221" s="617" t="str">
        <f>IF(L221="","",OFFSET(Biblioteca!$G$2,MATCH(L221,Biblioteca!$A$3:$A$200,0),)*(1.05^(10-S221)))</f>
        <v/>
      </c>
      <c r="X221" s="618"/>
      <c r="Y221" s="579"/>
      <c r="Z221" s="608">
        <v>1.0</v>
      </c>
      <c r="AA221" s="609"/>
      <c r="AF221" s="610"/>
      <c r="AG221" s="625"/>
      <c r="AH221" s="625"/>
      <c r="AI221" s="625"/>
      <c r="AJ221" s="611"/>
      <c r="AK221" s="611"/>
      <c r="AL221" s="617" t="str">
        <f>IF(AA221="","",OFFSET(Biblioteca!$G$2,MATCH(AA221,Biblioteca!$A$3:$A$200,0),)*(1.05^(10-AH221)))</f>
        <v/>
      </c>
      <c r="AM221" s="618"/>
      <c r="AN221" s="579"/>
      <c r="AO221" s="608">
        <v>1.0</v>
      </c>
      <c r="AP221" s="609"/>
      <c r="AU221" s="610"/>
      <c r="AV221" s="625"/>
      <c r="AW221" s="625"/>
      <c r="AX221" s="625"/>
      <c r="AY221" s="611"/>
      <c r="AZ221" s="611"/>
      <c r="BA221" s="617" t="str">
        <f>IF(AP221="","",OFFSET(Biblioteca!$G$2,MATCH(AP221,Biblioteca!$A$3:$A$200,0),)*(1.05^(10-AW221)))</f>
        <v/>
      </c>
      <c r="BB221" s="618"/>
      <c r="BC221" s="579"/>
      <c r="BD221" s="608">
        <v>1.0</v>
      </c>
      <c r="BE221" s="609"/>
      <c r="BJ221" s="610"/>
      <c r="BK221" s="625"/>
      <c r="BL221" s="625"/>
      <c r="BM221" s="625"/>
      <c r="BN221" s="611"/>
      <c r="BO221" s="611"/>
      <c r="BP221" s="617" t="str">
        <f>IF(BE221="","",OFFSET(Biblioteca!$G$2,MATCH(BE221,Biblioteca!$A$3:$A$200,0),)*(1.05^(10-BL221)))</f>
        <v/>
      </c>
      <c r="BQ221" s="618"/>
      <c r="BR221" s="579"/>
      <c r="BS221" s="608">
        <v>1.0</v>
      </c>
      <c r="BT221" s="609"/>
      <c r="BY221" s="610"/>
      <c r="BZ221" s="625"/>
      <c r="CA221" s="625"/>
      <c r="CB221" s="625"/>
      <c r="CC221" s="611"/>
      <c r="CD221" s="611"/>
      <c r="CE221" s="617" t="str">
        <f>IF(BT221="","",OFFSET(Biblioteca!$G$2,MATCH(BT221,Biblioteca!$A$3:$A$200,0),)*(1.05^(10-CA221)))</f>
        <v/>
      </c>
      <c r="CF221" s="618"/>
      <c r="CG221" s="579"/>
      <c r="CH221" s="608">
        <v>1.0</v>
      </c>
      <c r="CI221" s="609"/>
      <c r="CN221" s="610"/>
      <c r="CO221" s="625"/>
      <c r="CP221" s="625"/>
      <c r="CQ221" s="625"/>
      <c r="CR221" s="611"/>
      <c r="CS221" s="611"/>
      <c r="CT221" s="617" t="str">
        <f>IF(CI221="","",OFFSET(Biblioteca!$G$2,MATCH(CI221,Biblioteca!$A$3:$A$200,0),)*(1.05^(10-CP221)))</f>
        <v/>
      </c>
      <c r="CU221" s="618"/>
      <c r="CV221" s="579"/>
      <c r="CW221" s="608">
        <v>1.0</v>
      </c>
      <c r="CX221" s="609"/>
      <c r="DC221" s="610"/>
      <c r="DD221" s="625"/>
      <c r="DE221" s="625"/>
      <c r="DF221" s="625"/>
      <c r="DG221" s="611"/>
      <c r="DH221" s="611"/>
      <c r="DI221" s="617" t="str">
        <f>IF(CX221="","",OFFSET(Biblioteca!$G$2,MATCH(CX221,Biblioteca!$A$3:$A$200,0),)*(1.05^(10-DE221)))</f>
        <v/>
      </c>
      <c r="DJ221" s="618"/>
      <c r="DK221" s="579"/>
    </row>
    <row r="222" ht="14.25" customHeight="1">
      <c r="A222" s="492" t="str">
        <f>"S "&amp;$AD202&amp;" - "&amp;TEXT(C212,"dd/mm")</f>
        <v>S 5 - 09/02</v>
      </c>
      <c r="B222" s="592" t="s">
        <v>263</v>
      </c>
      <c r="C222" s="600"/>
      <c r="D222" s="600"/>
      <c r="E222" s="600"/>
      <c r="F222" s="600"/>
      <c r="G222" s="600"/>
      <c r="H222" s="600"/>
      <c r="I222" s="600"/>
      <c r="J222" s="505"/>
      <c r="K222" s="608">
        <f t="shared" ref="K222:K240" si="137">IF(T221="",K221,K221+1)</f>
        <v>1</v>
      </c>
      <c r="L222" s="619"/>
      <c r="Q222" s="620"/>
      <c r="R222" s="618"/>
      <c r="S222" s="618"/>
      <c r="T222" s="618"/>
      <c r="U222" s="618"/>
      <c r="V222" s="618"/>
      <c r="W222" s="617" t="str">
        <f>IF(L222="","",OFFSET(Biblioteca!$G$2,MATCH(L222,Biblioteca!$A$3:$A$200,0),)*(1.05^(10-S222)))</f>
        <v/>
      </c>
      <c r="X222" s="618"/>
      <c r="Y222" s="579"/>
      <c r="Z222" s="608">
        <f t="shared" ref="Z222:Z240" si="138">IF(AI221="",Z221,Z221+1)</f>
        <v>1</v>
      </c>
      <c r="AA222" s="619"/>
      <c r="AF222" s="620"/>
      <c r="AG222" s="618"/>
      <c r="AH222" s="618"/>
      <c r="AI222" s="618"/>
      <c r="AJ222" s="618"/>
      <c r="AK222" s="618"/>
      <c r="AL222" s="617" t="str">
        <f>IF(AA222="","",OFFSET(Biblioteca!$G$2,MATCH(AA222,Biblioteca!$A$3:$A$200,0),)*(1.05^(10-AH222)))</f>
        <v/>
      </c>
      <c r="AM222" s="618"/>
      <c r="AN222" s="579"/>
      <c r="AO222" s="608">
        <f t="shared" ref="AO222:AO240" si="139">IF(AX221="",AO221,AO221+1)</f>
        <v>1</v>
      </c>
      <c r="AP222" s="619"/>
      <c r="AU222" s="620"/>
      <c r="AV222" s="618"/>
      <c r="AW222" s="618"/>
      <c r="AX222" s="618"/>
      <c r="AY222" s="618"/>
      <c r="AZ222" s="618"/>
      <c r="BA222" s="617" t="str">
        <f>IF(AP222="","",OFFSET(Biblioteca!$G$2,MATCH(AP222,Biblioteca!$A$3:$A$200,0),)*(1.05^(10-AW222)))</f>
        <v/>
      </c>
      <c r="BB222" s="618"/>
      <c r="BC222" s="579"/>
      <c r="BD222" s="608">
        <f t="shared" ref="BD222:BD240" si="140">IF(BM221="",BD221,BD221+1)</f>
        <v>1</v>
      </c>
      <c r="BE222" s="619"/>
      <c r="BJ222" s="620"/>
      <c r="BK222" s="618"/>
      <c r="BL222" s="618"/>
      <c r="BM222" s="618"/>
      <c r="BN222" s="618"/>
      <c r="BO222" s="618"/>
      <c r="BP222" s="617" t="str">
        <f>IF(BE222="","",OFFSET(Biblioteca!$G$2,MATCH(BE222,Biblioteca!$A$3:$A$200,0),)*(1.05^(10-BL222)))</f>
        <v/>
      </c>
      <c r="BQ222" s="618"/>
      <c r="BR222" s="579"/>
      <c r="BS222" s="608">
        <f t="shared" ref="BS222:BS240" si="141">IF(CB221="",BS221,BS221+1)</f>
        <v>1</v>
      </c>
      <c r="BT222" s="619"/>
      <c r="BY222" s="620"/>
      <c r="BZ222" s="618"/>
      <c r="CA222" s="618"/>
      <c r="CB222" s="618"/>
      <c r="CC222" s="618"/>
      <c r="CD222" s="618"/>
      <c r="CE222" s="617" t="str">
        <f>IF(BT222="","",OFFSET(Biblioteca!$G$2,MATCH(BT222,Biblioteca!$A$3:$A$200,0),)*(1.05^(10-CA222)))</f>
        <v/>
      </c>
      <c r="CF222" s="618"/>
      <c r="CG222" s="579"/>
      <c r="CH222" s="608">
        <f t="shared" ref="CH222:CH240" si="142">IF(CQ221="",CH221,CH221+1)</f>
        <v>1</v>
      </c>
      <c r="CI222" s="619"/>
      <c r="CN222" s="620"/>
      <c r="CO222" s="618"/>
      <c r="CP222" s="618"/>
      <c r="CQ222" s="618"/>
      <c r="CR222" s="618"/>
      <c r="CS222" s="618"/>
      <c r="CT222" s="617" t="str">
        <f>IF(CI222="","",OFFSET(Biblioteca!$G$2,MATCH(CI222,Biblioteca!$A$3:$A$200,0),)*(1.05^(10-CP222)))</f>
        <v/>
      </c>
      <c r="CU222" s="618"/>
      <c r="CV222" s="579"/>
      <c r="CW222" s="608">
        <f t="shared" ref="CW222:CW240" si="143">IF(DF221="",CW221,CW221+1)</f>
        <v>1</v>
      </c>
      <c r="CX222" s="619"/>
      <c r="DC222" s="620"/>
      <c r="DD222" s="618"/>
      <c r="DE222" s="618"/>
      <c r="DF222" s="618"/>
      <c r="DG222" s="618"/>
      <c r="DH222" s="618"/>
      <c r="DI222" s="617" t="str">
        <f>IF(CX222="","",OFFSET(Biblioteca!$G$2,MATCH(CX222,Biblioteca!$A$3:$A$200,0),)*(1.05^(10-DE222)))</f>
        <v/>
      </c>
      <c r="DJ222" s="618"/>
      <c r="DK222" s="579"/>
    </row>
    <row r="223" ht="14.25" customHeight="1">
      <c r="A223" s="492" t="str">
        <f>"S "&amp;$AD202&amp;" - "&amp;TEXT(C212,"dd/mm")</f>
        <v>S 5 - 09/02</v>
      </c>
      <c r="B223" s="592" t="s">
        <v>267</v>
      </c>
      <c r="C223" s="600"/>
      <c r="D223" s="600"/>
      <c r="E223" s="600"/>
      <c r="F223" s="600"/>
      <c r="G223" s="600"/>
      <c r="H223" s="600"/>
      <c r="I223" s="600"/>
      <c r="J223" s="505"/>
      <c r="K223" s="608">
        <f t="shared" si="137"/>
        <v>1</v>
      </c>
      <c r="L223" s="609"/>
      <c r="Q223" s="610"/>
      <c r="R223" s="611"/>
      <c r="S223" s="611"/>
      <c r="T223" s="611"/>
      <c r="U223" s="611"/>
      <c r="V223" s="611"/>
      <c r="W223" s="617" t="str">
        <f>IF(L223="","",OFFSET(Biblioteca!$G$2,MATCH(L223,Biblioteca!$A$3:$A$200,0),)*(1.05^(10-S223)))</f>
        <v/>
      </c>
      <c r="X223" s="618"/>
      <c r="Y223" s="579"/>
      <c r="Z223" s="608">
        <f t="shared" si="138"/>
        <v>1</v>
      </c>
      <c r="AA223" s="619"/>
      <c r="AF223" s="620"/>
      <c r="AG223" s="618"/>
      <c r="AH223" s="618"/>
      <c r="AI223" s="618"/>
      <c r="AJ223" s="618"/>
      <c r="AK223" s="618"/>
      <c r="AL223" s="617" t="str">
        <f>IF(AA223="","",OFFSET(Biblioteca!$G$2,MATCH(AA223,Biblioteca!$A$3:$A$200,0),)*(1.05^(10-AH223)))</f>
        <v/>
      </c>
      <c r="AM223" s="618"/>
      <c r="AN223" s="579"/>
      <c r="AO223" s="608">
        <f t="shared" si="139"/>
        <v>1</v>
      </c>
      <c r="AP223" s="619"/>
      <c r="AU223" s="620"/>
      <c r="AV223" s="618"/>
      <c r="AW223" s="618"/>
      <c r="AX223" s="618"/>
      <c r="AY223" s="618"/>
      <c r="AZ223" s="618"/>
      <c r="BA223" s="617" t="str">
        <f>IF(AP223="","",OFFSET(Biblioteca!$G$2,MATCH(AP223,Biblioteca!$A$3:$A$200,0),)*(1.05^(10-AW223)))</f>
        <v/>
      </c>
      <c r="BB223" s="618"/>
      <c r="BC223" s="579"/>
      <c r="BD223" s="608">
        <f t="shared" si="140"/>
        <v>1</v>
      </c>
      <c r="BE223" s="619"/>
      <c r="BJ223" s="620"/>
      <c r="BK223" s="618"/>
      <c r="BL223" s="618"/>
      <c r="BM223" s="618"/>
      <c r="BN223" s="618"/>
      <c r="BO223" s="618"/>
      <c r="BP223" s="617" t="str">
        <f>IF(BE223="","",OFFSET(Biblioteca!$G$2,MATCH(BE223,Biblioteca!$A$3:$A$200,0),)*(1.05^(10-BL223)))</f>
        <v/>
      </c>
      <c r="BQ223" s="618"/>
      <c r="BR223" s="579"/>
      <c r="BS223" s="608">
        <f t="shared" si="141"/>
        <v>1</v>
      </c>
      <c r="BT223" s="619"/>
      <c r="BY223" s="620"/>
      <c r="BZ223" s="618"/>
      <c r="CA223" s="618"/>
      <c r="CB223" s="618"/>
      <c r="CC223" s="618"/>
      <c r="CD223" s="618"/>
      <c r="CE223" s="617" t="str">
        <f>IF(BT223="","",OFFSET(Biblioteca!$G$2,MATCH(BT223,Biblioteca!$A$3:$A$200,0),)*(1.05^(10-CA223)))</f>
        <v/>
      </c>
      <c r="CF223" s="618"/>
      <c r="CG223" s="579"/>
      <c r="CH223" s="608">
        <f t="shared" si="142"/>
        <v>1</v>
      </c>
      <c r="CI223" s="619"/>
      <c r="CN223" s="620"/>
      <c r="CO223" s="618"/>
      <c r="CP223" s="618"/>
      <c r="CQ223" s="618"/>
      <c r="CR223" s="618"/>
      <c r="CS223" s="618"/>
      <c r="CT223" s="617" t="str">
        <f>IF(CI223="","",OFFSET(Biblioteca!$G$2,MATCH(CI223,Biblioteca!$A$3:$A$200,0),)*(1.05^(10-CP223)))</f>
        <v/>
      </c>
      <c r="CU223" s="618"/>
      <c r="CV223" s="579"/>
      <c r="CW223" s="608">
        <f t="shared" si="143"/>
        <v>1</v>
      </c>
      <c r="CX223" s="619"/>
      <c r="DC223" s="620"/>
      <c r="DD223" s="618"/>
      <c r="DE223" s="618"/>
      <c r="DF223" s="618"/>
      <c r="DG223" s="618"/>
      <c r="DH223" s="618"/>
      <c r="DI223" s="617" t="str">
        <f>IF(CX223="","",OFFSET(Biblioteca!$G$2,MATCH(CX223,Biblioteca!$A$3:$A$200,0),)*(1.05^(10-DE223)))</f>
        <v/>
      </c>
      <c r="DJ223" s="618"/>
      <c r="DK223" s="579"/>
    </row>
    <row r="224" ht="14.25" customHeight="1">
      <c r="A224" s="492" t="str">
        <f>"S "&amp;$AD202&amp;" - "&amp;TEXT(C212,"dd/mm")</f>
        <v>S 5 - 09/02</v>
      </c>
      <c r="B224" s="647" t="s">
        <v>272</v>
      </c>
      <c r="C224" s="600"/>
      <c r="D224" s="600"/>
      <c r="E224" s="600"/>
      <c r="F224" s="600"/>
      <c r="G224" s="600"/>
      <c r="H224" s="600"/>
      <c r="I224" s="600"/>
      <c r="J224" s="505"/>
      <c r="K224" s="608">
        <f t="shared" si="137"/>
        <v>1</v>
      </c>
      <c r="L224" s="609"/>
      <c r="Q224" s="610"/>
      <c r="R224" s="611"/>
      <c r="S224" s="611"/>
      <c r="T224" s="611"/>
      <c r="U224" s="611"/>
      <c r="V224" s="611"/>
      <c r="W224" s="617" t="str">
        <f>IF(L224="","",OFFSET(Biblioteca!$G$2,MATCH(L224,Biblioteca!$A$3:$A$200,0),)*(1.05^(10-S224)))</f>
        <v/>
      </c>
      <c r="X224" s="618"/>
      <c r="Y224" s="588"/>
      <c r="Z224" s="608">
        <f t="shared" si="138"/>
        <v>1</v>
      </c>
      <c r="AA224" s="619"/>
      <c r="AF224" s="620"/>
      <c r="AG224" s="618"/>
      <c r="AH224" s="618"/>
      <c r="AI224" s="618"/>
      <c r="AJ224" s="618"/>
      <c r="AK224" s="618"/>
      <c r="AL224" s="617" t="str">
        <f>IF(AA224="","",OFFSET(Biblioteca!$G$2,MATCH(AA224,Biblioteca!$A$3:$A$200,0),)*(1.05^(10-AH224)))</f>
        <v/>
      </c>
      <c r="AM224" s="618"/>
      <c r="AN224" s="588"/>
      <c r="AO224" s="608">
        <f t="shared" si="139"/>
        <v>1</v>
      </c>
      <c r="AP224" s="619"/>
      <c r="AU224" s="620"/>
      <c r="AV224" s="618"/>
      <c r="AW224" s="618"/>
      <c r="AX224" s="618"/>
      <c r="AY224" s="618"/>
      <c r="AZ224" s="618"/>
      <c r="BA224" s="617" t="str">
        <f>IF(AP224="","",OFFSET(Biblioteca!$G$2,MATCH(AP224,Biblioteca!$A$3:$A$200,0),)*(1.05^(10-AW224)))</f>
        <v/>
      </c>
      <c r="BB224" s="618"/>
      <c r="BC224" s="588"/>
      <c r="BD224" s="608">
        <f t="shared" si="140"/>
        <v>1</v>
      </c>
      <c r="BE224" s="619"/>
      <c r="BJ224" s="620"/>
      <c r="BK224" s="618"/>
      <c r="BL224" s="618"/>
      <c r="BM224" s="618"/>
      <c r="BN224" s="618"/>
      <c r="BO224" s="618"/>
      <c r="BP224" s="617" t="str">
        <f>IF(BE224="","",OFFSET(Biblioteca!$G$2,MATCH(BE224,Biblioteca!$A$3:$A$200,0),)*(1.05^(10-BL224)))</f>
        <v/>
      </c>
      <c r="BQ224" s="618"/>
      <c r="BR224" s="588"/>
      <c r="BS224" s="608">
        <f t="shared" si="141"/>
        <v>1</v>
      </c>
      <c r="BT224" s="619"/>
      <c r="BY224" s="620"/>
      <c r="BZ224" s="618"/>
      <c r="CA224" s="618"/>
      <c r="CB224" s="618"/>
      <c r="CC224" s="618"/>
      <c r="CD224" s="618"/>
      <c r="CE224" s="617" t="str">
        <f>IF(BT224="","",OFFSET(Biblioteca!$G$2,MATCH(BT224,Biblioteca!$A$3:$A$200,0),)*(1.05^(10-CA224)))</f>
        <v/>
      </c>
      <c r="CF224" s="618"/>
      <c r="CG224" s="588"/>
      <c r="CH224" s="608">
        <f t="shared" si="142"/>
        <v>1</v>
      </c>
      <c r="CI224" s="619"/>
      <c r="CN224" s="620"/>
      <c r="CO224" s="618"/>
      <c r="CP224" s="618"/>
      <c r="CQ224" s="618"/>
      <c r="CR224" s="618"/>
      <c r="CS224" s="618"/>
      <c r="CT224" s="617" t="str">
        <f>IF(CI224="","",OFFSET(Biblioteca!$G$2,MATCH(CI224,Biblioteca!$A$3:$A$200,0),)*(1.05^(10-CP224)))</f>
        <v/>
      </c>
      <c r="CU224" s="618"/>
      <c r="CV224" s="588"/>
      <c r="CW224" s="608">
        <f t="shared" si="143"/>
        <v>1</v>
      </c>
      <c r="CX224" s="619"/>
      <c r="DC224" s="620"/>
      <c r="DD224" s="618"/>
      <c r="DE224" s="618"/>
      <c r="DF224" s="618"/>
      <c r="DG224" s="618"/>
      <c r="DH224" s="618"/>
      <c r="DI224" s="617" t="str">
        <f>IF(CX224="","",OFFSET(Biblioteca!$G$2,MATCH(CX224,Biblioteca!$A$3:$A$200,0),)*(1.05^(10-DE224)))</f>
        <v/>
      </c>
      <c r="DJ224" s="618"/>
      <c r="DK224" s="588"/>
    </row>
    <row r="225" ht="14.25" customHeight="1">
      <c r="A225" s="492" t="str">
        <f>"S "&amp;$AD202&amp;" - "&amp;TEXT(C212,"dd/mm")</f>
        <v>S 5 - 09/02</v>
      </c>
      <c r="B225" s="592" t="s">
        <v>276</v>
      </c>
      <c r="C225" s="622"/>
      <c r="D225" s="624"/>
      <c r="E225" s="622"/>
      <c r="F225" s="624"/>
      <c r="G225" s="622"/>
      <c r="H225" s="622"/>
      <c r="I225" s="624"/>
      <c r="J225" s="505"/>
      <c r="K225" s="608">
        <f t="shared" si="137"/>
        <v>1</v>
      </c>
      <c r="L225" s="609"/>
      <c r="Q225" s="610"/>
      <c r="R225" s="611"/>
      <c r="S225" s="611"/>
      <c r="T225" s="611"/>
      <c r="U225" s="611"/>
      <c r="V225" s="611"/>
      <c r="W225" s="617" t="str">
        <f>IF(L225="","",OFFSET(Biblioteca!$G$2,MATCH(L225,Biblioteca!$A$3:$A$200,0),)*(1.05^(10-S225)))</f>
        <v/>
      </c>
      <c r="X225" s="618"/>
      <c r="Y225" s="579"/>
      <c r="Z225" s="608">
        <f t="shared" si="138"/>
        <v>1</v>
      </c>
      <c r="AA225" s="619"/>
      <c r="AF225" s="620"/>
      <c r="AG225" s="618"/>
      <c r="AH225" s="618"/>
      <c r="AI225" s="618"/>
      <c r="AJ225" s="618"/>
      <c r="AK225" s="618"/>
      <c r="AL225" s="617" t="str">
        <f>IF(AA225="","",OFFSET(Biblioteca!$G$2,MATCH(AA225,Biblioteca!$A$3:$A$200,0),)*(1.05^(10-AH225)))</f>
        <v/>
      </c>
      <c r="AM225" s="618"/>
      <c r="AN225" s="579"/>
      <c r="AO225" s="608">
        <f t="shared" si="139"/>
        <v>1</v>
      </c>
      <c r="AP225" s="619"/>
      <c r="AU225" s="620"/>
      <c r="AV225" s="618"/>
      <c r="AW225" s="618"/>
      <c r="AX225" s="618"/>
      <c r="AY225" s="618"/>
      <c r="AZ225" s="618"/>
      <c r="BA225" s="617" t="str">
        <f>IF(AP225="","",OFFSET(Biblioteca!$G$2,MATCH(AP225,Biblioteca!$A$3:$A$200,0),)*(1.05^(10-AW225)))</f>
        <v/>
      </c>
      <c r="BB225" s="618"/>
      <c r="BC225" s="579"/>
      <c r="BD225" s="608">
        <f t="shared" si="140"/>
        <v>1</v>
      </c>
      <c r="BE225" s="619"/>
      <c r="BJ225" s="620"/>
      <c r="BK225" s="618"/>
      <c r="BL225" s="618"/>
      <c r="BM225" s="618"/>
      <c r="BN225" s="618"/>
      <c r="BO225" s="618"/>
      <c r="BP225" s="617" t="str">
        <f>IF(BE225="","",OFFSET(Biblioteca!$G$2,MATCH(BE225,Biblioteca!$A$3:$A$200,0),)*(1.05^(10-BL225)))</f>
        <v/>
      </c>
      <c r="BQ225" s="618"/>
      <c r="BR225" s="579"/>
      <c r="BS225" s="608">
        <f t="shared" si="141"/>
        <v>1</v>
      </c>
      <c r="BT225" s="619"/>
      <c r="BY225" s="620"/>
      <c r="BZ225" s="618"/>
      <c r="CA225" s="618"/>
      <c r="CB225" s="618"/>
      <c r="CC225" s="618"/>
      <c r="CD225" s="618"/>
      <c r="CE225" s="617" t="str">
        <f>IF(BT225="","",OFFSET(Biblioteca!$G$2,MATCH(BT225,Biblioteca!$A$3:$A$200,0),)*(1.05^(10-CA225)))</f>
        <v/>
      </c>
      <c r="CF225" s="618"/>
      <c r="CG225" s="579"/>
      <c r="CH225" s="608">
        <f t="shared" si="142"/>
        <v>1</v>
      </c>
      <c r="CI225" s="619"/>
      <c r="CN225" s="620"/>
      <c r="CO225" s="618"/>
      <c r="CP225" s="618"/>
      <c r="CQ225" s="618"/>
      <c r="CR225" s="618"/>
      <c r="CS225" s="618"/>
      <c r="CT225" s="617" t="str">
        <f>IF(CI225="","",OFFSET(Biblioteca!$G$2,MATCH(CI225,Biblioteca!$A$3:$A$200,0),)*(1.05^(10-CP225)))</f>
        <v/>
      </c>
      <c r="CU225" s="618"/>
      <c r="CV225" s="579"/>
      <c r="CW225" s="608">
        <f t="shared" si="143"/>
        <v>1</v>
      </c>
      <c r="CX225" s="619"/>
      <c r="DC225" s="620"/>
      <c r="DD225" s="618"/>
      <c r="DE225" s="618"/>
      <c r="DF225" s="618"/>
      <c r="DG225" s="618"/>
      <c r="DH225" s="618"/>
      <c r="DI225" s="617" t="str">
        <f>IF(CX225="","",OFFSET(Biblioteca!$G$2,MATCH(CX225,Biblioteca!$A$3:$A$200,0),)*(1.05^(10-DE225)))</f>
        <v/>
      </c>
      <c r="DJ225" s="618"/>
      <c r="DK225" s="579"/>
    </row>
    <row r="226" ht="14.25" customHeight="1">
      <c r="A226" s="492" t="str">
        <f>"S "&amp;$AD202&amp;" - "&amp;TEXT(C212,"dd/mm")</f>
        <v>S 5 - 09/02</v>
      </c>
      <c r="B226" s="647" t="s">
        <v>280</v>
      </c>
      <c r="C226" s="649" t="str">
        <f t="shared" ref="C226:I226" si="144">IF(OR(C217="IEXT",C217="IINT"),C246+C247,"")</f>
        <v/>
      </c>
      <c r="D226" s="649" t="str">
        <f t="shared" si="144"/>
        <v/>
      </c>
      <c r="E226" s="649" t="str">
        <f t="shared" si="144"/>
        <v/>
      </c>
      <c r="F226" s="649" t="str">
        <f t="shared" si="144"/>
        <v/>
      </c>
      <c r="G226" s="649" t="str">
        <f t="shared" si="144"/>
        <v/>
      </c>
      <c r="H226" s="649" t="str">
        <f t="shared" si="144"/>
        <v/>
      </c>
      <c r="I226" s="649" t="str">
        <f t="shared" si="144"/>
        <v/>
      </c>
      <c r="J226" s="505"/>
      <c r="K226" s="608">
        <f t="shared" si="137"/>
        <v>1</v>
      </c>
      <c r="L226" s="609"/>
      <c r="Q226" s="610"/>
      <c r="R226" s="611"/>
      <c r="S226" s="611"/>
      <c r="T226" s="611"/>
      <c r="U226" s="611"/>
      <c r="V226" s="611"/>
      <c r="W226" s="617" t="str">
        <f>IF(L226="","",OFFSET(Biblioteca!$G$2,MATCH(L226,Biblioteca!$A$3:$A$200,0),)*(1.05^(10-S226)))</f>
        <v/>
      </c>
      <c r="X226" s="618"/>
      <c r="Y226" s="579"/>
      <c r="Z226" s="608">
        <f t="shared" si="138"/>
        <v>1</v>
      </c>
      <c r="AA226" s="619"/>
      <c r="AF226" s="620"/>
      <c r="AG226" s="618"/>
      <c r="AH226" s="618"/>
      <c r="AI226" s="618"/>
      <c r="AJ226" s="618"/>
      <c r="AK226" s="618"/>
      <c r="AL226" s="617" t="str">
        <f>IF(AA226="","",OFFSET(Biblioteca!$G$2,MATCH(AA226,Biblioteca!$A$3:$A$200,0),)*(1.05^(10-AH226)))</f>
        <v/>
      </c>
      <c r="AM226" s="618"/>
      <c r="AN226" s="579"/>
      <c r="AO226" s="608">
        <f t="shared" si="139"/>
        <v>1</v>
      </c>
      <c r="AP226" s="619"/>
      <c r="AU226" s="620"/>
      <c r="AV226" s="618"/>
      <c r="AW226" s="618"/>
      <c r="AX226" s="618"/>
      <c r="AY226" s="618"/>
      <c r="AZ226" s="618"/>
      <c r="BA226" s="617" t="str">
        <f>IF(AP226="","",OFFSET(Biblioteca!$G$2,MATCH(AP226,Biblioteca!$A$3:$A$200,0),)*(1.05^(10-AW226)))</f>
        <v/>
      </c>
      <c r="BB226" s="618"/>
      <c r="BC226" s="579"/>
      <c r="BD226" s="608">
        <f t="shared" si="140"/>
        <v>1</v>
      </c>
      <c r="BE226" s="619"/>
      <c r="BJ226" s="620"/>
      <c r="BK226" s="618"/>
      <c r="BL226" s="618"/>
      <c r="BM226" s="618"/>
      <c r="BN226" s="618"/>
      <c r="BO226" s="618"/>
      <c r="BP226" s="617" t="str">
        <f>IF(BE226="","",OFFSET(Biblioteca!$G$2,MATCH(BE226,Biblioteca!$A$3:$A$200,0),)*(1.05^(10-BL226)))</f>
        <v/>
      </c>
      <c r="BQ226" s="618"/>
      <c r="BR226" s="579"/>
      <c r="BS226" s="608">
        <f t="shared" si="141"/>
        <v>1</v>
      </c>
      <c r="BT226" s="619"/>
      <c r="BY226" s="620"/>
      <c r="BZ226" s="618"/>
      <c r="CA226" s="618"/>
      <c r="CB226" s="618"/>
      <c r="CC226" s="618"/>
      <c r="CD226" s="618"/>
      <c r="CE226" s="617" t="str">
        <f>IF(BT226="","",OFFSET(Biblioteca!$G$2,MATCH(BT226,Biblioteca!$A$3:$A$200,0),)*(1.05^(10-CA226)))</f>
        <v/>
      </c>
      <c r="CF226" s="618"/>
      <c r="CG226" s="579"/>
      <c r="CH226" s="608">
        <f t="shared" si="142"/>
        <v>1</v>
      </c>
      <c r="CI226" s="619"/>
      <c r="CN226" s="620"/>
      <c r="CO226" s="618"/>
      <c r="CP226" s="618"/>
      <c r="CQ226" s="618"/>
      <c r="CR226" s="618"/>
      <c r="CS226" s="618"/>
      <c r="CT226" s="617" t="str">
        <f>IF(CI226="","",OFFSET(Biblioteca!$G$2,MATCH(CI226,Biblioteca!$A$3:$A$200,0),)*(1.05^(10-CP226)))</f>
        <v/>
      </c>
      <c r="CU226" s="618"/>
      <c r="CV226" s="579"/>
      <c r="CW226" s="608">
        <f t="shared" si="143"/>
        <v>1</v>
      </c>
      <c r="CX226" s="619"/>
      <c r="DC226" s="620"/>
      <c r="DD226" s="618"/>
      <c r="DE226" s="618"/>
      <c r="DF226" s="618"/>
      <c r="DG226" s="618"/>
      <c r="DH226" s="618"/>
      <c r="DI226" s="617" t="str">
        <f>IF(CX226="","",OFFSET(Biblioteca!$G$2,MATCH(CX226,Biblioteca!$A$3:$A$200,0),)*(1.05^(10-DE226)))</f>
        <v/>
      </c>
      <c r="DJ226" s="618"/>
      <c r="DK226" s="579"/>
    </row>
    <row r="227" ht="14.25" customHeight="1">
      <c r="A227" s="492" t="str">
        <f>"S "&amp;$AD202&amp;" - "&amp;TEXT(C212,"dd/mm")</f>
        <v>S 5 - 09/02</v>
      </c>
      <c r="B227" s="592" t="s">
        <v>284</v>
      </c>
      <c r="C227" s="652" t="str">
        <f t="shared" ref="C227:I227" si="145">IF(C218="","",(C218+C219)/2)</f>
        <v/>
      </c>
      <c r="D227" s="652" t="str">
        <f t="shared" si="145"/>
        <v/>
      </c>
      <c r="E227" s="652" t="str">
        <f t="shared" si="145"/>
        <v/>
      </c>
      <c r="F227" s="652" t="str">
        <f t="shared" si="145"/>
        <v/>
      </c>
      <c r="G227" s="652" t="str">
        <f t="shared" si="145"/>
        <v/>
      </c>
      <c r="H227" s="652" t="str">
        <f t="shared" si="145"/>
        <v/>
      </c>
      <c r="I227" s="652" t="str">
        <f t="shared" si="145"/>
        <v/>
      </c>
      <c r="J227" s="505"/>
      <c r="K227" s="608">
        <f t="shared" si="137"/>
        <v>1</v>
      </c>
      <c r="L227" s="609"/>
      <c r="Q227" s="610"/>
      <c r="R227" s="611"/>
      <c r="S227" s="611"/>
      <c r="T227" s="611"/>
      <c r="U227" s="611"/>
      <c r="V227" s="611"/>
      <c r="W227" s="617" t="str">
        <f>IF(L227="","",OFFSET(Biblioteca!$G$2,MATCH(L227,Biblioteca!$A$3:$A$200,0),)*(1.05^(10-S227)))</f>
        <v/>
      </c>
      <c r="X227" s="618"/>
      <c r="Y227" s="579"/>
      <c r="Z227" s="608">
        <f t="shared" si="138"/>
        <v>1</v>
      </c>
      <c r="AA227" s="619"/>
      <c r="AF227" s="620"/>
      <c r="AG227" s="618"/>
      <c r="AH227" s="618"/>
      <c r="AI227" s="618"/>
      <c r="AJ227" s="618"/>
      <c r="AK227" s="618"/>
      <c r="AL227" s="617" t="str">
        <f>IF(AA227="","",OFFSET(Biblioteca!$G$2,MATCH(AA227,Biblioteca!$A$3:$A$200,0),)*(1.05^(10-AH227)))</f>
        <v/>
      </c>
      <c r="AM227" s="618"/>
      <c r="AN227" s="579"/>
      <c r="AO227" s="608">
        <f t="shared" si="139"/>
        <v>1</v>
      </c>
      <c r="AP227" s="619"/>
      <c r="AU227" s="620"/>
      <c r="AV227" s="618"/>
      <c r="AW227" s="618"/>
      <c r="AX227" s="618"/>
      <c r="AY227" s="618"/>
      <c r="AZ227" s="618"/>
      <c r="BA227" s="617" t="str">
        <f>IF(AP227="","",OFFSET(Biblioteca!$G$2,MATCH(AP227,Biblioteca!$A$3:$A$200,0),)*(1.05^(10-AW227)))</f>
        <v/>
      </c>
      <c r="BB227" s="618"/>
      <c r="BC227" s="579"/>
      <c r="BD227" s="608">
        <f t="shared" si="140"/>
        <v>1</v>
      </c>
      <c r="BE227" s="619"/>
      <c r="BJ227" s="620"/>
      <c r="BK227" s="618"/>
      <c r="BL227" s="618"/>
      <c r="BM227" s="618"/>
      <c r="BN227" s="618"/>
      <c r="BO227" s="618"/>
      <c r="BP227" s="617" t="str">
        <f>IF(BE227="","",OFFSET(Biblioteca!$G$2,MATCH(BE227,Biblioteca!$A$3:$A$200,0),)*(1.05^(10-BL227)))</f>
        <v/>
      </c>
      <c r="BQ227" s="618"/>
      <c r="BR227" s="579"/>
      <c r="BS227" s="608">
        <f t="shared" si="141"/>
        <v>1</v>
      </c>
      <c r="BT227" s="619"/>
      <c r="BY227" s="620"/>
      <c r="BZ227" s="618"/>
      <c r="CA227" s="618"/>
      <c r="CB227" s="618"/>
      <c r="CC227" s="618"/>
      <c r="CD227" s="618"/>
      <c r="CE227" s="617" t="str">
        <f>IF(BT227="","",OFFSET(Biblioteca!$G$2,MATCH(BT227,Biblioteca!$A$3:$A$200,0),)*(1.05^(10-CA227)))</f>
        <v/>
      </c>
      <c r="CF227" s="618"/>
      <c r="CG227" s="579"/>
      <c r="CH227" s="608">
        <f t="shared" si="142"/>
        <v>1</v>
      </c>
      <c r="CI227" s="619"/>
      <c r="CN227" s="620"/>
      <c r="CO227" s="618"/>
      <c r="CP227" s="618"/>
      <c r="CQ227" s="618"/>
      <c r="CR227" s="618"/>
      <c r="CS227" s="618"/>
      <c r="CT227" s="617" t="str">
        <f>IF(CI227="","",OFFSET(Biblioteca!$G$2,MATCH(CI227,Biblioteca!$A$3:$A$200,0),)*(1.05^(10-CP227)))</f>
        <v/>
      </c>
      <c r="CU227" s="618"/>
      <c r="CV227" s="579"/>
      <c r="CW227" s="608">
        <f t="shared" si="143"/>
        <v>1</v>
      </c>
      <c r="CX227" s="619"/>
      <c r="DC227" s="620"/>
      <c r="DD227" s="618"/>
      <c r="DE227" s="618"/>
      <c r="DF227" s="618"/>
      <c r="DG227" s="618"/>
      <c r="DH227" s="618"/>
      <c r="DI227" s="617" t="str">
        <f>IF(CX227="","",OFFSET(Biblioteca!$G$2,MATCH(CX227,Biblioteca!$A$3:$A$200,0),)*(1.05^(10-DE227)))</f>
        <v/>
      </c>
      <c r="DJ227" s="618"/>
      <c r="DK227" s="579"/>
    </row>
    <row r="228" ht="14.25" customHeight="1">
      <c r="A228" s="492" t="str">
        <f>"S "&amp;$AD202&amp;" - "&amp;TEXT(C212,"dd/mm")</f>
        <v>S 5 - 09/02</v>
      </c>
      <c r="B228" s="592" t="s">
        <v>289</v>
      </c>
      <c r="C228" s="541" t="str">
        <f>IF(C219="","",VLOOKUP(C218,'Dados de Base'!$D$10:$G$20,2,FALSE)&amp;" - "&amp;VLOOKUP(C219,'Dados de Base'!$D$10:$G$20,2,TRUE))</f>
        <v/>
      </c>
      <c r="D228" s="541" t="str">
        <f>IF(D219="","",VLOOKUP(D218,'Dados de Base'!$D$10:$G$20,2,FALSE)&amp;" - "&amp;VLOOKUP(D219,'Dados de Base'!$D$10:$G$20,2,FALSE))</f>
        <v/>
      </c>
      <c r="E228" s="541" t="str">
        <f>IF(E219="","",VLOOKUP(E218,'Dados de Base'!$D$10:$G$20,2,FALSE)&amp;" - "&amp;VLOOKUP(E219,'Dados de Base'!$D$10:$G$20,2,FALSE))</f>
        <v/>
      </c>
      <c r="F228" s="541" t="str">
        <f>IF(F219="","",VLOOKUP(F218,'Dados de Base'!$D$10:$G$20,2,FALSE)&amp;" - "&amp;VLOOKUP(F219,'Dados de Base'!$D$10:$G$20,2,FALSE))</f>
        <v/>
      </c>
      <c r="G228" s="541" t="str">
        <f>IF(G219="","",VLOOKUP(G218,'Dados de Base'!$D$10:$G$20,2,FALSE)&amp;" - "&amp;VLOOKUP(G219,'Dados de Base'!$D$10:$G$20,2,FALSE))</f>
        <v/>
      </c>
      <c r="H228" s="541" t="str">
        <f>IF(H219="","",VLOOKUP(H218,'Dados de Base'!$D$10:$G$20,2,FALSE)&amp;" - "&amp;VLOOKUP(H219,'Dados de Base'!$D$10:$G$20,2,FALSE))</f>
        <v/>
      </c>
      <c r="I228" s="593" t="str">
        <f>IF(I219="","",VLOOKUP(I218,'Dados de Base'!$D$10:$G$20,2,FALSE)&amp;" - "&amp;VLOOKUP(I219,'Dados de Base'!$D$10:$G$20,2,FALSE))</f>
        <v/>
      </c>
      <c r="J228" s="505"/>
      <c r="K228" s="608">
        <f t="shared" si="137"/>
        <v>1</v>
      </c>
      <c r="L228" s="609"/>
      <c r="Q228" s="610"/>
      <c r="R228" s="611"/>
      <c r="S228" s="611"/>
      <c r="T228" s="611"/>
      <c r="U228" s="611"/>
      <c r="V228" s="611"/>
      <c r="W228" s="617" t="str">
        <f>IF(L228="","",OFFSET(Biblioteca!$G$2,MATCH(L228,Biblioteca!$A$3:$A$200,0),)*(1.05^(10-S228)))</f>
        <v/>
      </c>
      <c r="X228" s="618"/>
      <c r="Y228" s="579"/>
      <c r="Z228" s="608">
        <f t="shared" si="138"/>
        <v>1</v>
      </c>
      <c r="AA228" s="619"/>
      <c r="AF228" s="620"/>
      <c r="AG228" s="618"/>
      <c r="AH228" s="618"/>
      <c r="AI228" s="618"/>
      <c r="AJ228" s="618"/>
      <c r="AK228" s="618"/>
      <c r="AL228" s="617" t="str">
        <f>IF(AA228="","",OFFSET(Biblioteca!$G$2,MATCH(AA228,Biblioteca!$A$3:$A$200,0),)*(1.05^(10-AH228)))</f>
        <v/>
      </c>
      <c r="AM228" s="618"/>
      <c r="AN228" s="579"/>
      <c r="AO228" s="608">
        <f t="shared" si="139"/>
        <v>1</v>
      </c>
      <c r="AP228" s="619"/>
      <c r="AU228" s="620"/>
      <c r="AV228" s="618"/>
      <c r="AW228" s="618"/>
      <c r="AX228" s="618"/>
      <c r="AY228" s="618"/>
      <c r="AZ228" s="618"/>
      <c r="BA228" s="617" t="str">
        <f>IF(AP228="","",OFFSET(Biblioteca!$G$2,MATCH(AP228,Biblioteca!$A$3:$A$200,0),)*(1.05^(10-AW228)))</f>
        <v/>
      </c>
      <c r="BB228" s="618"/>
      <c r="BC228" s="579"/>
      <c r="BD228" s="608">
        <f t="shared" si="140"/>
        <v>1</v>
      </c>
      <c r="BE228" s="619"/>
      <c r="BJ228" s="620"/>
      <c r="BK228" s="618"/>
      <c r="BL228" s="618"/>
      <c r="BM228" s="618"/>
      <c r="BN228" s="618"/>
      <c r="BO228" s="618"/>
      <c r="BP228" s="617" t="str">
        <f>IF(BE228="","",OFFSET(Biblioteca!$G$2,MATCH(BE228,Biblioteca!$A$3:$A$200,0),)*(1.05^(10-BL228)))</f>
        <v/>
      </c>
      <c r="BQ228" s="618"/>
      <c r="BR228" s="579"/>
      <c r="BS228" s="608">
        <f t="shared" si="141"/>
        <v>1</v>
      </c>
      <c r="BT228" s="619"/>
      <c r="BY228" s="620"/>
      <c r="BZ228" s="618"/>
      <c r="CA228" s="618"/>
      <c r="CB228" s="618"/>
      <c r="CC228" s="618"/>
      <c r="CD228" s="618"/>
      <c r="CE228" s="617" t="str">
        <f>IF(BT228="","",OFFSET(Biblioteca!$G$2,MATCH(BT228,Biblioteca!$A$3:$A$200,0),)*(1.05^(10-CA228)))</f>
        <v/>
      </c>
      <c r="CF228" s="618"/>
      <c r="CG228" s="579"/>
      <c r="CH228" s="608">
        <f t="shared" si="142"/>
        <v>1</v>
      </c>
      <c r="CI228" s="619"/>
      <c r="CN228" s="620"/>
      <c r="CO228" s="618"/>
      <c r="CP228" s="618"/>
      <c r="CQ228" s="618"/>
      <c r="CR228" s="618"/>
      <c r="CS228" s="618"/>
      <c r="CT228" s="617" t="str">
        <f>IF(CI228="","",OFFSET(Biblioteca!$G$2,MATCH(CI228,Biblioteca!$A$3:$A$200,0),)*(1.05^(10-CP228)))</f>
        <v/>
      </c>
      <c r="CU228" s="618"/>
      <c r="CV228" s="579"/>
      <c r="CW228" s="608">
        <f t="shared" si="143"/>
        <v>1</v>
      </c>
      <c r="CX228" s="619"/>
      <c r="DC228" s="620"/>
      <c r="DD228" s="618"/>
      <c r="DE228" s="618"/>
      <c r="DF228" s="618"/>
      <c r="DG228" s="618"/>
      <c r="DH228" s="618"/>
      <c r="DI228" s="617" t="str">
        <f>IF(CX228="","",OFFSET(Biblioteca!$G$2,MATCH(CX228,Biblioteca!$A$3:$A$200,0),)*(1.05^(10-DE228)))</f>
        <v/>
      </c>
      <c r="DJ228" s="618"/>
      <c r="DK228" s="579"/>
    </row>
    <row r="229" ht="14.25" customHeight="1">
      <c r="A229" s="492" t="str">
        <f>"S "&amp;$AD202&amp;" - "&amp;TEXT(C212,"dd/mm")</f>
        <v>S 5 - 09/02</v>
      </c>
      <c r="B229" s="592" t="s">
        <v>293</v>
      </c>
      <c r="C229" s="541" t="str">
        <f>IF(C219="","",VLOOKUP(C218,'Dados de Base'!$D$10:$G$20,4,FALSE)&amp;" - "&amp;VLOOKUP(C219,'Dados de Base'!$D$10:$G$20,4,TRUE))</f>
        <v/>
      </c>
      <c r="D229" s="541" t="str">
        <f>IF(D219="","",VLOOKUP(D218,'Dados de Base'!$D$10:$G$20,4,FALSE)&amp;" - "&amp;VLOOKUP(D219,'Dados de Base'!$D$10:$G$20,4,FALSE))</f>
        <v/>
      </c>
      <c r="E229" s="541" t="str">
        <f>IF(E219="","",VLOOKUP(E218,'Dados de Base'!$D$10:$G$20,4,FALSE)&amp;" - "&amp;VLOOKUP(E219,'Dados de Base'!$D$10:$G$20,4,FALSE))</f>
        <v/>
      </c>
      <c r="F229" s="541" t="str">
        <f>IF(F219="","",VLOOKUP(F218,'Dados de Base'!$D$10:$G$20,4,FALSE)&amp;" - "&amp;VLOOKUP(F219,'Dados de Base'!$D$10:$G$20,4,FALSE))</f>
        <v/>
      </c>
      <c r="G229" s="541" t="str">
        <f>IF(G219="","",VLOOKUP(G218,'Dados de Base'!$D$10:$G$20,4,FALSE)&amp;" - "&amp;VLOOKUP(G219,'Dados de Base'!$D$10:$G$20,4,FALSE))</f>
        <v/>
      </c>
      <c r="H229" s="541" t="str">
        <f>IF(H219="","",VLOOKUP(H218,'Dados de Base'!$D$10:$G$20,4,FALSE)&amp;" - "&amp;VLOOKUP(H219,'Dados de Base'!$D$10:$G$20,4,FALSE))</f>
        <v/>
      </c>
      <c r="I229" s="593" t="str">
        <f>IF(I219="","",VLOOKUP(I218,'Dados de Base'!$D$10:$G$20,4,FALSE)&amp;" - "&amp;VLOOKUP(I219,'Dados de Base'!$D$10:$G$20,4,FALSE))</f>
        <v/>
      </c>
      <c r="J229" s="505"/>
      <c r="K229" s="608">
        <f t="shared" si="137"/>
        <v>1</v>
      </c>
      <c r="L229" s="609"/>
      <c r="Q229" s="610"/>
      <c r="R229" s="611"/>
      <c r="S229" s="611"/>
      <c r="T229" s="611"/>
      <c r="U229" s="611"/>
      <c r="V229" s="611"/>
      <c r="W229" s="617" t="str">
        <f>IF(L229="","",OFFSET(Biblioteca!$G$2,MATCH(L229,Biblioteca!$A$3:$A$200,0),)*(1.05^(10-S229)))</f>
        <v/>
      </c>
      <c r="X229" s="618"/>
      <c r="Y229" s="588"/>
      <c r="Z229" s="608">
        <f t="shared" si="138"/>
        <v>1</v>
      </c>
      <c r="AA229" s="619"/>
      <c r="AF229" s="620"/>
      <c r="AG229" s="618"/>
      <c r="AH229" s="618"/>
      <c r="AI229" s="618"/>
      <c r="AJ229" s="618"/>
      <c r="AK229" s="618"/>
      <c r="AL229" s="617" t="str">
        <f>IF(AA229="","",OFFSET(Biblioteca!$G$2,MATCH(AA229,Biblioteca!$A$3:$A$200,0),)*(1.05^(10-AH229)))</f>
        <v/>
      </c>
      <c r="AM229" s="618"/>
      <c r="AN229" s="588"/>
      <c r="AO229" s="608">
        <f t="shared" si="139"/>
        <v>1</v>
      </c>
      <c r="AP229" s="619"/>
      <c r="AU229" s="620"/>
      <c r="AV229" s="618"/>
      <c r="AW229" s="618"/>
      <c r="AX229" s="618"/>
      <c r="AY229" s="618"/>
      <c r="AZ229" s="618"/>
      <c r="BA229" s="617" t="str">
        <f>IF(AP229="","",OFFSET(Biblioteca!$G$2,MATCH(AP229,Biblioteca!$A$3:$A$200,0),)*(1.05^(10-AW229)))</f>
        <v/>
      </c>
      <c r="BB229" s="618"/>
      <c r="BC229" s="588"/>
      <c r="BD229" s="608">
        <f t="shared" si="140"/>
        <v>1</v>
      </c>
      <c r="BE229" s="619"/>
      <c r="BJ229" s="620"/>
      <c r="BK229" s="618"/>
      <c r="BL229" s="618"/>
      <c r="BM229" s="618"/>
      <c r="BN229" s="618"/>
      <c r="BO229" s="618"/>
      <c r="BP229" s="617" t="str">
        <f>IF(BE229="","",OFFSET(Biblioteca!$G$2,MATCH(BE229,Biblioteca!$A$3:$A$200,0),)*(1.05^(10-BL229)))</f>
        <v/>
      </c>
      <c r="BQ229" s="618"/>
      <c r="BR229" s="588"/>
      <c r="BS229" s="608">
        <f t="shared" si="141"/>
        <v>1</v>
      </c>
      <c r="BT229" s="619"/>
      <c r="BY229" s="620"/>
      <c r="BZ229" s="618"/>
      <c r="CA229" s="618"/>
      <c r="CB229" s="618"/>
      <c r="CC229" s="618"/>
      <c r="CD229" s="618"/>
      <c r="CE229" s="617" t="str">
        <f>IF(BT229="","",OFFSET(Biblioteca!$G$2,MATCH(BT229,Biblioteca!$A$3:$A$200,0),)*(1.05^(10-CA229)))</f>
        <v/>
      </c>
      <c r="CF229" s="618"/>
      <c r="CG229" s="588"/>
      <c r="CH229" s="608">
        <f t="shared" si="142"/>
        <v>1</v>
      </c>
      <c r="CI229" s="619"/>
      <c r="CN229" s="620"/>
      <c r="CO229" s="618"/>
      <c r="CP229" s="618"/>
      <c r="CQ229" s="618"/>
      <c r="CR229" s="618"/>
      <c r="CS229" s="618"/>
      <c r="CT229" s="617" t="str">
        <f>IF(CI229="","",OFFSET(Biblioteca!$G$2,MATCH(CI229,Biblioteca!$A$3:$A$200,0),)*(1.05^(10-CP229)))</f>
        <v/>
      </c>
      <c r="CU229" s="618"/>
      <c r="CV229" s="588"/>
      <c r="CW229" s="608">
        <f t="shared" si="143"/>
        <v>1</v>
      </c>
      <c r="CX229" s="619"/>
      <c r="DC229" s="620"/>
      <c r="DD229" s="618"/>
      <c r="DE229" s="618"/>
      <c r="DF229" s="618"/>
      <c r="DG229" s="618"/>
      <c r="DH229" s="618"/>
      <c r="DI229" s="617" t="str">
        <f>IF(CX229="","",OFFSET(Biblioteca!$G$2,MATCH(CX229,Biblioteca!$A$3:$A$200,0),)*(1.05^(10-DE229)))</f>
        <v/>
      </c>
      <c r="DJ229" s="618"/>
      <c r="DK229" s="588"/>
    </row>
    <row r="230" ht="14.25" customHeight="1">
      <c r="A230" s="492" t="str">
        <f>"S "&amp;$AD202&amp;" - "&amp;TEXT(C212,"dd/mm")</f>
        <v>S 5 - 09/02</v>
      </c>
      <c r="B230" s="592" t="s">
        <v>298</v>
      </c>
      <c r="C230" s="657" t="str">
        <f>IFS(C217="","",OR(C217="CEXT",C217="CINT"),"Mantenha "&amp;(C215/C221)-3&amp;"-"&amp;(C215/C221)&amp;"min em intensidade constante com frequência cardíaca entre "&amp;C228&amp;" bpm ("&amp;C218*100&amp;" - "&amp;C219*100&amp;"% VO2Máx"&amp;IF(C216="Esteira", " -&gt; "&amp;C229&amp;"km/h",IF(C216="Pista", " -&gt; "&amp;C229&amp;"km/h "&amp;"Pace de "&amp;C232&amp;"min/km",""))&amp;")",OR(C217="IEXT",C217="IINT"),C222&amp;"x ("&amp;IF(C223&gt;=60,INT(C223/60)&amp;"m ","")&amp;IF((C223/60)-INT(C223/60)&gt;0,((C223/60)-INT(C223/60))*60&amp;"s ","")&amp;IF(C219=1.2,"all out","a "&amp;C228&amp;" bpm"&amp;IF(C216="Esteira", "-&gt; "&amp;C229&amp;"km/h",IF(C216="Pista", " -&gt; "&amp;C229&amp;"km/h "&amp;"Pace de "&amp;C232&amp;"min/km","")))&amp;IF(C224=0,""," + "&amp;IF(C224/60&gt;=1,INT(C224/60)&amp;"m ","")&amp;IF((C224/60)-INT(C224/60)&gt;0,((C224/60)-INT(C224/60))*60&amp;"s ","")&amp;IFS(C225=0," repouso",C225&lt;0.5," leve",TRUE," a "&amp;VLOOKUP(C225,'Dados de Base'!$D$10:$G$20,2,FALSE)&amp;" bpm"&amp;IF(C216="Esteira", "-&gt; "&amp;VLOOKUP(C225,'Dados de Base'!$D$10:$G$20,4,FALSE)&amp;"km/h",IF(C216="Pista", " -&gt; "&amp;C229&amp;"km/h "&amp;"Pace de "&amp;C232&amp;"min/km",""))))&amp;")")&amp;C231</f>
        <v/>
      </c>
      <c r="D230" s="657" t="str">
        <f>IFS(D217="","",OR(D217="CEXT",D217="CINT"),"Mantenha "&amp;(D215/D221)-3&amp;"-"&amp;(D215/D221)&amp;"min em intensidade constante com frequência cardíaca entre "&amp;D228&amp;" bpm ("&amp;D218*100&amp;" - "&amp;D219*100&amp;"% VO2Máx"&amp;IF(D216="Esteira", " -&gt; "&amp;D229&amp;"km/h",IF(D216="Pista", " -&gt; "&amp;D229&amp;"km/h "&amp;"Pace de "&amp;D232&amp;"min/km",""))&amp;")",OR(D217="IEXT",D217="IINT"),D222&amp;"x ("&amp;IF(D223&gt;=60,INT(D223/60)&amp;"m ","")&amp;IF((D223/60)-INT(D223/60)&gt;0,((D223/60)-INT(D223/60))*60&amp;"s ","")&amp;IF(D219=1.2,"all out","a "&amp;D228&amp;" bpm"&amp;IF(D216="Esteira", "-&gt; "&amp;D229&amp;"km/h",IF(D216="Pista", " -&gt; "&amp;D229&amp;"km/h "&amp;"Pace de "&amp;D232&amp;"min/km","")))&amp;IF(D224=0,""," + "&amp;IF(D224/60&gt;=1,INT(D224/60)&amp;"m ","")&amp;IF((D224/60)-INT(D224/60)&gt;0,((D224/60)-INT(D224/60))*60&amp;"s ","")&amp;IFS(D225=0," repouso",D225&lt;0.5," leve",TRUE," a "&amp;VLOOKUP(D225,'Dados de Base'!$D$10:$G$20,2,FALSE)&amp;" bpm"&amp;IF(D216="Esteira", "-&gt; "&amp;VLOOKUP(D225,'Dados de Base'!$D$10:$G$20,4,FALSE)&amp;"km/h",IF(D216="Pista", " -&gt; "&amp;D229&amp;"km/h "&amp;"Pace de "&amp;D232&amp;"min/km",""))))&amp;")")&amp;D231</f>
        <v/>
      </c>
      <c r="E230" s="657" t="str">
        <f>IFS(E217="","",OR(E217="CEXT",E217="CINT"),"Mantenha "&amp;(E215/E221)-3&amp;"-"&amp;(E215/E221)&amp;"min em intensidade constante com frequência cardíaca entre "&amp;E228&amp;" bpm ("&amp;E218*100&amp;" - "&amp;E219*100&amp;"% VO2Máx"&amp;IF(E216="Esteira", " -&gt; "&amp;E229&amp;"km/h",IF(E216="Pista", " -&gt; "&amp;E229&amp;"km/h "&amp;"Pace de "&amp;E232&amp;"min/km",""))&amp;")",OR(E217="IEXT",E217="IINT"),E222&amp;"x ("&amp;IF(E223&gt;=60,INT(E223/60)&amp;"m ","")&amp;IF((E223/60)-INT(E223/60)&gt;0,((E223/60)-INT(E223/60))*60&amp;"s ","")&amp;IF(E219=1.2,"all out","a "&amp;E228&amp;" bpm"&amp;IF(E216="Esteira", "-&gt; "&amp;E229&amp;"km/h",IF(E216="Pista", " -&gt; "&amp;E229&amp;"km/h "&amp;"Pace de "&amp;E232&amp;"min/km","")))&amp;IF(E224=0,""," + "&amp;IF(E224/60&gt;=1,INT(E224/60)&amp;"m ","")&amp;IF((E224/60)-INT(E224/60)&gt;0,((E224/60)-INT(E224/60))*60&amp;"s ","")&amp;IFS(E225=0," repouso",E225&lt;0.5," leve",TRUE," a "&amp;VLOOKUP(E225,'Dados de Base'!$D$10:$G$20,2,FALSE)&amp;" bpm"&amp;IF(E216="Esteira", "-&gt; "&amp;VLOOKUP(E225,'Dados de Base'!$D$10:$G$20,4,FALSE)&amp;"km/h",IF(E216="Pista", " -&gt; "&amp;E229&amp;"km/h "&amp;"Pace de "&amp;E232&amp;"min/km",""))))&amp;")")&amp;E231</f>
        <v/>
      </c>
      <c r="F230" s="657" t="str">
        <f>IFS(F217="","",OR(F217="CEXT",F217="CINT"),"Mantenha "&amp;(F215/F221)-3&amp;"-"&amp;(F215/F221)&amp;"min em intensidade constante com frequência cardíaca entre "&amp;F228&amp;" bpm ("&amp;F218*100&amp;" - "&amp;F219*100&amp;"% VO2Máx"&amp;IF(F216="Esteira", " -&gt; "&amp;F229&amp;"km/h",IF(F216="Pista", " -&gt; "&amp;F229&amp;"km/h "&amp;"Pace de "&amp;F232&amp;"min/km",""))&amp;")",OR(F217="IEXT",F217="IINT"),F222&amp;"x ("&amp;IF(F223&gt;=60,INT(F223/60)&amp;"m ","")&amp;IF((F223/60)-INT(F223/60)&gt;0,((F223/60)-INT(F223/60))*60&amp;"s ","")&amp;IF(F219=1.2,"all out","a "&amp;F228&amp;" bpm"&amp;IF(F216="Esteira", "-&gt; "&amp;F229&amp;"km/h",IF(F216="Pista", " -&gt; "&amp;F229&amp;"km/h "&amp;"Pace de "&amp;F232&amp;"min/km","")))&amp;IF(F224=0,""," + "&amp;IF(F224/60&gt;=1,INT(F224/60)&amp;"m ","")&amp;IF((F224/60)-INT(F224/60)&gt;0,((F224/60)-INT(F224/60))*60&amp;"s ","")&amp;IFS(F225=0," repouso",F225&lt;0.5," leve",TRUE," a "&amp;VLOOKUP(F225,'Dados de Base'!$D$10:$G$20,2,FALSE)&amp;" bpm"&amp;IF(F216="Esteira", "-&gt; "&amp;VLOOKUP(F225,'Dados de Base'!$D$10:$G$20,4,FALSE)&amp;"km/h",IF(F216="Pista", " -&gt; "&amp;F229&amp;"km/h "&amp;"Pace de "&amp;F232&amp;"min/km",""))))&amp;")")&amp;F231</f>
        <v/>
      </c>
      <c r="G230" s="657" t="str">
        <f>IFS(G217="","",OR(G217="CEXT",G217="CINT"),"Mantenha "&amp;(G215/G221)-3&amp;"-"&amp;(G215/G221)&amp;"min em intensidade constante com frequência cardíaca entre "&amp;G228&amp;" bpm ("&amp;G218*100&amp;" - "&amp;G219*100&amp;"% VO2Máx"&amp;IF(G216="Esteira", " -&gt; "&amp;G229&amp;"km/h",IF(G216="Pista", " -&gt; "&amp;G229&amp;"km/h "&amp;"Pace de "&amp;G232&amp;"min/km",""))&amp;")",OR(G217="IEXT",G217="IINT"),G222&amp;"x ("&amp;IF(G223&gt;=60,INT(G223/60)&amp;"m ","")&amp;IF((G223/60)-INT(G223/60)&gt;0,((G223/60)-INT(G223/60))*60&amp;"s ","")&amp;IF(G219=1.2,"all out","a "&amp;G228&amp;" bpm"&amp;IF(G216="Esteira", "-&gt; "&amp;G229&amp;"km/h",IF(G216="Pista", " -&gt; "&amp;G229&amp;"km/h "&amp;"Pace de "&amp;G232&amp;"min/km","")))&amp;IF(G224=0,""," + "&amp;IF(G224/60&gt;=1,INT(G224/60)&amp;"m ","")&amp;IF((G224/60)-INT(G224/60)&gt;0,((G224/60)-INT(G224/60))*60&amp;"s ","")&amp;IFS(G225=0," repouso",G225&lt;0.5," leve",TRUE," a "&amp;VLOOKUP(G225,'Dados de Base'!$D$10:$G$20,2,FALSE)&amp;" bpm"&amp;IF(G216="Esteira", "-&gt; "&amp;VLOOKUP(G225,'Dados de Base'!$D$10:$G$20,4,FALSE)&amp;"km/h",IF(G216="Pista", " -&gt; "&amp;G229&amp;"km/h "&amp;"Pace de "&amp;G232&amp;"min/km",""))))&amp;")")&amp;G231</f>
        <v/>
      </c>
      <c r="H230" s="657" t="str">
        <f>IFS(H217="","",OR(H217="CEXT",H217="CINT"),"Mantenha "&amp;(H215/H221)-3&amp;"-"&amp;(H215/H221)&amp;"min em intensidade constante com frequência cardíaca entre "&amp;H228&amp;" bpm ("&amp;H218*100&amp;" - "&amp;H219*100&amp;"% VO2Máx"&amp;IF(H216="Esteira", " -&gt; "&amp;H229&amp;"km/h",IF(H216="Pista", " -&gt; "&amp;H229&amp;"km/h "&amp;"Pace de "&amp;H232&amp;"min/km",""))&amp;")",OR(H217="IEXT",H217="IINT"),H222&amp;"x ("&amp;IF(H223&gt;=60,INT(H223/60)&amp;"m ","")&amp;IF((H223/60)-INT(H223/60)&gt;0,((H223/60)-INT(H223/60))*60&amp;"s ","")&amp;IF(H219=1.2,"all out","a "&amp;H228&amp;" bpm"&amp;IF(H216="Esteira", "-&gt; "&amp;H229&amp;"km/h",IF(H216="Pista", " -&gt; "&amp;H229&amp;"km/h "&amp;"Pace de "&amp;H232&amp;"min/km","")))&amp;IF(H224=0,""," + "&amp;IF(H224/60&gt;=1,INT(H224/60)&amp;"m ","")&amp;IF((H224/60)-INT(H224/60)&gt;0,((H224/60)-INT(H224/60))*60&amp;"s ","")&amp;IFS(H225=0," repouso",H225&lt;0.5," leve",TRUE," a "&amp;VLOOKUP(H225,'Dados de Base'!$D$10:$G$20,2,FALSE)&amp;" bpm"&amp;IF(H216="Esteira", "-&gt; "&amp;VLOOKUP(H225,'Dados de Base'!$D$10:$G$20,4,FALSE)&amp;"km/h",IF(H216="Pista", " -&gt; "&amp;H229&amp;"km/h "&amp;"Pace de "&amp;H232&amp;"min/km",""))))&amp;")")&amp;H231</f>
        <v/>
      </c>
      <c r="I230" s="657" t="str">
        <f>IFS(I217="","",OR(I217="CEXT",I217="CINT"),"Mantenha "&amp;(I215/I221)-3&amp;"-"&amp;(I215/I221)&amp;"min em intensidade constante com frequência cardíaca entre "&amp;I228&amp;" bpm ("&amp;I218*100&amp;" - "&amp;I219*100&amp;"% VO2Máx"&amp;IF(I216="Esteira", " -&gt; "&amp;I229&amp;"km/h",IF(I216="Pista", " -&gt; "&amp;I229&amp;"km/h "&amp;"Pace de "&amp;I232&amp;"min/km",""))&amp;")",OR(I217="IEXT",I217="IINT"),I222&amp;"x ("&amp;IF(I223&gt;=60,INT(I223/60)&amp;"m ","")&amp;IF((I223/60)-INT(I223/60)&gt;0,((I223/60)-INT(I223/60))*60&amp;"s ","")&amp;IF(I219=1.2,"all out","a "&amp;I228&amp;" bpm"&amp;IF(I216="Esteira", "-&gt; "&amp;I229&amp;"km/h",IF(I216="Pista", " -&gt; "&amp;I229&amp;"km/h "&amp;"Pace de "&amp;I232&amp;"min/km","")))&amp;IF(I224=0,""," + "&amp;IF(I224/60&gt;=1,INT(I224/60)&amp;"m ","")&amp;IF((I224/60)-INT(I224/60)&gt;0,((I224/60)-INT(I224/60))*60&amp;"s ","")&amp;IFS(I225=0," repouso",I225&lt;0.5," leve",TRUE," a "&amp;VLOOKUP(I225,'Dados de Base'!$D$10:$G$20,2,FALSE)&amp;" bpm"&amp;IF(I216="Esteira", "-&gt; "&amp;VLOOKUP(I225,'Dados de Base'!$D$10:$G$20,4,FALSE)&amp;"km/h",IF(I216="Pista", " -&gt; "&amp;I229&amp;"km/h "&amp;"Pace de "&amp;I232&amp;"min/km",""))))&amp;")")&amp;I231</f>
        <v/>
      </c>
      <c r="J230" s="659"/>
      <c r="K230" s="608">
        <f t="shared" si="137"/>
        <v>1</v>
      </c>
      <c r="L230" s="645"/>
      <c r="Q230" s="705"/>
      <c r="R230" s="644"/>
      <c r="S230" s="644"/>
      <c r="T230" s="644"/>
      <c r="U230" s="644"/>
      <c r="V230" s="644"/>
      <c r="W230" s="617" t="str">
        <f>IF(L230="","",OFFSET(Biblioteca!$G$2,MATCH(L230,Biblioteca!$A$3:$A$200,0),)*(1.05^(10-S230)))</f>
        <v/>
      </c>
      <c r="X230" s="618"/>
      <c r="Y230" s="579"/>
      <c r="Z230" s="608">
        <f t="shared" si="138"/>
        <v>1</v>
      </c>
      <c r="AA230" s="619"/>
      <c r="AF230" s="620"/>
      <c r="AG230" s="618"/>
      <c r="AH230" s="618"/>
      <c r="AI230" s="618"/>
      <c r="AJ230" s="618"/>
      <c r="AK230" s="618"/>
      <c r="AL230" s="617" t="str">
        <f>IF(AA230="","",OFFSET(Biblioteca!$G$2,MATCH(AA230,Biblioteca!$A$3:$A$200,0),)*(1.05^(10-AH230)))</f>
        <v/>
      </c>
      <c r="AM230" s="618"/>
      <c r="AN230" s="579"/>
      <c r="AO230" s="608">
        <f t="shared" si="139"/>
        <v>1</v>
      </c>
      <c r="AP230" s="619"/>
      <c r="AU230" s="620"/>
      <c r="AV230" s="618"/>
      <c r="AW230" s="618"/>
      <c r="AX230" s="618"/>
      <c r="AY230" s="618"/>
      <c r="AZ230" s="618"/>
      <c r="BA230" s="617" t="str">
        <f>IF(AP230="","",OFFSET(Biblioteca!$G$2,MATCH(AP230,Biblioteca!$A$3:$A$200,0),)*(1.05^(10-AW230)))</f>
        <v/>
      </c>
      <c r="BB230" s="618"/>
      <c r="BC230" s="579"/>
      <c r="BD230" s="608">
        <f t="shared" si="140"/>
        <v>1</v>
      </c>
      <c r="BE230" s="619"/>
      <c r="BJ230" s="620"/>
      <c r="BK230" s="618"/>
      <c r="BL230" s="618"/>
      <c r="BM230" s="618"/>
      <c r="BN230" s="618"/>
      <c r="BO230" s="618"/>
      <c r="BP230" s="617" t="str">
        <f>IF(BE230="","",OFFSET(Biblioteca!$G$2,MATCH(BE230,Biblioteca!$A$3:$A$200,0),)*(1.05^(10-BL230)))</f>
        <v/>
      </c>
      <c r="BQ230" s="618"/>
      <c r="BR230" s="579"/>
      <c r="BS230" s="608">
        <f t="shared" si="141"/>
        <v>1</v>
      </c>
      <c r="BT230" s="619"/>
      <c r="BY230" s="620"/>
      <c r="BZ230" s="618"/>
      <c r="CA230" s="618"/>
      <c r="CB230" s="618"/>
      <c r="CC230" s="618"/>
      <c r="CD230" s="618"/>
      <c r="CE230" s="617" t="str">
        <f>IF(BT230="","",OFFSET(Biblioteca!$G$2,MATCH(BT230,Biblioteca!$A$3:$A$200,0),)*(1.05^(10-CA230)))</f>
        <v/>
      </c>
      <c r="CF230" s="618"/>
      <c r="CG230" s="579"/>
      <c r="CH230" s="608">
        <f t="shared" si="142"/>
        <v>1</v>
      </c>
      <c r="CI230" s="619"/>
      <c r="CN230" s="620"/>
      <c r="CO230" s="618"/>
      <c r="CP230" s="618"/>
      <c r="CQ230" s="618"/>
      <c r="CR230" s="618"/>
      <c r="CS230" s="618"/>
      <c r="CT230" s="617" t="str">
        <f>IF(CI230="","",OFFSET(Biblioteca!$G$2,MATCH(CI230,Biblioteca!$A$3:$A$200,0),)*(1.05^(10-CP230)))</f>
        <v/>
      </c>
      <c r="CU230" s="618"/>
      <c r="CV230" s="579"/>
      <c r="CW230" s="608">
        <f t="shared" si="143"/>
        <v>1</v>
      </c>
      <c r="CX230" s="619"/>
      <c r="DC230" s="620"/>
      <c r="DD230" s="618"/>
      <c r="DE230" s="618"/>
      <c r="DF230" s="618"/>
      <c r="DG230" s="618"/>
      <c r="DH230" s="618"/>
      <c r="DI230" s="617" t="str">
        <f>IF(CX230="","",OFFSET(Biblioteca!$G$2,MATCH(CX230,Biblioteca!$A$3:$A$200,0),)*(1.05^(10-DE230)))</f>
        <v/>
      </c>
      <c r="DJ230" s="618"/>
      <c r="DK230" s="579"/>
    </row>
    <row r="231" ht="111.0" customHeight="1">
      <c r="A231" s="492" t="str">
        <f>"S "&amp;$AD202&amp;" - "&amp;TEXT(C212,"dd/mm")</f>
        <v>S 5 - 09/02</v>
      </c>
      <c r="B231" s="647" t="s">
        <v>302</v>
      </c>
      <c r="C231" s="660"/>
      <c r="D231" s="661"/>
      <c r="E231" s="660"/>
      <c r="F231" s="660"/>
      <c r="G231" s="660"/>
      <c r="H231" s="661"/>
      <c r="I231" s="600"/>
      <c r="J231" s="505"/>
      <c r="K231" s="608">
        <f t="shared" si="137"/>
        <v>1</v>
      </c>
      <c r="L231" s="619"/>
      <c r="Q231" s="620"/>
      <c r="R231" s="618"/>
      <c r="S231" s="618"/>
      <c r="T231" s="618"/>
      <c r="U231" s="618"/>
      <c r="V231" s="618"/>
      <c r="W231" s="617" t="str">
        <f>IF(L231="","",OFFSET(Biblioteca!$G$2,MATCH(L231,Biblioteca!$A$3:$A$200,0),)*(1.05^(10-S231)))</f>
        <v/>
      </c>
      <c r="X231" s="618"/>
      <c r="Y231" s="588"/>
      <c r="Z231" s="608">
        <f t="shared" si="138"/>
        <v>1</v>
      </c>
      <c r="AA231" s="619"/>
      <c r="AF231" s="620"/>
      <c r="AG231" s="618"/>
      <c r="AH231" s="618"/>
      <c r="AI231" s="618"/>
      <c r="AJ231" s="618"/>
      <c r="AK231" s="618"/>
      <c r="AL231" s="617" t="str">
        <f>IF(AA231="","",OFFSET(Biblioteca!$G$2,MATCH(AA231,Biblioteca!$A$3:$A$200,0),)*(1.05^(10-AH231)))</f>
        <v/>
      </c>
      <c r="AM231" s="618"/>
      <c r="AN231" s="588"/>
      <c r="AO231" s="608">
        <f t="shared" si="139"/>
        <v>1</v>
      </c>
      <c r="AP231" s="619"/>
      <c r="AU231" s="620"/>
      <c r="AV231" s="618"/>
      <c r="AW231" s="618"/>
      <c r="AX231" s="618"/>
      <c r="AY231" s="618"/>
      <c r="AZ231" s="618"/>
      <c r="BA231" s="617" t="str">
        <f>IF(AP231="","",OFFSET(Biblioteca!$G$2,MATCH(AP231,Biblioteca!$A$3:$A$200,0),)*(1.05^(10-AW231)))</f>
        <v/>
      </c>
      <c r="BB231" s="618"/>
      <c r="BC231" s="588"/>
      <c r="BD231" s="608">
        <f t="shared" si="140"/>
        <v>1</v>
      </c>
      <c r="BE231" s="619"/>
      <c r="BJ231" s="620"/>
      <c r="BK231" s="618"/>
      <c r="BL231" s="618"/>
      <c r="BM231" s="618"/>
      <c r="BN231" s="618"/>
      <c r="BO231" s="618"/>
      <c r="BP231" s="617" t="str">
        <f>IF(BE231="","",OFFSET(Biblioteca!$G$2,MATCH(BE231,Biblioteca!$A$3:$A$200,0),)*(1.05^(10-BL231)))</f>
        <v/>
      </c>
      <c r="BQ231" s="618"/>
      <c r="BR231" s="588"/>
      <c r="BS231" s="608">
        <f t="shared" si="141"/>
        <v>1</v>
      </c>
      <c r="BT231" s="619"/>
      <c r="BY231" s="620"/>
      <c r="BZ231" s="618"/>
      <c r="CA231" s="618"/>
      <c r="CB231" s="618"/>
      <c r="CC231" s="618"/>
      <c r="CD231" s="618"/>
      <c r="CE231" s="617" t="str">
        <f>IF(BT231="","",OFFSET(Biblioteca!$G$2,MATCH(BT231,Biblioteca!$A$3:$A$200,0),)*(1.05^(10-CA231)))</f>
        <v/>
      </c>
      <c r="CF231" s="618"/>
      <c r="CG231" s="588"/>
      <c r="CH231" s="608">
        <f t="shared" si="142"/>
        <v>1</v>
      </c>
      <c r="CI231" s="619"/>
      <c r="CN231" s="620"/>
      <c r="CO231" s="618"/>
      <c r="CP231" s="618"/>
      <c r="CQ231" s="618"/>
      <c r="CR231" s="618"/>
      <c r="CS231" s="618"/>
      <c r="CT231" s="617" t="str">
        <f>IF(CI231="","",OFFSET(Biblioteca!$G$2,MATCH(CI231,Biblioteca!$A$3:$A$200,0),)*(1.05^(10-CP231)))</f>
        <v/>
      </c>
      <c r="CU231" s="618"/>
      <c r="CV231" s="588"/>
      <c r="CW231" s="608">
        <f t="shared" si="143"/>
        <v>1</v>
      </c>
      <c r="CX231" s="619"/>
      <c r="DC231" s="620"/>
      <c r="DD231" s="618"/>
      <c r="DE231" s="618"/>
      <c r="DF231" s="618"/>
      <c r="DG231" s="618"/>
      <c r="DH231" s="618"/>
      <c r="DI231" s="617" t="str">
        <f>IF(CX231="","",OFFSET(Biblioteca!$G$2,MATCH(CX231,Biblioteca!$A$3:$A$200,0),)*(1.05^(10-DE231)))</f>
        <v/>
      </c>
      <c r="DJ231" s="618"/>
      <c r="DK231" s="588"/>
    </row>
    <row r="232" ht="14.25" customHeight="1">
      <c r="A232" s="492" t="str">
        <f>"S "&amp;$AD202&amp;" - "&amp;TEXT(C212,"dd/mm")</f>
        <v>S 5 - 09/02</v>
      </c>
      <c r="B232" s="666" t="s">
        <v>306</v>
      </c>
      <c r="C232" s="667" t="str">
        <f>IF(C219="","",ROUND(VLOOKUP(C218,'Dados de Base'!$D$10:$H$20,5,FALSE),1)&amp;" - "&amp;ROUND(VLOOKUP(C219,'Dados de Base'!$D$10:$H$20,5,TRUE),1))</f>
        <v/>
      </c>
      <c r="D232" s="667" t="str">
        <f>IF(D219="","",ROUND(VLOOKUP(D218,'Dados de Base'!$D$10:$H$20,5,FALSE),1)&amp;" - "&amp;ROUND(VLOOKUP(D219,'Dados de Base'!$D$10:$H$20,5,TRUE),1))</f>
        <v/>
      </c>
      <c r="E232" s="667" t="str">
        <f>IF(E219="","",ROUND(VLOOKUP(E218,'Dados de Base'!$D$10:$H$20,5,FALSE),1)&amp;" - "&amp;ROUND(VLOOKUP(E219,'Dados de Base'!$D$10:$H$20,5,TRUE),1))</f>
        <v/>
      </c>
      <c r="F232" s="667" t="str">
        <f>IF(F219="","",ROUND(VLOOKUP(F218,'Dados de Base'!$D$10:$H$20,5,FALSE),1)&amp;" - "&amp;ROUND(VLOOKUP(F219,'Dados de Base'!$D$10:$H$20,5,TRUE),1))</f>
        <v/>
      </c>
      <c r="G232" s="667" t="str">
        <f>IF(G219="","",ROUND(VLOOKUP(G218,'Dados de Base'!$D$10:$H$20,5,FALSE),1)&amp;" - "&amp;ROUND(VLOOKUP(G219,'Dados de Base'!$D$10:$H$20,5,TRUE),1))</f>
        <v/>
      </c>
      <c r="H232" s="667" t="str">
        <f>IF(H219="","",ROUND(VLOOKUP(H218,'Dados de Base'!$D$10:$H$20,5,FALSE),1)&amp;" - "&amp;ROUND(VLOOKUP(H219,'Dados de Base'!$D$10:$H$20,5,TRUE),1))</f>
        <v/>
      </c>
      <c r="I232" s="667" t="str">
        <f>IF(I219="","",ROUND(VLOOKUP(I218,'Dados de Base'!$D$10:$H$20,5,FALSE),1)&amp;" - "&amp;ROUND(VLOOKUP(I219,'Dados de Base'!$D$10:$H$20,5,TRUE),1))</f>
        <v/>
      </c>
      <c r="J232" s="505"/>
      <c r="K232" s="608">
        <f t="shared" si="137"/>
        <v>1</v>
      </c>
      <c r="L232" s="619"/>
      <c r="Q232" s="620"/>
      <c r="R232" s="618"/>
      <c r="S232" s="618"/>
      <c r="T232" s="618"/>
      <c r="U232" s="618"/>
      <c r="V232" s="618"/>
      <c r="W232" s="617" t="str">
        <f>IF(L232="","",OFFSET(Biblioteca!$G$2,MATCH(L232,Biblioteca!$A$3:$A$200,0),)*(1.05^(10-S232)))</f>
        <v/>
      </c>
      <c r="X232" s="618"/>
      <c r="Y232" s="579"/>
      <c r="Z232" s="608">
        <f t="shared" si="138"/>
        <v>1</v>
      </c>
      <c r="AA232" s="619"/>
      <c r="AF232" s="620"/>
      <c r="AG232" s="618"/>
      <c r="AH232" s="618"/>
      <c r="AI232" s="618"/>
      <c r="AJ232" s="618"/>
      <c r="AK232" s="618"/>
      <c r="AL232" s="617" t="str">
        <f>IF(AA232="","",OFFSET(Biblioteca!$G$2,MATCH(AA232,Biblioteca!$A$3:$A$200,0),)*(1.05^(10-AH232)))</f>
        <v/>
      </c>
      <c r="AM232" s="618"/>
      <c r="AN232" s="579"/>
      <c r="AO232" s="608">
        <f t="shared" si="139"/>
        <v>1</v>
      </c>
      <c r="AP232" s="619"/>
      <c r="AU232" s="620"/>
      <c r="AV232" s="618"/>
      <c r="AW232" s="618"/>
      <c r="AX232" s="618"/>
      <c r="AY232" s="618"/>
      <c r="AZ232" s="618"/>
      <c r="BA232" s="617" t="str">
        <f>IF(AP232="","",OFFSET(Biblioteca!$G$2,MATCH(AP232,Biblioteca!$A$3:$A$200,0),)*(1.05^(10-AW232)))</f>
        <v/>
      </c>
      <c r="BB232" s="618"/>
      <c r="BC232" s="579"/>
      <c r="BD232" s="608">
        <f t="shared" si="140"/>
        <v>1</v>
      </c>
      <c r="BE232" s="619"/>
      <c r="BJ232" s="620"/>
      <c r="BK232" s="618"/>
      <c r="BL232" s="618"/>
      <c r="BM232" s="618"/>
      <c r="BN232" s="618"/>
      <c r="BO232" s="618"/>
      <c r="BP232" s="617" t="str">
        <f>IF(BE232="","",OFFSET(Biblioteca!$G$2,MATCH(BE232,Biblioteca!$A$3:$A$200,0),)*(1.05^(10-BL232)))</f>
        <v/>
      </c>
      <c r="BQ232" s="618"/>
      <c r="BR232" s="579"/>
      <c r="BS232" s="608">
        <f t="shared" si="141"/>
        <v>1</v>
      </c>
      <c r="BT232" s="619"/>
      <c r="BY232" s="620"/>
      <c r="BZ232" s="618"/>
      <c r="CA232" s="618"/>
      <c r="CB232" s="618"/>
      <c r="CC232" s="618"/>
      <c r="CD232" s="618"/>
      <c r="CE232" s="617" t="str">
        <f>IF(BT232="","",OFFSET(Biblioteca!$G$2,MATCH(BT232,Biblioteca!$A$3:$A$200,0),)*(1.05^(10-CA232)))</f>
        <v/>
      </c>
      <c r="CF232" s="618"/>
      <c r="CG232" s="579"/>
      <c r="CH232" s="608">
        <f t="shared" si="142"/>
        <v>1</v>
      </c>
      <c r="CI232" s="619"/>
      <c r="CN232" s="620"/>
      <c r="CO232" s="618"/>
      <c r="CP232" s="618"/>
      <c r="CQ232" s="618"/>
      <c r="CR232" s="618"/>
      <c r="CS232" s="618"/>
      <c r="CT232" s="617" t="str">
        <f>IF(CI232="","",OFFSET(Biblioteca!$G$2,MATCH(CI232,Biblioteca!$A$3:$A$200,0),)*(1.05^(10-CP232)))</f>
        <v/>
      </c>
      <c r="CU232" s="618"/>
      <c r="CV232" s="579"/>
      <c r="CW232" s="608">
        <f t="shared" si="143"/>
        <v>1</v>
      </c>
      <c r="CX232" s="619"/>
      <c r="DC232" s="620"/>
      <c r="DD232" s="618"/>
      <c r="DE232" s="618"/>
      <c r="DF232" s="618"/>
      <c r="DG232" s="618"/>
      <c r="DH232" s="618"/>
      <c r="DI232" s="617" t="str">
        <f>IF(CX232="","",OFFSET(Biblioteca!$G$2,MATCH(CX232,Biblioteca!$A$3:$A$200,0),)*(1.05^(10-DE232)))</f>
        <v/>
      </c>
      <c r="DJ232" s="618"/>
      <c r="DK232" s="579"/>
    </row>
    <row r="233" ht="14.25" customHeight="1">
      <c r="A233" s="492" t="str">
        <f>"S "&amp;$AD202&amp;" - "&amp;TEXT(C212,"dd/mm")</f>
        <v>S 5 - 09/02</v>
      </c>
      <c r="B233" s="592" t="s">
        <v>307</v>
      </c>
      <c r="C233" s="668" t="str">
        <f>'Anotações gerais'!$B$3</f>
        <v/>
      </c>
      <c r="D233" s="60"/>
      <c r="E233" s="60"/>
      <c r="F233" s="60"/>
      <c r="G233" s="60"/>
      <c r="H233" s="61"/>
      <c r="I233" s="669"/>
      <c r="J233" s="505"/>
      <c r="K233" s="608">
        <f t="shared" si="137"/>
        <v>1</v>
      </c>
      <c r="L233" s="619"/>
      <c r="Q233" s="620"/>
      <c r="R233" s="618"/>
      <c r="S233" s="618"/>
      <c r="T233" s="618"/>
      <c r="U233" s="618"/>
      <c r="V233" s="618"/>
      <c r="W233" s="617" t="str">
        <f>IF(L233="","",OFFSET(Biblioteca!$G$2,MATCH(L233,Biblioteca!$A$3:$A$200,0),)*(1.05^(10-S233)))</f>
        <v/>
      </c>
      <c r="X233" s="618"/>
      <c r="Y233" s="579"/>
      <c r="Z233" s="608">
        <f t="shared" si="138"/>
        <v>1</v>
      </c>
      <c r="AA233" s="619"/>
      <c r="AF233" s="620"/>
      <c r="AG233" s="618"/>
      <c r="AH233" s="618"/>
      <c r="AI233" s="618"/>
      <c r="AJ233" s="618"/>
      <c r="AK233" s="618"/>
      <c r="AL233" s="617" t="str">
        <f>IF(AA233="","",OFFSET(Biblioteca!$G$2,MATCH(AA233,Biblioteca!$A$3:$A$200,0),)*(1.05^(10-AH233)))</f>
        <v/>
      </c>
      <c r="AM233" s="618"/>
      <c r="AN233" s="579"/>
      <c r="AO233" s="608">
        <f t="shared" si="139"/>
        <v>1</v>
      </c>
      <c r="AP233" s="619"/>
      <c r="AU233" s="620"/>
      <c r="AV233" s="618"/>
      <c r="AW233" s="618"/>
      <c r="AX233" s="618"/>
      <c r="AY233" s="618"/>
      <c r="AZ233" s="618"/>
      <c r="BA233" s="617" t="str">
        <f>IF(AP233="","",OFFSET(Biblioteca!$G$2,MATCH(AP233,Biblioteca!$A$3:$A$200,0),)*(1.05^(10-AW233)))</f>
        <v/>
      </c>
      <c r="BB233" s="618"/>
      <c r="BC233" s="579"/>
      <c r="BD233" s="608">
        <f t="shared" si="140"/>
        <v>1</v>
      </c>
      <c r="BE233" s="619"/>
      <c r="BJ233" s="620"/>
      <c r="BK233" s="618"/>
      <c r="BL233" s="618"/>
      <c r="BM233" s="618"/>
      <c r="BN233" s="618"/>
      <c r="BO233" s="618"/>
      <c r="BP233" s="617" t="str">
        <f>IF(BE233="","",OFFSET(Biblioteca!$G$2,MATCH(BE233,Biblioteca!$A$3:$A$200,0),)*(1.05^(10-BL233)))</f>
        <v/>
      </c>
      <c r="BQ233" s="618"/>
      <c r="BR233" s="579"/>
      <c r="BS233" s="608">
        <f t="shared" si="141"/>
        <v>1</v>
      </c>
      <c r="BT233" s="619"/>
      <c r="BY233" s="620"/>
      <c r="BZ233" s="618"/>
      <c r="CA233" s="618"/>
      <c r="CB233" s="618"/>
      <c r="CC233" s="618"/>
      <c r="CD233" s="618"/>
      <c r="CE233" s="617" t="str">
        <f>IF(BT233="","",OFFSET(Biblioteca!$G$2,MATCH(BT233,Biblioteca!$A$3:$A$200,0),)*(1.05^(10-CA233)))</f>
        <v/>
      </c>
      <c r="CF233" s="618"/>
      <c r="CG233" s="579"/>
      <c r="CH233" s="608">
        <f t="shared" si="142"/>
        <v>1</v>
      </c>
      <c r="CI233" s="619"/>
      <c r="CN233" s="620"/>
      <c r="CO233" s="618"/>
      <c r="CP233" s="618"/>
      <c r="CQ233" s="618"/>
      <c r="CR233" s="618"/>
      <c r="CS233" s="618"/>
      <c r="CT233" s="617" t="str">
        <f>IF(CI233="","",OFFSET(Biblioteca!$G$2,MATCH(CI233,Biblioteca!$A$3:$A$200,0),)*(1.05^(10-CP233)))</f>
        <v/>
      </c>
      <c r="CU233" s="618"/>
      <c r="CV233" s="579"/>
      <c r="CW233" s="608">
        <f t="shared" si="143"/>
        <v>1</v>
      </c>
      <c r="CX233" s="619"/>
      <c r="DC233" s="620"/>
      <c r="DD233" s="618"/>
      <c r="DE233" s="618"/>
      <c r="DF233" s="618"/>
      <c r="DG233" s="618"/>
      <c r="DH233" s="618"/>
      <c r="DI233" s="617" t="str">
        <f>IF(CX233="","",OFFSET(Biblioteca!$G$2,MATCH(CX233,Biblioteca!$A$3:$A$200,0),)*(1.05^(10-DE233)))</f>
        <v/>
      </c>
      <c r="DJ233" s="618"/>
      <c r="DK233" s="579"/>
    </row>
    <row r="234" ht="14.25" customHeight="1">
      <c r="A234" s="492" t="str">
        <f>"S "&amp;$AD202&amp;" - "&amp;TEXT(C212,"dd/mm")</f>
        <v>S 5 - 09/02</v>
      </c>
      <c r="B234" s="592" t="s">
        <v>308</v>
      </c>
      <c r="C234" s="668" t="str">
        <f>OFFSET('Periodização Macrociclo'!$D$8,0,MATCH(C202,'Periodização Macrociclo'!$D$4:$BP$4,0))</f>
        <v>Potência</v>
      </c>
      <c r="D234" s="60"/>
      <c r="E234" s="60"/>
      <c r="F234" s="60"/>
      <c r="G234" s="60"/>
      <c r="H234" s="61"/>
      <c r="I234" s="669"/>
      <c r="J234" s="505"/>
      <c r="K234" s="608">
        <f t="shared" si="137"/>
        <v>1</v>
      </c>
      <c r="L234" s="619"/>
      <c r="Q234" s="620"/>
      <c r="R234" s="618"/>
      <c r="S234" s="618"/>
      <c r="T234" s="618"/>
      <c r="U234" s="618"/>
      <c r="V234" s="618"/>
      <c r="W234" s="617" t="str">
        <f>IF(L234="","",OFFSET(Biblioteca!$G$2,MATCH(L234,Biblioteca!$A$3:$A$200,0),)*(1.05^(10-S234)))</f>
        <v/>
      </c>
      <c r="X234" s="618"/>
      <c r="Y234" s="579"/>
      <c r="Z234" s="608">
        <f t="shared" si="138"/>
        <v>1</v>
      </c>
      <c r="AA234" s="619"/>
      <c r="AF234" s="620"/>
      <c r="AG234" s="618"/>
      <c r="AH234" s="618"/>
      <c r="AI234" s="618"/>
      <c r="AJ234" s="618"/>
      <c r="AK234" s="618"/>
      <c r="AL234" s="617" t="str">
        <f>IF(AA234="","",OFFSET(Biblioteca!$G$2,MATCH(AA234,Biblioteca!$A$3:$A$200,0),)*(1.05^(10-AH234)))</f>
        <v/>
      </c>
      <c r="AM234" s="618"/>
      <c r="AN234" s="579"/>
      <c r="AO234" s="608">
        <f t="shared" si="139"/>
        <v>1</v>
      </c>
      <c r="AP234" s="619"/>
      <c r="AU234" s="620"/>
      <c r="AV234" s="618"/>
      <c r="AW234" s="618"/>
      <c r="AX234" s="618"/>
      <c r="AY234" s="618"/>
      <c r="AZ234" s="618"/>
      <c r="BA234" s="617" t="str">
        <f>IF(AP234="","",OFFSET(Biblioteca!$G$2,MATCH(AP234,Biblioteca!$A$3:$A$200,0),)*(1.05^(10-AW234)))</f>
        <v/>
      </c>
      <c r="BB234" s="618"/>
      <c r="BC234" s="579"/>
      <c r="BD234" s="608">
        <f t="shared" si="140"/>
        <v>1</v>
      </c>
      <c r="BE234" s="619"/>
      <c r="BJ234" s="620"/>
      <c r="BK234" s="618"/>
      <c r="BL234" s="618"/>
      <c r="BM234" s="618"/>
      <c r="BN234" s="618"/>
      <c r="BO234" s="618"/>
      <c r="BP234" s="617" t="str">
        <f>IF(BE234="","",OFFSET(Biblioteca!$G$2,MATCH(BE234,Biblioteca!$A$3:$A$200,0),)*(1.05^(10-BL234)))</f>
        <v/>
      </c>
      <c r="BQ234" s="618"/>
      <c r="BR234" s="579"/>
      <c r="BS234" s="608">
        <f t="shared" si="141"/>
        <v>1</v>
      </c>
      <c r="BT234" s="619"/>
      <c r="BY234" s="620"/>
      <c r="BZ234" s="618"/>
      <c r="CA234" s="618"/>
      <c r="CB234" s="618"/>
      <c r="CC234" s="618"/>
      <c r="CD234" s="618"/>
      <c r="CE234" s="617" t="str">
        <f>IF(BT234="","",OFFSET(Biblioteca!$G$2,MATCH(BT234,Biblioteca!$A$3:$A$200,0),)*(1.05^(10-CA234)))</f>
        <v/>
      </c>
      <c r="CF234" s="618"/>
      <c r="CG234" s="579"/>
      <c r="CH234" s="608">
        <f t="shared" si="142"/>
        <v>1</v>
      </c>
      <c r="CI234" s="619"/>
      <c r="CN234" s="620"/>
      <c r="CO234" s="618"/>
      <c r="CP234" s="618"/>
      <c r="CQ234" s="618"/>
      <c r="CR234" s="618"/>
      <c r="CS234" s="618"/>
      <c r="CT234" s="617" t="str">
        <f>IF(CI234="","",OFFSET(Biblioteca!$G$2,MATCH(CI234,Biblioteca!$A$3:$A$200,0),)*(1.05^(10-CP234)))</f>
        <v/>
      </c>
      <c r="CU234" s="618"/>
      <c r="CV234" s="579"/>
      <c r="CW234" s="608">
        <f t="shared" si="143"/>
        <v>1</v>
      </c>
      <c r="CX234" s="619"/>
      <c r="DC234" s="620"/>
      <c r="DD234" s="618"/>
      <c r="DE234" s="618"/>
      <c r="DF234" s="618"/>
      <c r="DG234" s="618"/>
      <c r="DH234" s="618"/>
      <c r="DI234" s="617" t="str">
        <f>IF(CX234="","",OFFSET(Biblioteca!$G$2,MATCH(CX234,Biblioteca!$A$3:$A$200,0),)*(1.05^(10-DE234)))</f>
        <v/>
      </c>
      <c r="DJ234" s="618"/>
      <c r="DK234" s="579"/>
    </row>
    <row r="235" ht="14.25" customHeight="1">
      <c r="A235" s="492" t="str">
        <f>"S "&amp;$AD202&amp;" - "&amp;TEXT(C212,"dd/mm")</f>
        <v>S 5 - 09/02</v>
      </c>
      <c r="B235" s="647" t="s">
        <v>309</v>
      </c>
      <c r="C235" s="668" t="str">
        <f>'Anotações gerais'!$B$5</f>
        <v/>
      </c>
      <c r="D235" s="60"/>
      <c r="E235" s="60"/>
      <c r="F235" s="60"/>
      <c r="G235" s="60"/>
      <c r="H235" s="61"/>
      <c r="I235" s="669"/>
      <c r="J235" s="505"/>
      <c r="K235" s="608">
        <f t="shared" si="137"/>
        <v>1</v>
      </c>
      <c r="L235" s="619"/>
      <c r="Q235" s="620"/>
      <c r="R235" s="618"/>
      <c r="S235" s="618"/>
      <c r="T235" s="618"/>
      <c r="U235" s="618"/>
      <c r="V235" s="618"/>
      <c r="W235" s="617" t="str">
        <f>IF(L235="","",OFFSET(Biblioteca!$G$2,MATCH(L235,Biblioteca!$A$3:$A$200,0),)*(1.05^(10-S235)))</f>
        <v/>
      </c>
      <c r="X235" s="618"/>
      <c r="Y235" s="604"/>
      <c r="Z235" s="608">
        <f t="shared" si="138"/>
        <v>1</v>
      </c>
      <c r="AA235" s="619"/>
      <c r="AF235" s="620"/>
      <c r="AG235" s="618"/>
      <c r="AH235" s="618"/>
      <c r="AI235" s="618"/>
      <c r="AJ235" s="618"/>
      <c r="AK235" s="618"/>
      <c r="AL235" s="617" t="str">
        <f>IF(AA235="","",OFFSET(Biblioteca!$G$2,MATCH(AA235,Biblioteca!$A$3:$A$200,0),)*(1.05^(10-AH235)))</f>
        <v/>
      </c>
      <c r="AM235" s="618"/>
      <c r="AN235" s="604"/>
      <c r="AO235" s="608">
        <f t="shared" si="139"/>
        <v>1</v>
      </c>
      <c r="AP235" s="619"/>
      <c r="AU235" s="620"/>
      <c r="AV235" s="618"/>
      <c r="AW235" s="618"/>
      <c r="AX235" s="618"/>
      <c r="AY235" s="618"/>
      <c r="AZ235" s="618"/>
      <c r="BA235" s="617" t="str">
        <f>IF(AP235="","",OFFSET(Biblioteca!$G$2,MATCH(AP235,Biblioteca!$A$3:$A$200,0),)*(1.05^(10-AW235)))</f>
        <v/>
      </c>
      <c r="BB235" s="618"/>
      <c r="BC235" s="604"/>
      <c r="BD235" s="608">
        <f t="shared" si="140"/>
        <v>1</v>
      </c>
      <c r="BE235" s="619"/>
      <c r="BJ235" s="620"/>
      <c r="BK235" s="618"/>
      <c r="BL235" s="618"/>
      <c r="BM235" s="618"/>
      <c r="BN235" s="618"/>
      <c r="BO235" s="618"/>
      <c r="BP235" s="617" t="str">
        <f>IF(BE235="","",OFFSET(Biblioteca!$G$2,MATCH(BE235,Biblioteca!$A$3:$A$200,0),)*(1.05^(10-BL235)))</f>
        <v/>
      </c>
      <c r="BQ235" s="618"/>
      <c r="BR235" s="604"/>
      <c r="BS235" s="608">
        <f t="shared" si="141"/>
        <v>1</v>
      </c>
      <c r="BT235" s="619"/>
      <c r="BY235" s="620"/>
      <c r="BZ235" s="618"/>
      <c r="CA235" s="618"/>
      <c r="CB235" s="618"/>
      <c r="CC235" s="618"/>
      <c r="CD235" s="618"/>
      <c r="CE235" s="617" t="str">
        <f>IF(BT235="","",OFFSET(Biblioteca!$G$2,MATCH(BT235,Biblioteca!$A$3:$A$200,0),)*(1.05^(10-CA235)))</f>
        <v/>
      </c>
      <c r="CF235" s="618"/>
      <c r="CG235" s="604"/>
      <c r="CH235" s="608">
        <f t="shared" si="142"/>
        <v>1</v>
      </c>
      <c r="CI235" s="619"/>
      <c r="CN235" s="620"/>
      <c r="CO235" s="618"/>
      <c r="CP235" s="618"/>
      <c r="CQ235" s="618"/>
      <c r="CR235" s="618"/>
      <c r="CS235" s="618"/>
      <c r="CT235" s="617" t="str">
        <f>IF(CI235="","",OFFSET(Biblioteca!$G$2,MATCH(CI235,Biblioteca!$A$3:$A$200,0),)*(1.05^(10-CP235)))</f>
        <v/>
      </c>
      <c r="CU235" s="618"/>
      <c r="CV235" s="604"/>
      <c r="CW235" s="608">
        <f t="shared" si="143"/>
        <v>1</v>
      </c>
      <c r="CX235" s="619"/>
      <c r="DC235" s="620"/>
      <c r="DD235" s="618"/>
      <c r="DE235" s="618"/>
      <c r="DF235" s="618"/>
      <c r="DG235" s="618"/>
      <c r="DH235" s="618"/>
      <c r="DI235" s="617" t="str">
        <f>IF(CX235="","",OFFSET(Biblioteca!$G$2,MATCH(CX235,Biblioteca!$A$3:$A$200,0),)*(1.05^(10-DE235)))</f>
        <v/>
      </c>
      <c r="DJ235" s="618"/>
      <c r="DK235" s="604"/>
    </row>
    <row r="236" ht="14.25" customHeight="1">
      <c r="A236" s="492" t="str">
        <f>"S "&amp;$AD202&amp;" - "&amp;TEXT(C212,"dd/mm")</f>
        <v>S 5 - 09/02</v>
      </c>
      <c r="B236" s="647" t="s">
        <v>310</v>
      </c>
      <c r="C236" s="668" t="str">
        <f>'Anotações gerais'!$B$6</f>
        <v/>
      </c>
      <c r="D236" s="60"/>
      <c r="E236" s="60"/>
      <c r="F236" s="60"/>
      <c r="G236" s="60"/>
      <c r="H236" s="61"/>
      <c r="I236" s="669"/>
      <c r="J236" s="505"/>
      <c r="K236" s="608">
        <f t="shared" si="137"/>
        <v>1</v>
      </c>
      <c r="L236" s="619"/>
      <c r="Q236" s="620"/>
      <c r="R236" s="618"/>
      <c r="S236" s="618"/>
      <c r="T236" s="618"/>
      <c r="U236" s="618"/>
      <c r="V236" s="618"/>
      <c r="W236" s="617" t="str">
        <f>IF(L236="","",OFFSET(Biblioteca!$G$2,MATCH(L236,Biblioteca!$A$3:$A$200,0),)*(1.05^(10-S236)))</f>
        <v/>
      </c>
      <c r="X236" s="618"/>
      <c r="Y236" s="579"/>
      <c r="Z236" s="608">
        <f t="shared" si="138"/>
        <v>1</v>
      </c>
      <c r="AA236" s="619"/>
      <c r="AF236" s="620"/>
      <c r="AG236" s="618"/>
      <c r="AH236" s="618"/>
      <c r="AI236" s="618"/>
      <c r="AJ236" s="618"/>
      <c r="AK236" s="618"/>
      <c r="AL236" s="617" t="str">
        <f>IF(AA236="","",OFFSET(Biblioteca!$G$2,MATCH(AA236,Biblioteca!$A$3:$A$200,0),)*(1.05^(10-AH236)))</f>
        <v/>
      </c>
      <c r="AM236" s="618"/>
      <c r="AN236" s="579"/>
      <c r="AO236" s="608">
        <f t="shared" si="139"/>
        <v>1</v>
      </c>
      <c r="AP236" s="619"/>
      <c r="AU236" s="620"/>
      <c r="AV236" s="618"/>
      <c r="AW236" s="618"/>
      <c r="AX236" s="618"/>
      <c r="AY236" s="618"/>
      <c r="AZ236" s="618"/>
      <c r="BA236" s="617" t="str">
        <f>IF(AP236="","",OFFSET(Biblioteca!$G$2,MATCH(AP236,Biblioteca!$A$3:$A$200,0),)*(1.05^(10-AW236)))</f>
        <v/>
      </c>
      <c r="BB236" s="618"/>
      <c r="BC236" s="579"/>
      <c r="BD236" s="608">
        <f t="shared" si="140"/>
        <v>1</v>
      </c>
      <c r="BE236" s="619"/>
      <c r="BJ236" s="620"/>
      <c r="BK236" s="618"/>
      <c r="BL236" s="618"/>
      <c r="BM236" s="618"/>
      <c r="BN236" s="618"/>
      <c r="BO236" s="618"/>
      <c r="BP236" s="617" t="str">
        <f>IF(BE236="","",OFFSET(Biblioteca!$G$2,MATCH(BE236,Biblioteca!$A$3:$A$200,0),)*(1.05^(10-BL236)))</f>
        <v/>
      </c>
      <c r="BQ236" s="618"/>
      <c r="BR236" s="579"/>
      <c r="BS236" s="608">
        <f t="shared" si="141"/>
        <v>1</v>
      </c>
      <c r="BT236" s="619"/>
      <c r="BY236" s="620"/>
      <c r="BZ236" s="618"/>
      <c r="CA236" s="618"/>
      <c r="CB236" s="618"/>
      <c r="CC236" s="618"/>
      <c r="CD236" s="618"/>
      <c r="CE236" s="617" t="str">
        <f>IF(BT236="","",OFFSET(Biblioteca!$G$2,MATCH(BT236,Biblioteca!$A$3:$A$200,0),)*(1.05^(10-CA236)))</f>
        <v/>
      </c>
      <c r="CF236" s="618"/>
      <c r="CG236" s="579"/>
      <c r="CH236" s="608">
        <f t="shared" si="142"/>
        <v>1</v>
      </c>
      <c r="CI236" s="619"/>
      <c r="CN236" s="620"/>
      <c r="CO236" s="618"/>
      <c r="CP236" s="618"/>
      <c r="CQ236" s="618"/>
      <c r="CR236" s="618"/>
      <c r="CS236" s="618"/>
      <c r="CT236" s="617" t="str">
        <f>IF(CI236="","",OFFSET(Biblioteca!$G$2,MATCH(CI236,Biblioteca!$A$3:$A$200,0),)*(1.05^(10-CP236)))</f>
        <v/>
      </c>
      <c r="CU236" s="618"/>
      <c r="CV236" s="579"/>
      <c r="CW236" s="608">
        <f t="shared" si="143"/>
        <v>1</v>
      </c>
      <c r="CX236" s="619"/>
      <c r="DC236" s="620"/>
      <c r="DD236" s="618"/>
      <c r="DE236" s="618"/>
      <c r="DF236" s="618"/>
      <c r="DG236" s="618"/>
      <c r="DH236" s="618"/>
      <c r="DI236" s="617" t="str">
        <f>IF(CX236="","",OFFSET(Biblioteca!$G$2,MATCH(CX236,Biblioteca!$A$3:$A$200,0),)*(1.05^(10-DE236)))</f>
        <v/>
      </c>
      <c r="DJ236" s="618"/>
      <c r="DK236" s="579"/>
    </row>
    <row r="237" ht="14.25" customHeight="1">
      <c r="A237" s="492" t="str">
        <f>"S "&amp;$AD202&amp;" - "&amp;TEXT(C212,"dd/mm")</f>
        <v>S 5 - 09/02</v>
      </c>
      <c r="B237" s="537"/>
      <c r="C237" s="669"/>
      <c r="D237" s="669"/>
      <c r="E237" s="669"/>
      <c r="F237" s="669"/>
      <c r="G237" s="669"/>
      <c r="H237" s="669"/>
      <c r="I237" s="669"/>
      <c r="J237" s="505"/>
      <c r="K237" s="608">
        <f t="shared" si="137"/>
        <v>1</v>
      </c>
      <c r="L237" s="619"/>
      <c r="Q237" s="620"/>
      <c r="R237" s="618"/>
      <c r="S237" s="618"/>
      <c r="T237" s="618"/>
      <c r="U237" s="618"/>
      <c r="V237" s="618"/>
      <c r="W237" s="617" t="str">
        <f>IF(L237="","",OFFSET(Biblioteca!$G$2,MATCH(L237,Biblioteca!$A$3:$A$200,0),)*(1.05^(10-S237)))</f>
        <v/>
      </c>
      <c r="X237" s="618"/>
      <c r="Y237" s="579"/>
      <c r="Z237" s="608">
        <f t="shared" si="138"/>
        <v>1</v>
      </c>
      <c r="AA237" s="619"/>
      <c r="AF237" s="620"/>
      <c r="AG237" s="618"/>
      <c r="AH237" s="618"/>
      <c r="AI237" s="618"/>
      <c r="AJ237" s="618"/>
      <c r="AK237" s="618"/>
      <c r="AL237" s="617" t="str">
        <f>IF(AA237="","",OFFSET(Biblioteca!$G$2,MATCH(AA237,Biblioteca!$A$3:$A$200,0),)*(1.05^(10-AH237)))</f>
        <v/>
      </c>
      <c r="AM237" s="618"/>
      <c r="AN237" s="579"/>
      <c r="AO237" s="608">
        <f t="shared" si="139"/>
        <v>1</v>
      </c>
      <c r="AP237" s="619"/>
      <c r="AU237" s="620"/>
      <c r="AV237" s="618"/>
      <c r="AW237" s="618"/>
      <c r="AX237" s="618"/>
      <c r="AY237" s="618"/>
      <c r="AZ237" s="618"/>
      <c r="BA237" s="617" t="str">
        <f>IF(AP237="","",OFFSET(Biblioteca!$G$2,MATCH(AP237,Biblioteca!$A$3:$A$200,0),)*(1.05^(10-AW237)))</f>
        <v/>
      </c>
      <c r="BB237" s="618"/>
      <c r="BC237" s="579"/>
      <c r="BD237" s="608">
        <f t="shared" si="140"/>
        <v>1</v>
      </c>
      <c r="BE237" s="619"/>
      <c r="BJ237" s="620"/>
      <c r="BK237" s="618"/>
      <c r="BL237" s="618"/>
      <c r="BM237" s="618"/>
      <c r="BN237" s="618"/>
      <c r="BO237" s="618"/>
      <c r="BP237" s="617" t="str">
        <f>IF(BE237="","",OFFSET(Biblioteca!$G$2,MATCH(BE237,Biblioteca!$A$3:$A$200,0),)*(1.05^(10-BL237)))</f>
        <v/>
      </c>
      <c r="BQ237" s="618"/>
      <c r="BR237" s="579"/>
      <c r="BS237" s="608">
        <f t="shared" si="141"/>
        <v>1</v>
      </c>
      <c r="BT237" s="619"/>
      <c r="BY237" s="620"/>
      <c r="BZ237" s="618"/>
      <c r="CA237" s="618"/>
      <c r="CB237" s="618"/>
      <c r="CC237" s="618"/>
      <c r="CD237" s="618"/>
      <c r="CE237" s="617" t="str">
        <f>IF(BT237="","",OFFSET(Biblioteca!$G$2,MATCH(BT237,Biblioteca!$A$3:$A$200,0),)*(1.05^(10-CA237)))</f>
        <v/>
      </c>
      <c r="CF237" s="618"/>
      <c r="CG237" s="579"/>
      <c r="CH237" s="608">
        <f t="shared" si="142"/>
        <v>1</v>
      </c>
      <c r="CI237" s="619"/>
      <c r="CN237" s="620"/>
      <c r="CO237" s="618"/>
      <c r="CP237" s="618"/>
      <c r="CQ237" s="618"/>
      <c r="CR237" s="618"/>
      <c r="CS237" s="618"/>
      <c r="CT237" s="617" t="str">
        <f>IF(CI237="","",OFFSET(Biblioteca!$G$2,MATCH(CI237,Biblioteca!$A$3:$A$200,0),)*(1.05^(10-CP237)))</f>
        <v/>
      </c>
      <c r="CU237" s="618"/>
      <c r="CV237" s="579"/>
      <c r="CW237" s="608">
        <f t="shared" si="143"/>
        <v>1</v>
      </c>
      <c r="CX237" s="619"/>
      <c r="DC237" s="620"/>
      <c r="DD237" s="618"/>
      <c r="DE237" s="618"/>
      <c r="DF237" s="618"/>
      <c r="DG237" s="618"/>
      <c r="DH237" s="618"/>
      <c r="DI237" s="617" t="str">
        <f>IF(CX237="","",OFFSET(Biblioteca!$G$2,MATCH(CX237,Biblioteca!$A$3:$A$200,0),)*(1.05^(10-DE237)))</f>
        <v/>
      </c>
      <c r="DJ237" s="618"/>
      <c r="DK237" s="579"/>
    </row>
    <row r="238" ht="14.25" customHeight="1">
      <c r="A238" s="492" t="str">
        <f>"S "&amp;$AD202&amp;" - "&amp;TEXT(C212,"dd/mm")</f>
        <v>S 5 - 09/02</v>
      </c>
      <c r="B238" s="537"/>
      <c r="C238" s="669"/>
      <c r="D238" s="669"/>
      <c r="E238" s="669"/>
      <c r="F238" s="669"/>
      <c r="G238" s="669"/>
      <c r="H238" s="669"/>
      <c r="I238" s="669"/>
      <c r="J238" s="505"/>
      <c r="K238" s="608">
        <f t="shared" si="137"/>
        <v>1</v>
      </c>
      <c r="L238" s="619"/>
      <c r="Q238" s="620"/>
      <c r="R238" s="618"/>
      <c r="S238" s="618"/>
      <c r="T238" s="618"/>
      <c r="U238" s="618"/>
      <c r="V238" s="618"/>
      <c r="W238" s="617" t="str">
        <f>IF(L238="","",OFFSET(Biblioteca!$G$2,MATCH(L238,Biblioteca!$A$3:$A$200,0),)*(1.05^(10-S238)))</f>
        <v/>
      </c>
      <c r="X238" s="618"/>
      <c r="Y238" s="579"/>
      <c r="Z238" s="608">
        <f t="shared" si="138"/>
        <v>1</v>
      </c>
      <c r="AA238" s="619"/>
      <c r="AF238" s="620"/>
      <c r="AG238" s="618"/>
      <c r="AH238" s="618"/>
      <c r="AI238" s="618"/>
      <c r="AJ238" s="618"/>
      <c r="AK238" s="618"/>
      <c r="AL238" s="617" t="str">
        <f>IF(AA238="","",OFFSET(Biblioteca!$G$2,MATCH(AA238,Biblioteca!$A$3:$A$200,0),)*(1.05^(10-AH238)))</f>
        <v/>
      </c>
      <c r="AM238" s="618"/>
      <c r="AN238" s="579"/>
      <c r="AO238" s="608">
        <f t="shared" si="139"/>
        <v>1</v>
      </c>
      <c r="AP238" s="619"/>
      <c r="AU238" s="620"/>
      <c r="AV238" s="618"/>
      <c r="AW238" s="618"/>
      <c r="AX238" s="618"/>
      <c r="AY238" s="618"/>
      <c r="AZ238" s="618"/>
      <c r="BA238" s="617" t="str">
        <f>IF(AP238="","",OFFSET(Biblioteca!$G$2,MATCH(AP238,Biblioteca!$A$3:$A$200,0),)*(1.05^(10-AW238)))</f>
        <v/>
      </c>
      <c r="BB238" s="618"/>
      <c r="BC238" s="579"/>
      <c r="BD238" s="608">
        <f t="shared" si="140"/>
        <v>1</v>
      </c>
      <c r="BE238" s="619"/>
      <c r="BJ238" s="620"/>
      <c r="BK238" s="618"/>
      <c r="BL238" s="618"/>
      <c r="BM238" s="618"/>
      <c r="BN238" s="618"/>
      <c r="BO238" s="618"/>
      <c r="BP238" s="617" t="str">
        <f>IF(BE238="","",OFFSET(Biblioteca!$G$2,MATCH(BE238,Biblioteca!$A$3:$A$200,0),)*(1.05^(10-BL238)))</f>
        <v/>
      </c>
      <c r="BQ238" s="618"/>
      <c r="BR238" s="579"/>
      <c r="BS238" s="608">
        <f t="shared" si="141"/>
        <v>1</v>
      </c>
      <c r="BT238" s="619"/>
      <c r="BY238" s="620"/>
      <c r="BZ238" s="618"/>
      <c r="CA238" s="618"/>
      <c r="CB238" s="618"/>
      <c r="CC238" s="618"/>
      <c r="CD238" s="618"/>
      <c r="CE238" s="617" t="str">
        <f>IF(BT238="","",OFFSET(Biblioteca!$G$2,MATCH(BT238,Biblioteca!$A$3:$A$200,0),)*(1.05^(10-CA238)))</f>
        <v/>
      </c>
      <c r="CF238" s="618"/>
      <c r="CG238" s="579"/>
      <c r="CH238" s="608">
        <f t="shared" si="142"/>
        <v>1</v>
      </c>
      <c r="CI238" s="619"/>
      <c r="CN238" s="620"/>
      <c r="CO238" s="618"/>
      <c r="CP238" s="618"/>
      <c r="CQ238" s="618"/>
      <c r="CR238" s="618"/>
      <c r="CS238" s="618"/>
      <c r="CT238" s="617" t="str">
        <f>IF(CI238="","",OFFSET(Biblioteca!$G$2,MATCH(CI238,Biblioteca!$A$3:$A$200,0),)*(1.05^(10-CP238)))</f>
        <v/>
      </c>
      <c r="CU238" s="618"/>
      <c r="CV238" s="579"/>
      <c r="CW238" s="608">
        <f t="shared" si="143"/>
        <v>1</v>
      </c>
      <c r="CX238" s="619"/>
      <c r="DC238" s="620"/>
      <c r="DD238" s="618"/>
      <c r="DE238" s="618"/>
      <c r="DF238" s="618"/>
      <c r="DG238" s="618"/>
      <c r="DH238" s="618"/>
      <c r="DI238" s="617" t="str">
        <f>IF(CX238="","",OFFSET(Biblioteca!$G$2,MATCH(CX238,Biblioteca!$A$3:$A$200,0),)*(1.05^(10-DE238)))</f>
        <v/>
      </c>
      <c r="DJ238" s="618"/>
      <c r="DK238" s="579"/>
    </row>
    <row r="239" ht="14.25" customHeight="1">
      <c r="A239" s="492" t="str">
        <f>"S "&amp;$AD202&amp;" - "&amp;TEXT(C212,"dd/mm")</f>
        <v>S 5 - 09/02</v>
      </c>
      <c r="B239" s="537"/>
      <c r="C239" s="669"/>
      <c r="D239" s="669"/>
      <c r="E239" s="669"/>
      <c r="F239" s="669"/>
      <c r="G239" s="669"/>
      <c r="H239" s="669"/>
      <c r="I239" s="669"/>
      <c r="J239" s="505"/>
      <c r="K239" s="608">
        <f t="shared" si="137"/>
        <v>1</v>
      </c>
      <c r="L239" s="619"/>
      <c r="Q239" s="620"/>
      <c r="R239" s="618"/>
      <c r="S239" s="618"/>
      <c r="T239" s="618"/>
      <c r="U239" s="618"/>
      <c r="V239" s="618"/>
      <c r="W239" s="617" t="str">
        <f>IF(L239="","",OFFSET(Biblioteca!$G$2,MATCH(L239,Biblioteca!$A$3:$A$200,0),)*(1.05^(10-S239)))</f>
        <v/>
      </c>
      <c r="X239" s="618"/>
      <c r="Y239" s="670"/>
      <c r="Z239" s="608">
        <f t="shared" si="138"/>
        <v>1</v>
      </c>
      <c r="AA239" s="619"/>
      <c r="AF239" s="620"/>
      <c r="AG239" s="618"/>
      <c r="AH239" s="618"/>
      <c r="AI239" s="618"/>
      <c r="AJ239" s="618"/>
      <c r="AK239" s="618"/>
      <c r="AL239" s="617" t="str">
        <f>IF(AA239="","",OFFSET(Biblioteca!$G$2,MATCH(AA239,Biblioteca!$A$3:$A$200,0),)*(1.05^(10-AH239)))</f>
        <v/>
      </c>
      <c r="AM239" s="618"/>
      <c r="AN239" s="670"/>
      <c r="AO239" s="608">
        <f t="shared" si="139"/>
        <v>1</v>
      </c>
      <c r="AP239" s="619"/>
      <c r="AU239" s="620"/>
      <c r="AV239" s="618"/>
      <c r="AW239" s="618"/>
      <c r="AX239" s="618"/>
      <c r="AY239" s="618"/>
      <c r="AZ239" s="618"/>
      <c r="BA239" s="617" t="str">
        <f>IF(AP239="","",OFFSET(Biblioteca!$G$2,MATCH(AP239,Biblioteca!$A$3:$A$200,0),)*(1.05^(10-AW239)))</f>
        <v/>
      </c>
      <c r="BB239" s="618"/>
      <c r="BC239" s="670"/>
      <c r="BD239" s="608">
        <f t="shared" si="140"/>
        <v>1</v>
      </c>
      <c r="BE239" s="619"/>
      <c r="BJ239" s="620"/>
      <c r="BK239" s="618"/>
      <c r="BL239" s="618"/>
      <c r="BM239" s="618"/>
      <c r="BN239" s="618"/>
      <c r="BO239" s="618"/>
      <c r="BP239" s="617" t="str">
        <f>IF(BE239="","",OFFSET(Biblioteca!$G$2,MATCH(BE239,Biblioteca!$A$3:$A$200,0),)*(1.05^(10-BL239)))</f>
        <v/>
      </c>
      <c r="BQ239" s="618"/>
      <c r="BR239" s="670"/>
      <c r="BS239" s="608">
        <f t="shared" si="141"/>
        <v>1</v>
      </c>
      <c r="BT239" s="619"/>
      <c r="BY239" s="620"/>
      <c r="BZ239" s="618"/>
      <c r="CA239" s="618"/>
      <c r="CB239" s="618"/>
      <c r="CC239" s="618"/>
      <c r="CD239" s="618"/>
      <c r="CE239" s="617" t="str">
        <f>IF(BT239="","",OFFSET(Biblioteca!$G$2,MATCH(BT239,Biblioteca!$A$3:$A$200,0),)*(1.05^(10-CA239)))</f>
        <v/>
      </c>
      <c r="CF239" s="618"/>
      <c r="CG239" s="670"/>
      <c r="CH239" s="608">
        <f t="shared" si="142"/>
        <v>1</v>
      </c>
      <c r="CI239" s="619"/>
      <c r="CN239" s="620"/>
      <c r="CO239" s="618"/>
      <c r="CP239" s="618"/>
      <c r="CQ239" s="618"/>
      <c r="CR239" s="618"/>
      <c r="CS239" s="618"/>
      <c r="CT239" s="617" t="str">
        <f>IF(CI239="","",OFFSET(Biblioteca!$G$2,MATCH(CI239,Biblioteca!$A$3:$A$200,0),)*(1.05^(10-CP239)))</f>
        <v/>
      </c>
      <c r="CU239" s="618"/>
      <c r="CV239" s="670"/>
      <c r="CW239" s="608">
        <f t="shared" si="143"/>
        <v>1</v>
      </c>
      <c r="CX239" s="619"/>
      <c r="DC239" s="620"/>
      <c r="DD239" s="618"/>
      <c r="DE239" s="618"/>
      <c r="DF239" s="618"/>
      <c r="DG239" s="618"/>
      <c r="DH239" s="618"/>
      <c r="DI239" s="617" t="str">
        <f>IF(CX239="","",OFFSET(Biblioteca!$G$2,MATCH(CX239,Biblioteca!$A$3:$A$200,0),)*(1.05^(10-DE239)))</f>
        <v/>
      </c>
      <c r="DJ239" s="618"/>
      <c r="DK239" s="670"/>
    </row>
    <row r="240" ht="14.25" customHeight="1">
      <c r="A240" s="492" t="str">
        <f>"S "&amp;$AD202&amp;" - "&amp;TEXT(C212,"dd/mm")</f>
        <v>S 5 - 09/02</v>
      </c>
      <c r="B240" s="537"/>
      <c r="C240" s="669"/>
      <c r="D240" s="669"/>
      <c r="E240" s="669"/>
      <c r="F240" s="669"/>
      <c r="G240" s="669"/>
      <c r="H240" s="669"/>
      <c r="I240" s="669"/>
      <c r="J240" s="505"/>
      <c r="K240" s="608">
        <f t="shared" si="137"/>
        <v>1</v>
      </c>
      <c r="L240" s="619"/>
      <c r="Q240" s="620"/>
      <c r="R240" s="618"/>
      <c r="S240" s="618"/>
      <c r="T240" s="618"/>
      <c r="U240" s="618"/>
      <c r="V240" s="618"/>
      <c r="W240" s="617" t="str">
        <f>IF(L240="","",OFFSET(Biblioteca!$G$2,MATCH(L240,Biblioteca!$A$3:$A$200,0),)*(1.05^(10-S240)))</f>
        <v/>
      </c>
      <c r="X240" s="618"/>
      <c r="Y240" s="670"/>
      <c r="Z240" s="608">
        <f t="shared" si="138"/>
        <v>1</v>
      </c>
      <c r="AA240" s="619"/>
      <c r="AF240" s="620"/>
      <c r="AG240" s="618"/>
      <c r="AH240" s="618"/>
      <c r="AI240" s="618"/>
      <c r="AJ240" s="618"/>
      <c r="AK240" s="618"/>
      <c r="AL240" s="617" t="str">
        <f>IF(AA240="","",OFFSET(Biblioteca!$G$2,MATCH(AA240,Biblioteca!$A$3:$A$200,0),)*(1.05^(10-AH240)))</f>
        <v/>
      </c>
      <c r="AM240" s="618"/>
      <c r="AN240" s="670"/>
      <c r="AO240" s="608">
        <f t="shared" si="139"/>
        <v>1</v>
      </c>
      <c r="AP240" s="619"/>
      <c r="AU240" s="620"/>
      <c r="AV240" s="618"/>
      <c r="AW240" s="618"/>
      <c r="AX240" s="618"/>
      <c r="AY240" s="618"/>
      <c r="AZ240" s="618"/>
      <c r="BA240" s="617" t="str">
        <f>IF(AP240="","",OFFSET(Biblioteca!$G$2,MATCH(AP240,Biblioteca!$A$3:$A$200,0),)*(1.05^(10-AW240)))</f>
        <v/>
      </c>
      <c r="BB240" s="618"/>
      <c r="BC240" s="670"/>
      <c r="BD240" s="608">
        <f t="shared" si="140"/>
        <v>1</v>
      </c>
      <c r="BE240" s="619"/>
      <c r="BJ240" s="620"/>
      <c r="BK240" s="618"/>
      <c r="BL240" s="618"/>
      <c r="BM240" s="618"/>
      <c r="BN240" s="618"/>
      <c r="BO240" s="618"/>
      <c r="BP240" s="617" t="str">
        <f>IF(BE240="","",OFFSET(Biblioteca!$G$2,MATCH(BE240,Biblioteca!$A$3:$A$200,0),)*(1.05^(10-BL240)))</f>
        <v/>
      </c>
      <c r="BQ240" s="618"/>
      <c r="BR240" s="670"/>
      <c r="BS240" s="608">
        <f t="shared" si="141"/>
        <v>1</v>
      </c>
      <c r="BT240" s="619"/>
      <c r="BY240" s="620"/>
      <c r="BZ240" s="618"/>
      <c r="CA240" s="618"/>
      <c r="CB240" s="618"/>
      <c r="CC240" s="618"/>
      <c r="CD240" s="618"/>
      <c r="CE240" s="617" t="str">
        <f>IF(BT240="","",OFFSET(Biblioteca!$G$2,MATCH(BT240,Biblioteca!$A$3:$A$200,0),)*(1.05^(10-CA240)))</f>
        <v/>
      </c>
      <c r="CF240" s="618"/>
      <c r="CG240" s="670"/>
      <c r="CH240" s="608">
        <f t="shared" si="142"/>
        <v>1</v>
      </c>
      <c r="CI240" s="619"/>
      <c r="CN240" s="620"/>
      <c r="CO240" s="618"/>
      <c r="CP240" s="618"/>
      <c r="CQ240" s="618"/>
      <c r="CR240" s="618"/>
      <c r="CS240" s="618"/>
      <c r="CT240" s="617" t="str">
        <f>IF(CI240="","",OFFSET(Biblioteca!$G$2,MATCH(CI240,Biblioteca!$A$3:$A$200,0),)*(1.05^(10-CP240)))</f>
        <v/>
      </c>
      <c r="CU240" s="618"/>
      <c r="CV240" s="670"/>
      <c r="CW240" s="608">
        <f t="shared" si="143"/>
        <v>1</v>
      </c>
      <c r="CX240" s="619"/>
      <c r="DC240" s="620"/>
      <c r="DD240" s="618"/>
      <c r="DE240" s="618"/>
      <c r="DF240" s="618"/>
      <c r="DG240" s="618"/>
      <c r="DH240" s="618"/>
      <c r="DI240" s="617" t="str">
        <f>IF(CX240="","",OFFSET(Biblioteca!$G$2,MATCH(CX240,Biblioteca!$A$3:$A$200,0),)*(1.05^(10-DE240)))</f>
        <v/>
      </c>
      <c r="DJ240" s="618"/>
      <c r="DK240" s="670"/>
    </row>
    <row r="241" ht="14.25" customHeight="1">
      <c r="A241" s="492" t="str">
        <f>"S "&amp;$AD202&amp;" - "&amp;TEXT(C212,"dd/mm")</f>
        <v>S 5 - 09/02</v>
      </c>
      <c r="B241" s="537"/>
      <c r="C241" s="669"/>
      <c r="D241" s="669"/>
      <c r="E241" s="669"/>
      <c r="F241" s="669"/>
      <c r="G241" s="669"/>
      <c r="H241" s="669"/>
      <c r="I241" s="669"/>
      <c r="J241" s="505"/>
      <c r="K241" s="581"/>
      <c r="L241" s="581"/>
      <c r="M241" s="581"/>
      <c r="N241" s="581"/>
      <c r="O241" s="581"/>
      <c r="P241" s="627" t="s">
        <v>48</v>
      </c>
      <c r="Q241" s="627"/>
      <c r="R241" s="627"/>
      <c r="S241" s="627"/>
      <c r="T241" s="627"/>
      <c r="U241" s="627"/>
      <c r="V241" s="627"/>
      <c r="W241" s="627"/>
      <c r="X241" s="627"/>
      <c r="Y241" s="627"/>
      <c r="Z241" s="581"/>
      <c r="AA241" s="581"/>
      <c r="AB241" s="581"/>
      <c r="AC241" s="581"/>
      <c r="AD241" s="581"/>
      <c r="AE241" s="627" t="s">
        <v>48</v>
      </c>
      <c r="AF241" s="627"/>
      <c r="AG241" s="627"/>
      <c r="AH241" s="627"/>
      <c r="AI241" s="627"/>
      <c r="AJ241" s="627"/>
      <c r="AK241" s="627"/>
      <c r="AL241" s="627"/>
      <c r="AM241" s="627"/>
      <c r="AN241" s="670"/>
      <c r="AO241" s="581"/>
      <c r="AP241" s="581"/>
      <c r="AQ241" s="581"/>
      <c r="AR241" s="581"/>
      <c r="AS241" s="581"/>
      <c r="AT241" s="627" t="s">
        <v>48</v>
      </c>
      <c r="AU241" s="627"/>
      <c r="AV241" s="627"/>
      <c r="AW241" s="627"/>
      <c r="AX241" s="627"/>
      <c r="AY241" s="627"/>
      <c r="AZ241" s="627"/>
      <c r="BA241" s="627"/>
      <c r="BB241" s="627"/>
      <c r="BC241" s="671"/>
      <c r="BD241" s="581"/>
      <c r="BE241" s="581"/>
      <c r="BF241" s="581"/>
      <c r="BG241" s="581"/>
      <c r="BH241" s="581"/>
      <c r="BI241" s="627" t="s">
        <v>48</v>
      </c>
      <c r="BJ241" s="627"/>
      <c r="BK241" s="627"/>
      <c r="BL241" s="627"/>
      <c r="BM241" s="627"/>
      <c r="BN241" s="627"/>
      <c r="BO241" s="627"/>
      <c r="BP241" s="627"/>
      <c r="BQ241" s="627"/>
      <c r="BR241" s="671"/>
      <c r="BS241" s="581"/>
      <c r="BT241" s="581"/>
      <c r="BU241" s="581"/>
      <c r="BV241" s="581"/>
      <c r="BW241" s="581"/>
      <c r="BX241" s="627" t="s">
        <v>48</v>
      </c>
      <c r="BY241" s="627"/>
      <c r="BZ241" s="627"/>
      <c r="CA241" s="627"/>
      <c r="CB241" s="627"/>
      <c r="CC241" s="627"/>
      <c r="CD241" s="627"/>
      <c r="CE241" s="627"/>
      <c r="CF241" s="627"/>
      <c r="CG241" s="671"/>
      <c r="CH241" s="581"/>
      <c r="CI241" s="581"/>
      <c r="CJ241" s="581"/>
      <c r="CK241" s="581"/>
      <c r="CL241" s="581"/>
      <c r="CM241" s="627" t="s">
        <v>48</v>
      </c>
      <c r="CN241" s="627"/>
      <c r="CO241" s="627"/>
      <c r="CP241" s="627"/>
      <c r="CQ241" s="627"/>
      <c r="CR241" s="627"/>
      <c r="CS241" s="627"/>
      <c r="CT241" s="627"/>
      <c r="CU241" s="627"/>
      <c r="CV241" s="671"/>
      <c r="CW241" s="581"/>
      <c r="CX241" s="581"/>
      <c r="CY241" s="581"/>
      <c r="CZ241" s="581"/>
      <c r="DA241" s="581"/>
      <c r="DB241" s="627" t="s">
        <v>48</v>
      </c>
      <c r="DC241" s="627"/>
      <c r="DD241" s="627"/>
      <c r="DE241" s="627"/>
      <c r="DF241" s="627"/>
      <c r="DG241" s="627"/>
      <c r="DH241" s="627"/>
      <c r="DI241" s="627"/>
      <c r="DJ241" s="627"/>
      <c r="DK241" s="670"/>
    </row>
    <row r="242" ht="14.25" customHeight="1">
      <c r="A242" s="492" t="str">
        <f>"S "&amp;$AD202&amp;" - "&amp;TEXT(C212,"dd/mm")</f>
        <v>S 5 - 09/02</v>
      </c>
      <c r="B242" s="673"/>
      <c r="C242" s="672"/>
      <c r="D242" s="672"/>
      <c r="E242" s="672"/>
      <c r="F242" s="672"/>
      <c r="G242" s="672"/>
      <c r="H242" s="672"/>
      <c r="I242" s="672"/>
      <c r="J242" s="505"/>
      <c r="K242" s="608">
        <v>1.0</v>
      </c>
      <c r="L242" s="619"/>
      <c r="Q242" s="620"/>
      <c r="R242" s="618"/>
      <c r="S242" s="618"/>
      <c r="T242" s="618"/>
      <c r="U242" s="618"/>
      <c r="V242" s="618"/>
      <c r="W242" s="617" t="str">
        <f>IF(L242="","",OFFSET(Biblioteca!$G$2,MATCH(L242,Biblioteca!$A$3:$A$200,0),)*(1.05^(10-S242)))</f>
        <v/>
      </c>
      <c r="X242" s="618"/>
      <c r="Y242" s="670"/>
      <c r="Z242" s="608">
        <v>1.0</v>
      </c>
      <c r="AA242" s="619"/>
      <c r="AF242" s="620"/>
      <c r="AG242" s="618"/>
      <c r="AH242" s="618"/>
      <c r="AI242" s="618"/>
      <c r="AJ242" s="618"/>
      <c r="AK242" s="618"/>
      <c r="AL242" s="617" t="str">
        <f>IF(AA242="","",OFFSET(Biblioteca!$G$2,MATCH(AA242,Biblioteca!$A$3:$A$200,0),)*(1.05^(10-AH242)))</f>
        <v/>
      </c>
      <c r="AM242" s="618"/>
      <c r="AN242" s="670"/>
      <c r="AO242" s="608">
        <v>1.0</v>
      </c>
      <c r="AP242" s="619"/>
      <c r="AU242" s="620"/>
      <c r="AV242" s="618"/>
      <c r="AW242" s="618"/>
      <c r="AX242" s="618"/>
      <c r="AY242" s="618"/>
      <c r="AZ242" s="618"/>
      <c r="BA242" s="617" t="str">
        <f>IF(AP242="","",OFFSET(Biblioteca!$G$2,MATCH(AP242,Biblioteca!$A$3:$A$200,0),)*(1.05^(10-AW242)))</f>
        <v/>
      </c>
      <c r="BB242" s="618"/>
      <c r="BC242" s="670"/>
      <c r="BD242" s="608">
        <v>1.0</v>
      </c>
      <c r="BE242" s="619"/>
      <c r="BJ242" s="620"/>
      <c r="BK242" s="618"/>
      <c r="BL242" s="618"/>
      <c r="BM242" s="618"/>
      <c r="BN242" s="618"/>
      <c r="BO242" s="618"/>
      <c r="BP242" s="617" t="str">
        <f>IF(BE242="","",OFFSET(Biblioteca!$G$2,MATCH(BE242,Biblioteca!$A$3:$A$200,0),)*(1.05^(10-BL242)))</f>
        <v/>
      </c>
      <c r="BQ242" s="618"/>
      <c r="BR242" s="670"/>
      <c r="BS242" s="608">
        <v>1.0</v>
      </c>
      <c r="BT242" s="619"/>
      <c r="BY242" s="620"/>
      <c r="BZ242" s="618"/>
      <c r="CA242" s="618"/>
      <c r="CB242" s="618"/>
      <c r="CC242" s="618"/>
      <c r="CD242" s="618"/>
      <c r="CE242" s="617" t="str">
        <f>IF(BT242="","",OFFSET(Biblioteca!$G$2,MATCH(BT242,Biblioteca!$A$3:$A$200,0),)*(1.05^(10-CA242)))</f>
        <v/>
      </c>
      <c r="CF242" s="618"/>
      <c r="CG242" s="670"/>
      <c r="CH242" s="608">
        <v>1.0</v>
      </c>
      <c r="CI242" s="619"/>
      <c r="CN242" s="620"/>
      <c r="CO242" s="618"/>
      <c r="CP242" s="618"/>
      <c r="CQ242" s="618"/>
      <c r="CR242" s="618"/>
      <c r="CS242" s="618"/>
      <c r="CT242" s="617" t="str">
        <f>IF(CI242="","",OFFSET(Biblioteca!$G$2,MATCH(CI242,Biblioteca!$A$3:$A$200,0),)*(1.05^(10-CP242)))</f>
        <v/>
      </c>
      <c r="CU242" s="618"/>
      <c r="CV242" s="670"/>
      <c r="CW242" s="608">
        <v>1.0</v>
      </c>
      <c r="CX242" s="619"/>
      <c r="DC242" s="620"/>
      <c r="DD242" s="618"/>
      <c r="DE242" s="618"/>
      <c r="DF242" s="618"/>
      <c r="DG242" s="618"/>
      <c r="DH242" s="618"/>
      <c r="DI242" s="617" t="str">
        <f>IF(CX242="","",OFFSET(Biblioteca!$G$2,MATCH(CX242,Biblioteca!$A$3:$A$200,0),)*(1.05^(10-DE242)))</f>
        <v/>
      </c>
      <c r="DJ242" s="618"/>
      <c r="DK242" s="670"/>
    </row>
    <row r="243" ht="14.25" customHeight="1">
      <c r="A243" s="492" t="str">
        <f>"S "&amp;$AD202&amp;" - "&amp;TEXT(C212,"dd/mm")</f>
        <v>S 5 - 09/02</v>
      </c>
      <c r="B243" s="673">
        <f>MAX(C243:I243)</f>
        <v>0</v>
      </c>
      <c r="C243" s="674">
        <f>IF(C214=0,0,1)</f>
        <v>0</v>
      </c>
      <c r="D243" s="674">
        <f>IF(D214=0,0,C243+1)</f>
        <v>0</v>
      </c>
      <c r="E243" s="674">
        <f>IF(E214=0,0,MAX(C243:D243)+1)</f>
        <v>0</v>
      </c>
      <c r="F243" s="674">
        <f>IF(F214=0,0,MAX(C243:E243)+1)</f>
        <v>0</v>
      </c>
      <c r="G243" s="674">
        <f>IF(G214=0,0,MAX(C243:F243)+1)</f>
        <v>0</v>
      </c>
      <c r="H243" s="674">
        <f>IF(H214=0,0,MAX(C243:G243)+1)</f>
        <v>0</v>
      </c>
      <c r="I243" s="674">
        <f>IF(I214=0,0,MAX(C243:H243)+1)</f>
        <v>0</v>
      </c>
      <c r="J243" s="505"/>
      <c r="K243" s="608">
        <f t="shared" ref="K243:K244" si="147">IF(T242="",K242,K242+1)</f>
        <v>1</v>
      </c>
      <c r="L243" s="619"/>
      <c r="Q243" s="620"/>
      <c r="R243" s="618"/>
      <c r="S243" s="618"/>
      <c r="T243" s="618"/>
      <c r="U243" s="618"/>
      <c r="V243" s="618"/>
      <c r="W243" s="617" t="str">
        <f>IF(L243="","",OFFSET(Biblioteca!$G$2,MATCH(L243,Biblioteca!$A$3:$A$200,0),)*(1.05^(10-S243)))</f>
        <v/>
      </c>
      <c r="X243" s="618"/>
      <c r="Y243" s="670"/>
      <c r="Z243" s="608">
        <f t="shared" ref="Z243:Z244" si="148">IF(AI242="",Z242,Z242+1)</f>
        <v>1</v>
      </c>
      <c r="AA243" s="619"/>
      <c r="AF243" s="620"/>
      <c r="AG243" s="618"/>
      <c r="AH243" s="618"/>
      <c r="AI243" s="618"/>
      <c r="AJ243" s="618"/>
      <c r="AK243" s="618"/>
      <c r="AL243" s="617" t="str">
        <f>IF(AA243="","",OFFSET(Biblioteca!$G$2,MATCH(AA243,Biblioteca!$A$3:$A$200,0),)*(1.05^(10-AH243)))</f>
        <v/>
      </c>
      <c r="AM243" s="618"/>
      <c r="AN243" s="670"/>
      <c r="AO243" s="608">
        <f t="shared" ref="AO243:AO244" si="149">IF(AX242="",AO242,AO242+1)</f>
        <v>1</v>
      </c>
      <c r="AP243" s="619"/>
      <c r="AU243" s="620"/>
      <c r="AV243" s="618"/>
      <c r="AW243" s="618"/>
      <c r="AX243" s="618"/>
      <c r="AY243" s="618"/>
      <c r="AZ243" s="618"/>
      <c r="BA243" s="617" t="str">
        <f>IF(AP243="","",OFFSET(Biblioteca!$G$2,MATCH(AP243,Biblioteca!$A$3:$A$200,0),)*(1.05^(10-AW243)))</f>
        <v/>
      </c>
      <c r="BB243" s="618"/>
      <c r="BC243" s="670"/>
      <c r="BD243" s="608">
        <f t="shared" ref="BD243:BD244" si="150">IF(BM242="",BD242,BD242+1)</f>
        <v>1</v>
      </c>
      <c r="BE243" s="619"/>
      <c r="BJ243" s="620"/>
      <c r="BK243" s="618"/>
      <c r="BL243" s="618"/>
      <c r="BM243" s="618"/>
      <c r="BN243" s="618"/>
      <c r="BO243" s="618"/>
      <c r="BP243" s="617" t="str">
        <f>IF(BE243="","",OFFSET(Biblioteca!$G$2,MATCH(BE243,Biblioteca!$A$3:$A$200,0),)*(1.05^(10-BL243)))</f>
        <v/>
      </c>
      <c r="BQ243" s="618"/>
      <c r="BR243" s="670"/>
      <c r="BS243" s="608">
        <f t="shared" ref="BS243:BS244" si="151">IF(CB242="",BS242,BS242+1)</f>
        <v>1</v>
      </c>
      <c r="BT243" s="619"/>
      <c r="BY243" s="620"/>
      <c r="BZ243" s="618"/>
      <c r="CA243" s="618"/>
      <c r="CB243" s="618"/>
      <c r="CC243" s="618"/>
      <c r="CD243" s="618"/>
      <c r="CE243" s="617" t="str">
        <f>IF(BT243="","",OFFSET(Biblioteca!$G$2,MATCH(BT243,Biblioteca!$A$3:$A$200,0),)*(1.05^(10-CA243)))</f>
        <v/>
      </c>
      <c r="CF243" s="618"/>
      <c r="CG243" s="670"/>
      <c r="CH243" s="608">
        <f t="shared" ref="CH243:CH244" si="152">IF(CQ242="",CH242,CH242+1)</f>
        <v>1</v>
      </c>
      <c r="CI243" s="619"/>
      <c r="CN243" s="620"/>
      <c r="CO243" s="618"/>
      <c r="CP243" s="618"/>
      <c r="CQ243" s="618"/>
      <c r="CR243" s="618"/>
      <c r="CS243" s="618"/>
      <c r="CT243" s="617" t="str">
        <f>IF(CI243="","",OFFSET(Biblioteca!$G$2,MATCH(CI243,Biblioteca!$A$3:$A$200,0),)*(1.05^(10-CP243)))</f>
        <v/>
      </c>
      <c r="CU243" s="618"/>
      <c r="CV243" s="670"/>
      <c r="CW243" s="608">
        <f t="shared" ref="CW243:CW244" si="153">IF(DF242="",CW242,CW242+1)</f>
        <v>1</v>
      </c>
      <c r="CX243" s="619"/>
      <c r="DC243" s="620"/>
      <c r="DD243" s="618"/>
      <c r="DE243" s="618"/>
      <c r="DF243" s="618"/>
      <c r="DG243" s="618"/>
      <c r="DH243" s="618"/>
      <c r="DI243" s="617" t="str">
        <f>IF(CX243="","",OFFSET(Biblioteca!$G$2,MATCH(CX243,Biblioteca!$A$3:$A$200,0),)*(1.05^(10-DE243)))</f>
        <v/>
      </c>
      <c r="DJ243" s="618"/>
      <c r="DK243" s="670"/>
    </row>
    <row r="244" ht="14.25" customHeight="1">
      <c r="A244" s="492" t="str">
        <f>"S "&amp;$AD202&amp;" - "&amp;TEXT(C212,"dd/mm")</f>
        <v>S 5 - 09/02</v>
      </c>
      <c r="B244" s="673"/>
      <c r="C244" s="675">
        <f t="shared" ref="C244:I244" si="146">C212</f>
        <v>46062</v>
      </c>
      <c r="D244" s="675">
        <f t="shared" si="146"/>
        <v>46063</v>
      </c>
      <c r="E244" s="675">
        <f t="shared" si="146"/>
        <v>46064</v>
      </c>
      <c r="F244" s="675">
        <f t="shared" si="146"/>
        <v>46065</v>
      </c>
      <c r="G244" s="675">
        <f t="shared" si="146"/>
        <v>46066</v>
      </c>
      <c r="H244" s="675">
        <f t="shared" si="146"/>
        <v>46067</v>
      </c>
      <c r="I244" s="675">
        <f t="shared" si="146"/>
        <v>46068</v>
      </c>
      <c r="J244" s="505"/>
      <c r="K244" s="608">
        <f t="shared" si="147"/>
        <v>1</v>
      </c>
      <c r="L244" s="619"/>
      <c r="Q244" s="620"/>
      <c r="R244" s="618"/>
      <c r="S244" s="618"/>
      <c r="T244" s="618"/>
      <c r="U244" s="618"/>
      <c r="V244" s="618"/>
      <c r="W244" s="617" t="str">
        <f>IF(L244="","",OFFSET(Biblioteca!$G$2,MATCH(L244,Biblioteca!$A$3:$A$200,0),)*(1.05^(10-S244)))</f>
        <v/>
      </c>
      <c r="X244" s="618"/>
      <c r="Y244" s="670"/>
      <c r="Z244" s="608">
        <f t="shared" si="148"/>
        <v>1</v>
      </c>
      <c r="AA244" s="619"/>
      <c r="AF244" s="620"/>
      <c r="AG244" s="618"/>
      <c r="AH244" s="618"/>
      <c r="AI244" s="618"/>
      <c r="AJ244" s="618"/>
      <c r="AK244" s="618"/>
      <c r="AL244" s="617" t="str">
        <f>IF(AA244="","",OFFSET(Biblioteca!$G$2,MATCH(AA244,Biblioteca!$A$3:$A$200,0),)*(1.05^(10-AH244)))</f>
        <v/>
      </c>
      <c r="AM244" s="618"/>
      <c r="AN244" s="670"/>
      <c r="AO244" s="608">
        <f t="shared" si="149"/>
        <v>1</v>
      </c>
      <c r="AP244" s="619"/>
      <c r="AU244" s="620"/>
      <c r="AV244" s="618"/>
      <c r="AW244" s="618"/>
      <c r="AX244" s="618"/>
      <c r="AY244" s="618"/>
      <c r="AZ244" s="618"/>
      <c r="BA244" s="617" t="str">
        <f>IF(AP244="","",OFFSET(Biblioteca!$G$2,MATCH(AP244,Biblioteca!$A$3:$A$200,0),)*(1.05^(10-AW244)))</f>
        <v/>
      </c>
      <c r="BB244" s="618"/>
      <c r="BC244" s="670"/>
      <c r="BD244" s="608">
        <f t="shared" si="150"/>
        <v>1</v>
      </c>
      <c r="BE244" s="619"/>
      <c r="BJ244" s="620"/>
      <c r="BK244" s="618"/>
      <c r="BL244" s="618"/>
      <c r="BM244" s="618"/>
      <c r="BN244" s="618"/>
      <c r="BO244" s="618"/>
      <c r="BP244" s="617" t="str">
        <f>IF(BE244="","",OFFSET(Biblioteca!$G$2,MATCH(BE244,Biblioteca!$A$3:$A$200,0),)*(1.05^(10-BL244)))</f>
        <v/>
      </c>
      <c r="BQ244" s="618"/>
      <c r="BR244" s="670"/>
      <c r="BS244" s="608">
        <f t="shared" si="151"/>
        <v>1</v>
      </c>
      <c r="BT244" s="619"/>
      <c r="BY244" s="620"/>
      <c r="BZ244" s="618"/>
      <c r="CA244" s="618"/>
      <c r="CB244" s="618"/>
      <c r="CC244" s="618"/>
      <c r="CD244" s="618"/>
      <c r="CE244" s="617" t="str">
        <f>IF(BT244="","",OFFSET(Biblioteca!$G$2,MATCH(BT244,Biblioteca!$A$3:$A$200,0),)*(1.05^(10-CA244)))</f>
        <v/>
      </c>
      <c r="CF244" s="618"/>
      <c r="CG244" s="670"/>
      <c r="CH244" s="608">
        <f t="shared" si="152"/>
        <v>1</v>
      </c>
      <c r="CI244" s="619"/>
      <c r="CN244" s="620"/>
      <c r="CO244" s="618"/>
      <c r="CP244" s="618"/>
      <c r="CQ244" s="618"/>
      <c r="CR244" s="618"/>
      <c r="CS244" s="618"/>
      <c r="CT244" s="617" t="str">
        <f>IF(CI244="","",OFFSET(Biblioteca!$G$2,MATCH(CI244,Biblioteca!$A$3:$A$200,0),)*(1.05^(10-CP244)))</f>
        <v/>
      </c>
      <c r="CU244" s="618"/>
      <c r="CV244" s="670"/>
      <c r="CW244" s="608">
        <f t="shared" si="153"/>
        <v>1</v>
      </c>
      <c r="CX244" s="619"/>
      <c r="DC244" s="620"/>
      <c r="DD244" s="618"/>
      <c r="DE244" s="618"/>
      <c r="DF244" s="618"/>
      <c r="DG244" s="618"/>
      <c r="DH244" s="618"/>
      <c r="DI244" s="617" t="str">
        <f>IF(CX244="","",OFFSET(Biblioteca!$G$2,MATCH(CX244,Biblioteca!$A$3:$A$200,0),)*(1.05^(10-DE244)))</f>
        <v/>
      </c>
      <c r="DJ244" s="618"/>
      <c r="DK244" s="670"/>
    </row>
    <row r="245" ht="14.25" customHeight="1">
      <c r="A245" s="492" t="str">
        <f>"S "&amp;$AD202&amp;" - "&amp;TEXT(C212,"dd/mm")</f>
        <v>S 5 - 09/02</v>
      </c>
      <c r="B245" s="673"/>
      <c r="C245" s="672" t="str">
        <f>OFFSET($B244,0,MATCH(1,$C243:$I243,0))</f>
        <v>#N/A</v>
      </c>
      <c r="D245" s="672" t="str">
        <f>OFFSET($B244,0,MATCH(2,$C243:$I243,0))</f>
        <v>#N/A</v>
      </c>
      <c r="E245" s="672" t="str">
        <f>OFFSET($B244,0,MATCH(3,$C243:$I243,0))</f>
        <v>#N/A</v>
      </c>
      <c r="F245" s="672" t="str">
        <f>OFFSET($B244,0,MATCH(4,$C243:$I243,0))</f>
        <v>#N/A</v>
      </c>
      <c r="G245" s="672" t="str">
        <f>OFFSET($B244,0,MATCH(5,$C243:$I243,0))</f>
        <v>#N/A</v>
      </c>
      <c r="H245" s="672" t="str">
        <f>OFFSET($B244,0,MATCH(6,$C243:$I243,0))</f>
        <v>#N/A</v>
      </c>
      <c r="I245" s="672" t="str">
        <f>OFFSET($B244,0,MATCH(7,$C243:$I243,0))</f>
        <v>#N/A</v>
      </c>
      <c r="J245" s="505"/>
      <c r="K245" s="581"/>
      <c r="L245" s="582"/>
      <c r="M245" s="582"/>
      <c r="N245" s="582"/>
      <c r="O245" s="582"/>
      <c r="P245" s="582" t="s">
        <v>174</v>
      </c>
      <c r="Q245" s="582"/>
      <c r="R245" s="582"/>
      <c r="S245" s="582"/>
      <c r="T245" s="582"/>
      <c r="U245" s="582"/>
      <c r="V245" s="582"/>
      <c r="W245" s="582"/>
      <c r="X245" s="582"/>
      <c r="Y245" s="670"/>
      <c r="Z245" s="581"/>
      <c r="AA245" s="582"/>
      <c r="AB245" s="582"/>
      <c r="AC245" s="582"/>
      <c r="AD245" s="582"/>
      <c r="AE245" s="582" t="s">
        <v>174</v>
      </c>
      <c r="AF245" s="582"/>
      <c r="AG245" s="582"/>
      <c r="AH245" s="582"/>
      <c r="AI245" s="582"/>
      <c r="AJ245" s="582"/>
      <c r="AK245" s="582"/>
      <c r="AL245" s="582"/>
      <c r="AM245" s="582"/>
      <c r="AN245" s="670"/>
      <c r="AO245" s="581"/>
      <c r="AP245" s="582"/>
      <c r="AQ245" s="582"/>
      <c r="AR245" s="582"/>
      <c r="AS245" s="582"/>
      <c r="AT245" s="582" t="s">
        <v>174</v>
      </c>
      <c r="AU245" s="582"/>
      <c r="AV245" s="582"/>
      <c r="AW245" s="582"/>
      <c r="AX245" s="582"/>
      <c r="AY245" s="582"/>
      <c r="AZ245" s="582"/>
      <c r="BA245" s="582"/>
      <c r="BB245" s="582"/>
      <c r="BC245" s="671"/>
      <c r="BD245" s="581"/>
      <c r="BE245" s="582"/>
      <c r="BF245" s="582"/>
      <c r="BG245" s="582"/>
      <c r="BH245" s="582"/>
      <c r="BI245" s="582" t="s">
        <v>174</v>
      </c>
      <c r="BJ245" s="582"/>
      <c r="BK245" s="582"/>
      <c r="BL245" s="582"/>
      <c r="BM245" s="582"/>
      <c r="BN245" s="582"/>
      <c r="BO245" s="582"/>
      <c r="BP245" s="582"/>
      <c r="BQ245" s="582"/>
      <c r="BR245" s="671"/>
      <c r="BS245" s="581"/>
      <c r="BT245" s="582"/>
      <c r="BU245" s="582"/>
      <c r="BV245" s="582"/>
      <c r="BW245" s="582"/>
      <c r="BX245" s="582" t="s">
        <v>174</v>
      </c>
      <c r="BY245" s="582"/>
      <c r="BZ245" s="582"/>
      <c r="CA245" s="582"/>
      <c r="CB245" s="582"/>
      <c r="CC245" s="582"/>
      <c r="CD245" s="582"/>
      <c r="CE245" s="582"/>
      <c r="CF245" s="582"/>
      <c r="CG245" s="671"/>
      <c r="CH245" s="581"/>
      <c r="CI245" s="582"/>
      <c r="CJ245" s="582"/>
      <c r="CK245" s="582"/>
      <c r="CL245" s="582"/>
      <c r="CM245" s="582" t="s">
        <v>174</v>
      </c>
      <c r="CN245" s="582"/>
      <c r="CO245" s="582"/>
      <c r="CP245" s="582"/>
      <c r="CQ245" s="582"/>
      <c r="CR245" s="582"/>
      <c r="CS245" s="582"/>
      <c r="CT245" s="582"/>
      <c r="CU245" s="582"/>
      <c r="CV245" s="671"/>
      <c r="CW245" s="581"/>
      <c r="CX245" s="582"/>
      <c r="CY245" s="582"/>
      <c r="CZ245" s="582"/>
      <c r="DA245" s="582"/>
      <c r="DB245" s="582" t="s">
        <v>174</v>
      </c>
      <c r="DC245" s="582"/>
      <c r="DD245" s="582"/>
      <c r="DE245" s="582"/>
      <c r="DF245" s="582"/>
      <c r="DG245" s="582"/>
      <c r="DH245" s="582"/>
      <c r="DI245" s="582"/>
      <c r="DJ245" s="582"/>
      <c r="DK245" s="670"/>
    </row>
    <row r="246" ht="14.25" customHeight="1">
      <c r="A246" s="492" t="str">
        <f>"S "&amp;$AD202&amp;" - "&amp;TEXT(C212,"dd/mm")</f>
        <v>S 5 - 09/02</v>
      </c>
      <c r="B246" s="666" t="s">
        <v>267</v>
      </c>
      <c r="C246" s="672">
        <f t="shared" ref="C246:I246" si="154">(C223/60)*C222*C221</f>
        <v>0</v>
      </c>
      <c r="D246" s="672">
        <f t="shared" si="154"/>
        <v>0</v>
      </c>
      <c r="E246" s="672">
        <f t="shared" si="154"/>
        <v>0</v>
      </c>
      <c r="F246" s="672">
        <f t="shared" si="154"/>
        <v>0</v>
      </c>
      <c r="G246" s="672">
        <f t="shared" si="154"/>
        <v>0</v>
      </c>
      <c r="H246" s="672">
        <f t="shared" si="154"/>
        <v>0</v>
      </c>
      <c r="I246" s="672">
        <f t="shared" si="154"/>
        <v>0</v>
      </c>
      <c r="J246" s="505"/>
      <c r="K246" s="498"/>
      <c r="T246" s="677" t="s">
        <v>311</v>
      </c>
      <c r="X246" s="678"/>
      <c r="Y246" s="670"/>
      <c r="Z246" s="498"/>
      <c r="AI246" s="677" t="s">
        <v>311</v>
      </c>
      <c r="AM246" s="678"/>
      <c r="AN246" s="670"/>
      <c r="AO246" s="498"/>
      <c r="AX246" s="677" t="s">
        <v>311</v>
      </c>
      <c r="BB246" s="678"/>
      <c r="BC246" s="670"/>
      <c r="BD246" s="498"/>
      <c r="BM246" s="677" t="s">
        <v>311</v>
      </c>
      <c r="BQ246" s="678"/>
      <c r="BR246" s="670"/>
      <c r="BS246" s="498"/>
      <c r="CB246" s="677" t="s">
        <v>311</v>
      </c>
      <c r="CF246" s="678"/>
      <c r="CG246" s="670"/>
      <c r="CH246" s="498"/>
      <c r="CQ246" s="677" t="s">
        <v>311</v>
      </c>
      <c r="CU246" s="678"/>
      <c r="CV246" s="670"/>
      <c r="CW246" s="498"/>
      <c r="DF246" s="677" t="s">
        <v>311</v>
      </c>
      <c r="DJ246" s="678"/>
      <c r="DK246" s="670"/>
    </row>
    <row r="247" ht="14.25" customHeight="1">
      <c r="A247" s="492" t="str">
        <f>"S "&amp;$AD202&amp;" - "&amp;TEXT(C212,"dd/mm")</f>
        <v>S 5 - 09/02</v>
      </c>
      <c r="B247" s="666" t="s">
        <v>272</v>
      </c>
      <c r="C247" s="672">
        <f t="shared" ref="C247:I247" si="155">(C224/60)*C222*C221</f>
        <v>0</v>
      </c>
      <c r="D247" s="672">
        <f t="shared" si="155"/>
        <v>0</v>
      </c>
      <c r="E247" s="672">
        <f t="shared" si="155"/>
        <v>0</v>
      </c>
      <c r="F247" s="672">
        <f t="shared" si="155"/>
        <v>0</v>
      </c>
      <c r="G247" s="672">
        <f t="shared" si="155"/>
        <v>0</v>
      </c>
      <c r="H247" s="672">
        <f t="shared" si="155"/>
        <v>0</v>
      </c>
      <c r="I247" s="672">
        <f t="shared" si="155"/>
        <v>0</v>
      </c>
      <c r="J247" s="505"/>
      <c r="K247" s="498"/>
      <c r="Y247" s="670"/>
      <c r="Z247" s="498"/>
      <c r="AN247" s="670"/>
      <c r="AO247" s="498"/>
      <c r="BC247" s="670"/>
      <c r="BD247" s="498"/>
      <c r="BR247" s="670"/>
      <c r="BS247" s="498"/>
      <c r="CG247" s="670"/>
      <c r="CH247" s="498"/>
      <c r="CV247" s="670"/>
      <c r="CW247" s="498"/>
      <c r="DK247" s="670"/>
    </row>
    <row r="248" ht="14.25" customHeight="1">
      <c r="A248" s="492" t="str">
        <f>"S "&amp;$AD202&amp;" - "&amp;TEXT(C212,"dd/mm")</f>
        <v>S 5 - 09/02</v>
      </c>
      <c r="B248" s="673"/>
      <c r="C248" s="672"/>
      <c r="D248" s="672"/>
      <c r="E248" s="672"/>
      <c r="F248" s="672"/>
      <c r="G248" s="672"/>
      <c r="H248" s="672"/>
      <c r="I248" s="672"/>
      <c r="J248" s="505"/>
      <c r="K248" s="498"/>
      <c r="Y248" s="670"/>
      <c r="Z248" s="498"/>
      <c r="AN248" s="670"/>
      <c r="AO248" s="498"/>
      <c r="BC248" s="670"/>
      <c r="BD248" s="498"/>
      <c r="BR248" s="670"/>
      <c r="BS248" s="498"/>
      <c r="CG248" s="670"/>
      <c r="CH248" s="498"/>
      <c r="CV248" s="670"/>
      <c r="CW248" s="498"/>
      <c r="DK248" s="670"/>
    </row>
    <row r="249" ht="14.25" customHeight="1">
      <c r="A249" s="492" t="str">
        <f>"S "&amp;$AD202&amp;" - "&amp;TEXT(C212,"dd/mm")</f>
        <v>S 5 - 09/02</v>
      </c>
      <c r="B249" s="537"/>
      <c r="C249" s="498"/>
      <c r="D249" s="498"/>
      <c r="E249" s="498"/>
      <c r="F249" s="498"/>
      <c r="G249" s="498"/>
      <c r="H249" s="498"/>
      <c r="I249" s="498"/>
      <c r="J249" s="505"/>
      <c r="K249" s="498"/>
      <c r="Y249" s="670"/>
      <c r="Z249" s="498"/>
      <c r="AN249" s="670"/>
      <c r="AO249" s="498"/>
      <c r="BC249" s="670"/>
      <c r="BD249" s="498"/>
      <c r="BR249" s="670"/>
      <c r="BS249" s="498"/>
      <c r="CG249" s="670"/>
      <c r="CH249" s="498"/>
      <c r="CV249" s="670"/>
      <c r="CW249" s="498"/>
      <c r="DK249" s="670"/>
    </row>
    <row r="250" ht="14.25" customHeight="1">
      <c r="A250" s="492" t="str">
        <f>"S "&amp;$AD202&amp;" - "&amp;TEXT(C212,"dd/mm")</f>
        <v>S 5 - 09/02</v>
      </c>
      <c r="B250" s="537"/>
      <c r="C250" s="498"/>
      <c r="D250" s="498"/>
      <c r="E250" s="498"/>
      <c r="F250" s="498"/>
      <c r="G250" s="498"/>
      <c r="H250" s="498"/>
      <c r="I250" s="498"/>
      <c r="J250" s="679"/>
      <c r="K250" s="498"/>
      <c r="Y250" s="670"/>
      <c r="Z250" s="498"/>
      <c r="AN250" s="670"/>
      <c r="AO250" s="498"/>
      <c r="BC250" s="670"/>
      <c r="BD250" s="498"/>
      <c r="BR250" s="670"/>
      <c r="BS250" s="498"/>
      <c r="CG250" s="670"/>
      <c r="CH250" s="498"/>
      <c r="CV250" s="670"/>
      <c r="CW250" s="498"/>
      <c r="DK250" s="670"/>
    </row>
    <row r="251" ht="14.25" customHeight="1">
      <c r="A251" s="680" t="str">
        <f>"S "&amp;$F$2&amp;" - "&amp;TEXT($C$12,"dd/mm")</f>
        <v>S 29 - 12/01</v>
      </c>
      <c r="B251" s="681"/>
      <c r="C251" s="682"/>
      <c r="D251" s="681"/>
      <c r="E251" s="681"/>
      <c r="F251" s="682"/>
      <c r="G251" s="681"/>
      <c r="H251" s="681"/>
      <c r="I251" s="681"/>
      <c r="J251" s="683"/>
      <c r="K251" s="681"/>
      <c r="L251" s="681"/>
      <c r="M251" s="681"/>
      <c r="N251" s="681"/>
      <c r="O251" s="681"/>
      <c r="P251" s="681"/>
      <c r="Q251" s="684"/>
      <c r="R251" s="685"/>
      <c r="S251" s="685"/>
      <c r="T251" s="685"/>
      <c r="U251" s="685"/>
      <c r="V251" s="685"/>
      <c r="W251" s="685"/>
      <c r="X251" s="684"/>
      <c r="Y251" s="686"/>
      <c r="Z251" s="686"/>
      <c r="AA251" s="671"/>
      <c r="AB251" s="671"/>
      <c r="AC251" s="671"/>
      <c r="AD251" s="671"/>
      <c r="AE251" s="686"/>
      <c r="AF251" s="671"/>
      <c r="AG251" s="671"/>
      <c r="AH251" s="671"/>
      <c r="AI251" s="671"/>
      <c r="AJ251" s="671"/>
      <c r="AK251" s="671"/>
      <c r="AL251" s="686"/>
      <c r="AM251" s="687"/>
      <c r="AN251" s="686"/>
      <c r="AO251" s="686"/>
      <c r="AP251" s="671"/>
      <c r="AQ251" s="671"/>
      <c r="AR251" s="671"/>
      <c r="AS251" s="671"/>
      <c r="AT251" s="686"/>
      <c r="AU251" s="671"/>
      <c r="AV251" s="671"/>
      <c r="AW251" s="671"/>
      <c r="AX251" s="671"/>
      <c r="AY251" s="671"/>
      <c r="AZ251" s="686"/>
      <c r="BA251" s="686"/>
      <c r="BB251" s="687"/>
      <c r="BC251" s="686"/>
      <c r="BD251" s="686"/>
      <c r="BE251" s="671"/>
      <c r="BF251" s="671"/>
      <c r="BG251" s="671"/>
      <c r="BH251" s="671"/>
      <c r="BI251" s="686"/>
      <c r="BJ251" s="671"/>
      <c r="BK251" s="671"/>
      <c r="BL251" s="671"/>
      <c r="BM251" s="671"/>
      <c r="BN251" s="671"/>
      <c r="BO251" s="686"/>
      <c r="BP251" s="686"/>
      <c r="BQ251" s="687"/>
      <c r="BR251" s="686"/>
      <c r="BS251" s="686"/>
      <c r="BT251" s="671"/>
      <c r="BU251" s="671"/>
      <c r="BV251" s="671"/>
      <c r="BW251" s="671"/>
      <c r="BX251" s="686"/>
      <c r="BY251" s="671"/>
      <c r="BZ251" s="671"/>
      <c r="CA251" s="671"/>
      <c r="CB251" s="671"/>
      <c r="CC251" s="671"/>
      <c r="CD251" s="686"/>
      <c r="CE251" s="686"/>
      <c r="CF251" s="687"/>
      <c r="CG251" s="686"/>
      <c r="CH251" s="686"/>
      <c r="CI251" s="671"/>
      <c r="CJ251" s="671"/>
      <c r="CK251" s="671"/>
      <c r="CL251" s="671"/>
      <c r="CM251" s="686"/>
      <c r="CN251" s="671"/>
      <c r="CO251" s="671"/>
      <c r="CP251" s="671"/>
      <c r="CQ251" s="671"/>
      <c r="CR251" s="671"/>
      <c r="CS251" s="686"/>
      <c r="CT251" s="686"/>
      <c r="CU251" s="687"/>
      <c r="CV251" s="686"/>
      <c r="CW251" s="686"/>
      <c r="CX251" s="671"/>
      <c r="CY251" s="671"/>
      <c r="CZ251" s="671"/>
      <c r="DA251" s="671"/>
      <c r="DB251" s="686"/>
      <c r="DC251" s="671"/>
      <c r="DD251" s="671"/>
      <c r="DE251" s="671"/>
      <c r="DF251" s="671"/>
      <c r="DG251" s="671"/>
      <c r="DH251" s="686"/>
      <c r="DI251" s="686"/>
      <c r="DJ251" s="687"/>
      <c r="DK251" s="686"/>
    </row>
    <row r="252" ht="14.25" hidden="1" customHeight="1">
      <c r="A252" s="492" t="str">
        <f>"S "&amp;$AD252&amp;" - "&amp;TEXT(C262,"dd/mm")</f>
        <v>S 6 - 16/02</v>
      </c>
      <c r="B252" s="493" t="s">
        <v>5</v>
      </c>
      <c r="C252" s="503">
        <f>OFFSET('Periodização Macrociclo'!$D$37,0,MATCH(F252,'Periodização Macrociclo'!$E$5:$BN$5,0))</f>
        <v>9</v>
      </c>
      <c r="D252" s="493" t="s">
        <v>6</v>
      </c>
      <c r="E252" s="168"/>
      <c r="F252" s="504">
        <f>F202+1</f>
        <v>34</v>
      </c>
      <c r="G252" s="493" t="s">
        <v>180</v>
      </c>
      <c r="H252" s="168"/>
      <c r="I252" s="494">
        <f>COUNT(C265:I265)</f>
        <v>0</v>
      </c>
      <c r="J252" s="505"/>
      <c r="K252" s="494" t="str">
        <f>B252</f>
        <v>Meso </v>
      </c>
      <c r="L252" s="168"/>
      <c r="M252" s="506">
        <f t="shared" ref="M252:N252" si="156">C252</f>
        <v>9</v>
      </c>
      <c r="N252" s="493" t="str">
        <f t="shared" si="156"/>
        <v>Micro</v>
      </c>
      <c r="O252" s="168"/>
      <c r="P252" s="168"/>
      <c r="Q252" s="507">
        <f>F252</f>
        <v>34</v>
      </c>
      <c r="R252" s="496" t="s">
        <v>181</v>
      </c>
      <c r="S252" s="168"/>
      <c r="T252" s="168"/>
      <c r="U252" s="168"/>
      <c r="V252" s="168"/>
      <c r="W252" s="168"/>
      <c r="X252" s="508">
        <f>SUM(IF(V260&gt;0,1,0),IF(AK260&gt;0,1,0),IF(AZ260&gt;0,1,0),IF(BO260&gt;0,1,0),IF(CD260&gt;0,1,0),IF(CS260&gt;0,1,0),IF(DH260&gt;0,1,0))</f>
        <v>0</v>
      </c>
      <c r="Y252" s="498"/>
      <c r="Z252" s="498"/>
      <c r="AA252" s="509"/>
      <c r="AB252" s="513" t="s">
        <v>0</v>
      </c>
      <c r="AC252" s="61"/>
      <c r="AD252" s="511">
        <f>AD202+1</f>
        <v>6</v>
      </c>
      <c r="AE252" s="498"/>
      <c r="AF252" s="512" t="s">
        <v>182</v>
      </c>
      <c r="AG252" s="60"/>
      <c r="AH252" s="60"/>
      <c r="AI252" s="60"/>
      <c r="AJ252" s="60"/>
      <c r="AK252" s="61"/>
      <c r="AL252" s="498"/>
      <c r="AM252" s="501"/>
      <c r="AN252" s="498"/>
      <c r="AO252" s="498"/>
      <c r="AP252" s="509"/>
      <c r="AQ252" s="513" t="s">
        <v>0</v>
      </c>
      <c r="AR252" s="61"/>
      <c r="AS252" s="511">
        <f>$AD252</f>
        <v>6</v>
      </c>
      <c r="AT252" s="498"/>
      <c r="AU252" s="512" t="s">
        <v>182</v>
      </c>
      <c r="AV252" s="60"/>
      <c r="AW252" s="60"/>
      <c r="AX252" s="60"/>
      <c r="AY252" s="60"/>
      <c r="AZ252" s="61"/>
      <c r="BA252" s="498"/>
      <c r="BB252" s="501"/>
      <c r="BC252" s="498"/>
      <c r="BD252" s="498"/>
      <c r="BE252" s="509"/>
      <c r="BF252" s="513" t="s">
        <v>0</v>
      </c>
      <c r="BG252" s="61"/>
      <c r="BH252" s="511">
        <f>$AD252</f>
        <v>6</v>
      </c>
      <c r="BI252" s="498"/>
      <c r="BJ252" s="512" t="s">
        <v>182</v>
      </c>
      <c r="BK252" s="60"/>
      <c r="BL252" s="60"/>
      <c r="BM252" s="60"/>
      <c r="BN252" s="60"/>
      <c r="BO252" s="61"/>
      <c r="BP252" s="498"/>
      <c r="BQ252" s="501"/>
      <c r="BR252" s="498"/>
      <c r="BS252" s="498"/>
      <c r="BT252" s="509"/>
      <c r="BU252" s="513" t="s">
        <v>0</v>
      </c>
      <c r="BV252" s="61"/>
      <c r="BW252" s="511">
        <f>$AD252</f>
        <v>6</v>
      </c>
      <c r="BX252" s="498"/>
      <c r="BY252" s="512" t="s">
        <v>182</v>
      </c>
      <c r="BZ252" s="60"/>
      <c r="CA252" s="60"/>
      <c r="CB252" s="60"/>
      <c r="CC252" s="60"/>
      <c r="CD252" s="61"/>
      <c r="CE252" s="498"/>
      <c r="CF252" s="501"/>
      <c r="CG252" s="498"/>
      <c r="CH252" s="498"/>
      <c r="CI252" s="509"/>
      <c r="CJ252" s="513" t="s">
        <v>0</v>
      </c>
      <c r="CK252" s="61"/>
      <c r="CL252" s="511">
        <f>$AD252</f>
        <v>6</v>
      </c>
      <c r="CM252" s="498"/>
      <c r="CN252" s="512" t="s">
        <v>182</v>
      </c>
      <c r="CO252" s="60"/>
      <c r="CP252" s="60"/>
      <c r="CQ252" s="60"/>
      <c r="CR252" s="60"/>
      <c r="CS252" s="61"/>
      <c r="CT252" s="498"/>
      <c r="CU252" s="501"/>
      <c r="CV252" s="498"/>
      <c r="CW252" s="498"/>
      <c r="CX252" s="509"/>
      <c r="CY252" s="513" t="s">
        <v>0</v>
      </c>
      <c r="CZ252" s="61"/>
      <c r="DA252" s="511">
        <f>$AD252</f>
        <v>6</v>
      </c>
      <c r="DB252" s="498"/>
      <c r="DC252" s="512" t="s">
        <v>182</v>
      </c>
      <c r="DD252" s="60"/>
      <c r="DE252" s="60"/>
      <c r="DF252" s="60"/>
      <c r="DG252" s="60"/>
      <c r="DH252" s="61"/>
      <c r="DI252" s="498"/>
      <c r="DJ252" s="501"/>
      <c r="DK252" s="498"/>
    </row>
    <row r="253" ht="14.25" hidden="1" customHeight="1">
      <c r="A253" s="492" t="str">
        <f>"S "&amp;$AD252&amp;" - "&amp;TEXT(C262,"dd/mm")</f>
        <v>S 6 - 16/02</v>
      </c>
      <c r="B253" s="514" t="s">
        <v>183</v>
      </c>
      <c r="J253" s="505"/>
      <c r="K253" s="515" t="s">
        <v>184</v>
      </c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70"/>
      <c r="Y253" s="498"/>
      <c r="Z253" s="498"/>
      <c r="AA253" s="509"/>
      <c r="AB253" s="509"/>
      <c r="AC253" s="509"/>
      <c r="AD253" s="509"/>
      <c r="AE253" s="498"/>
      <c r="AF253" s="516" t="s">
        <v>185</v>
      </c>
      <c r="AG253" s="516">
        <f>$C264</f>
        <v>0</v>
      </c>
      <c r="AH253" s="517" t="s">
        <v>186</v>
      </c>
      <c r="AI253" s="61"/>
      <c r="AJ253" s="517">
        <f>$H264</f>
        <v>0</v>
      </c>
      <c r="AK253" s="61"/>
      <c r="AL253" s="498"/>
      <c r="AM253" s="501"/>
      <c r="AN253" s="498"/>
      <c r="AO253" s="498"/>
      <c r="AP253" s="509"/>
      <c r="AQ253" s="513" t="s">
        <v>187</v>
      </c>
      <c r="AR253" s="61"/>
      <c r="AS253" s="511" t="b">
        <v>1</v>
      </c>
      <c r="AT253" s="498"/>
      <c r="AU253" s="516" t="s">
        <v>185</v>
      </c>
      <c r="AV253" s="516">
        <f>$C264</f>
        <v>0</v>
      </c>
      <c r="AW253" s="517" t="s">
        <v>186</v>
      </c>
      <c r="AX253" s="61"/>
      <c r="AY253" s="517">
        <f>$H264</f>
        <v>0</v>
      </c>
      <c r="AZ253" s="61"/>
      <c r="BA253" s="498"/>
      <c r="BB253" s="501"/>
      <c r="BC253" s="498"/>
      <c r="BD253" s="498"/>
      <c r="BE253" s="509"/>
      <c r="BF253" s="509"/>
      <c r="BG253" s="509"/>
      <c r="BH253" s="509"/>
      <c r="BI253" s="498"/>
      <c r="BJ253" s="516" t="s">
        <v>185</v>
      </c>
      <c r="BK253" s="516">
        <f>$C264</f>
        <v>0</v>
      </c>
      <c r="BL253" s="517" t="s">
        <v>186</v>
      </c>
      <c r="BM253" s="61"/>
      <c r="BN253" s="517">
        <f>$H264</f>
        <v>0</v>
      </c>
      <c r="BO253" s="61"/>
      <c r="BP253" s="498"/>
      <c r="BQ253" s="501"/>
      <c r="BR253" s="498"/>
      <c r="BS253" s="498"/>
      <c r="BT253" s="509"/>
      <c r="BU253" s="509"/>
      <c r="BV253" s="509"/>
      <c r="BW253" s="509"/>
      <c r="BX253" s="498"/>
      <c r="BY253" s="516" t="s">
        <v>185</v>
      </c>
      <c r="BZ253" s="516">
        <f>$C264</f>
        <v>0</v>
      </c>
      <c r="CA253" s="517" t="s">
        <v>186</v>
      </c>
      <c r="CB253" s="61"/>
      <c r="CC253" s="517">
        <f>$H264</f>
        <v>0</v>
      </c>
      <c r="CD253" s="61"/>
      <c r="CE253" s="498"/>
      <c r="CF253" s="501"/>
      <c r="CG253" s="498"/>
      <c r="CH253" s="498"/>
      <c r="CI253" s="509"/>
      <c r="CJ253" s="509"/>
      <c r="CK253" s="509"/>
      <c r="CL253" s="509"/>
      <c r="CM253" s="498"/>
      <c r="CN253" s="516" t="s">
        <v>185</v>
      </c>
      <c r="CO253" s="516">
        <f>$C264</f>
        <v>0</v>
      </c>
      <c r="CP253" s="517" t="s">
        <v>186</v>
      </c>
      <c r="CQ253" s="61"/>
      <c r="CR253" s="517">
        <f>$H264</f>
        <v>0</v>
      </c>
      <c r="CS253" s="61"/>
      <c r="CT253" s="498"/>
      <c r="CU253" s="501"/>
      <c r="CV253" s="498"/>
      <c r="CW253" s="498"/>
      <c r="CX253" s="509"/>
      <c r="CY253" s="509"/>
      <c r="CZ253" s="509"/>
      <c r="DA253" s="509"/>
      <c r="DB253" s="498"/>
      <c r="DC253" s="516" t="s">
        <v>185</v>
      </c>
      <c r="DD253" s="516">
        <f>$C264</f>
        <v>0</v>
      </c>
      <c r="DE253" s="517" t="s">
        <v>186</v>
      </c>
      <c r="DF253" s="61"/>
      <c r="DG253" s="517">
        <f>$H264</f>
        <v>0</v>
      </c>
      <c r="DH253" s="61"/>
      <c r="DI253" s="498"/>
      <c r="DJ253" s="501"/>
      <c r="DK253" s="498"/>
    </row>
    <row r="254" ht="14.25" hidden="1" customHeight="1">
      <c r="A254" s="492" t="str">
        <f>"S "&amp;$AD252&amp;" - "&amp;TEXT(C262,"dd/mm")</f>
        <v>S 6 - 16/02</v>
      </c>
      <c r="B254" s="518" t="s">
        <v>188</v>
      </c>
      <c r="C254" s="519"/>
      <c r="D254" s="520">
        <f>HLOOKUP(F252,'Periodização Macrociclo'!$E$5:$BN$19,15,FALSE)</f>
        <v>0</v>
      </c>
      <c r="E254" s="521" t="s">
        <v>189</v>
      </c>
      <c r="F254" s="522"/>
      <c r="G254" s="519"/>
      <c r="H254" s="698">
        <f>HLOOKUP(F252,'Periodização Macrociclo'!$E$5:$BN$20,16,FALSE)</f>
        <v>0</v>
      </c>
      <c r="I254" s="524">
        <f>MATCH(F252,'Periodização Macrociclo'!$E$5:$BP$5,0)</f>
        <v>42</v>
      </c>
      <c r="J254" s="505"/>
      <c r="K254" s="525" t="s">
        <v>139</v>
      </c>
      <c r="L254" s="240"/>
      <c r="M254" s="526" t="str">
        <f>OFFSET('Periodização Macrociclo'!$D$10,0,$I254)</f>
        <v/>
      </c>
      <c r="N254" s="527" t="s">
        <v>190</v>
      </c>
      <c r="O254" s="528">
        <f>OFFSET('Periodização Macrociclo'!$D$12,0,$I254)</f>
        <v>32</v>
      </c>
      <c r="P254" s="529" t="s">
        <v>143</v>
      </c>
      <c r="Q254" s="530"/>
      <c r="R254" s="531" t="str">
        <f>OFFSET('Periodização Macrociclo'!$D$14,0,$I254)</f>
        <v/>
      </c>
      <c r="S254" s="532" t="s">
        <v>191</v>
      </c>
      <c r="T254" s="239"/>
      <c r="U254" s="239"/>
      <c r="V254" s="239"/>
      <c r="W254" s="240"/>
      <c r="X254" s="533" t="str">
        <f>OFFSET('Periodização Macrociclo'!$D$16,0,$I254)</f>
        <v/>
      </c>
      <c r="Y254" s="498"/>
      <c r="Z254" s="498"/>
      <c r="AA254" s="509"/>
      <c r="AB254" s="509"/>
      <c r="AC254" s="509"/>
      <c r="AD254" s="509"/>
      <c r="AE254" s="498"/>
      <c r="AF254" s="516" t="s">
        <v>192</v>
      </c>
      <c r="AG254" s="516">
        <f>$D264</f>
        <v>0</v>
      </c>
      <c r="AH254" s="517" t="s">
        <v>193</v>
      </c>
      <c r="AI254" s="61"/>
      <c r="AJ254" s="517">
        <f>$I264</f>
        <v>0</v>
      </c>
      <c r="AK254" s="61"/>
      <c r="AL254" s="498"/>
      <c r="AM254" s="501"/>
      <c r="AN254" s="498"/>
      <c r="AO254" s="498"/>
      <c r="AP254" s="509"/>
      <c r="AQ254" s="509"/>
      <c r="AR254" s="509"/>
      <c r="AS254" s="509"/>
      <c r="AT254" s="498"/>
      <c r="AU254" s="516" t="s">
        <v>192</v>
      </c>
      <c r="AV254" s="516">
        <f>$D264</f>
        <v>0</v>
      </c>
      <c r="AW254" s="517" t="s">
        <v>193</v>
      </c>
      <c r="AX254" s="61"/>
      <c r="AY254" s="517">
        <f>$I264</f>
        <v>0</v>
      </c>
      <c r="AZ254" s="61"/>
      <c r="BA254" s="498"/>
      <c r="BB254" s="501"/>
      <c r="BC254" s="498"/>
      <c r="BD254" s="498"/>
      <c r="BE254" s="509"/>
      <c r="BF254" s="509"/>
      <c r="BG254" s="509"/>
      <c r="BH254" s="509"/>
      <c r="BI254" s="498"/>
      <c r="BJ254" s="516" t="s">
        <v>192</v>
      </c>
      <c r="BK254" s="516">
        <f>$D264</f>
        <v>0</v>
      </c>
      <c r="BL254" s="517" t="s">
        <v>193</v>
      </c>
      <c r="BM254" s="61"/>
      <c r="BN254" s="517">
        <f>$I264</f>
        <v>0</v>
      </c>
      <c r="BO254" s="61"/>
      <c r="BP254" s="498"/>
      <c r="BQ254" s="501"/>
      <c r="BR254" s="498"/>
      <c r="BS254" s="498"/>
      <c r="BT254" s="509"/>
      <c r="BU254" s="509"/>
      <c r="BV254" s="509"/>
      <c r="BW254" s="509"/>
      <c r="BX254" s="498"/>
      <c r="BY254" s="516" t="s">
        <v>192</v>
      </c>
      <c r="BZ254" s="516">
        <f>$D264</f>
        <v>0</v>
      </c>
      <c r="CA254" s="517" t="s">
        <v>193</v>
      </c>
      <c r="CB254" s="61"/>
      <c r="CC254" s="517">
        <f>$I264</f>
        <v>0</v>
      </c>
      <c r="CD254" s="61"/>
      <c r="CE254" s="498"/>
      <c r="CF254" s="501"/>
      <c r="CG254" s="498"/>
      <c r="CH254" s="498"/>
      <c r="CI254" s="509"/>
      <c r="CJ254" s="509"/>
      <c r="CK254" s="509"/>
      <c r="CL254" s="509"/>
      <c r="CM254" s="498"/>
      <c r="CN254" s="516" t="s">
        <v>192</v>
      </c>
      <c r="CO254" s="516">
        <f>$D264</f>
        <v>0</v>
      </c>
      <c r="CP254" s="517" t="s">
        <v>193</v>
      </c>
      <c r="CQ254" s="61"/>
      <c r="CR254" s="517">
        <f>$I264</f>
        <v>0</v>
      </c>
      <c r="CS254" s="61"/>
      <c r="CT254" s="498"/>
      <c r="CU254" s="501"/>
      <c r="CV254" s="498"/>
      <c r="CW254" s="498"/>
      <c r="CX254" s="509"/>
      <c r="CY254" s="509"/>
      <c r="CZ254" s="509"/>
      <c r="DA254" s="509"/>
      <c r="DB254" s="498"/>
      <c r="DC254" s="516" t="s">
        <v>192</v>
      </c>
      <c r="DD254" s="516">
        <f>$D264</f>
        <v>0</v>
      </c>
      <c r="DE254" s="517" t="s">
        <v>193</v>
      </c>
      <c r="DF254" s="61"/>
      <c r="DG254" s="517">
        <f>$I264</f>
        <v>0</v>
      </c>
      <c r="DH254" s="61"/>
      <c r="DI254" s="498"/>
      <c r="DJ254" s="501"/>
      <c r="DK254" s="498"/>
    </row>
    <row r="255" ht="14.25" hidden="1" customHeight="1">
      <c r="A255" s="492" t="str">
        <f>"S "&amp;$AD252&amp;" - "&amp;TEXT(C262,"dd/mm")</f>
        <v>S 6 - 16/02</v>
      </c>
      <c r="B255" s="534" t="s">
        <v>194</v>
      </c>
      <c r="C255" s="535" t="s">
        <v>195</v>
      </c>
      <c r="D255" s="535" t="s">
        <v>196</v>
      </c>
      <c r="E255" s="535" t="s">
        <v>197</v>
      </c>
      <c r="F255" s="535" t="s">
        <v>198</v>
      </c>
      <c r="G255" s="535" t="s">
        <v>199</v>
      </c>
      <c r="H255" s="536" t="s">
        <v>200</v>
      </c>
      <c r="I255" s="537"/>
      <c r="J255" s="505"/>
      <c r="K255" s="538" t="s">
        <v>140</v>
      </c>
      <c r="L255" s="61"/>
      <c r="M255" s="539" t="str">
        <f>OFFSET('Periodização Macrociclo'!$D$11,0,$I254)</f>
        <v/>
      </c>
      <c r="N255" s="540" t="s">
        <v>142</v>
      </c>
      <c r="O255" s="541">
        <f>OFFSET('Periodização Macrociclo'!$D$13,0,$I254)</f>
        <v>2</v>
      </c>
      <c r="P255" s="542" t="s">
        <v>15</v>
      </c>
      <c r="Q255" s="543"/>
      <c r="R255" s="544" t="str">
        <f>OFFSET('Periodização Macrociclo'!$D$15,0,$I254)</f>
        <v/>
      </c>
      <c r="S255" s="545" t="s">
        <v>201</v>
      </c>
      <c r="T255" s="60"/>
      <c r="U255" s="60"/>
      <c r="V255" s="60"/>
      <c r="W255" s="61"/>
      <c r="X255" s="533">
        <f>SUM(IF(V260&gt;0,1,0),IF(AK260&gt;0,1,0),IF(AZ260&gt;0,1,0),IF(BO260&gt;0,1,0),IF(CD260&gt;0,1,0),IF(CS260&gt;0,1,0),IF(DH260&gt;0,1,0))</f>
        <v>0</v>
      </c>
      <c r="Y255" s="537"/>
      <c r="Z255" s="498"/>
      <c r="AA255" s="509"/>
      <c r="AB255" s="509"/>
      <c r="AC255" s="509"/>
      <c r="AD255" s="509"/>
      <c r="AE255" s="498"/>
      <c r="AF255" s="516" t="s">
        <v>202</v>
      </c>
      <c r="AG255" s="546">
        <f>$E264</f>
        <v>0</v>
      </c>
      <c r="AH255" s="517" t="s">
        <v>200</v>
      </c>
      <c r="AI255" s="61"/>
      <c r="AJ255" s="547">
        <f>SUM($AG252:$AG256,$AJ252:$AJ253)</f>
        <v>0</v>
      </c>
      <c r="AK255" s="61"/>
      <c r="AL255" s="537"/>
      <c r="AM255" s="548"/>
      <c r="AN255" s="537"/>
      <c r="AO255" s="498"/>
      <c r="AP255" s="509"/>
      <c r="AQ255" s="509"/>
      <c r="AR255" s="509"/>
      <c r="AS255" s="509"/>
      <c r="AT255" s="498"/>
      <c r="AU255" s="516" t="s">
        <v>202</v>
      </c>
      <c r="AV255" s="546">
        <f>$E264</f>
        <v>0</v>
      </c>
      <c r="AW255" s="517" t="s">
        <v>200</v>
      </c>
      <c r="AX255" s="61"/>
      <c r="AY255" s="547">
        <f>SUM($AG252:$AG256,$AJ252:$AJ253)</f>
        <v>0</v>
      </c>
      <c r="AZ255" s="61"/>
      <c r="BA255" s="537"/>
      <c r="BB255" s="548"/>
      <c r="BC255" s="537"/>
      <c r="BD255" s="498"/>
      <c r="BE255" s="509"/>
      <c r="BF255" s="509"/>
      <c r="BG255" s="509"/>
      <c r="BH255" s="509"/>
      <c r="BI255" s="498"/>
      <c r="BJ255" s="516" t="s">
        <v>202</v>
      </c>
      <c r="BK255" s="546">
        <f>$E264</f>
        <v>0</v>
      </c>
      <c r="BL255" s="517" t="s">
        <v>200</v>
      </c>
      <c r="BM255" s="61"/>
      <c r="BN255" s="547">
        <f>SUM($AG252:$AG256,$AJ252:$AJ253)</f>
        <v>0</v>
      </c>
      <c r="BO255" s="61"/>
      <c r="BP255" s="537"/>
      <c r="BQ255" s="548"/>
      <c r="BR255" s="537"/>
      <c r="BS255" s="498"/>
      <c r="BT255" s="509"/>
      <c r="BU255" s="509"/>
      <c r="BV255" s="509"/>
      <c r="BW255" s="509"/>
      <c r="BX255" s="498"/>
      <c r="BY255" s="516" t="s">
        <v>202</v>
      </c>
      <c r="BZ255" s="546">
        <f>$E264</f>
        <v>0</v>
      </c>
      <c r="CA255" s="517" t="s">
        <v>200</v>
      </c>
      <c r="CB255" s="61"/>
      <c r="CC255" s="547">
        <f>SUM($AG252:$AG256,$AJ252:$AJ253)</f>
        <v>0</v>
      </c>
      <c r="CD255" s="61"/>
      <c r="CE255" s="537"/>
      <c r="CF255" s="548"/>
      <c r="CG255" s="537"/>
      <c r="CH255" s="498"/>
      <c r="CI255" s="509"/>
      <c r="CJ255" s="509"/>
      <c r="CK255" s="509"/>
      <c r="CL255" s="509"/>
      <c r="CM255" s="498"/>
      <c r="CN255" s="516" t="s">
        <v>202</v>
      </c>
      <c r="CO255" s="546">
        <f>$E264</f>
        <v>0</v>
      </c>
      <c r="CP255" s="517" t="s">
        <v>200</v>
      </c>
      <c r="CQ255" s="61"/>
      <c r="CR255" s="547">
        <f>SUM($AG252:$AG256,$AJ252:$AJ253)</f>
        <v>0</v>
      </c>
      <c r="CS255" s="61"/>
      <c r="CT255" s="537"/>
      <c r="CU255" s="548"/>
      <c r="CV255" s="537"/>
      <c r="CW255" s="498"/>
      <c r="CX255" s="509"/>
      <c r="CY255" s="509"/>
      <c r="CZ255" s="509"/>
      <c r="DA255" s="509"/>
      <c r="DB255" s="498"/>
      <c r="DC255" s="516" t="s">
        <v>202</v>
      </c>
      <c r="DD255" s="546">
        <f>$E264</f>
        <v>0</v>
      </c>
      <c r="DE255" s="517" t="s">
        <v>200</v>
      </c>
      <c r="DF255" s="61"/>
      <c r="DG255" s="547">
        <f>SUM($AG252:$AG256,$AJ252:$AJ253)</f>
        <v>0</v>
      </c>
      <c r="DH255" s="61"/>
      <c r="DI255" s="537"/>
      <c r="DJ255" s="548"/>
      <c r="DK255" s="537"/>
    </row>
    <row r="256" ht="14.25" hidden="1" customHeight="1">
      <c r="A256" s="492" t="str">
        <f>"S "&amp;$AD252&amp;" - "&amp;TEXT(C262,"dd/mm")</f>
        <v>S 6 - 16/02</v>
      </c>
      <c r="B256" s="549" t="s">
        <v>203</v>
      </c>
      <c r="C256" s="550">
        <f>OFFSET('Periodização Macrociclo'!$D$21,0,$I254)</f>
        <v>25</v>
      </c>
      <c r="D256" s="550">
        <f>OFFSET('Periodização Macrociclo'!$D$22,0,$I254)</f>
        <v>40</v>
      </c>
      <c r="E256" s="550">
        <f>OFFSET('Periodização Macrociclo'!$D$23,0,$I254)</f>
        <v>20</v>
      </c>
      <c r="F256" s="550">
        <f>OFFSET('Periodização Macrociclo'!$D$24,0,$I254)</f>
        <v>10</v>
      </c>
      <c r="G256" s="550">
        <f>OFFSET('Periodização Macrociclo'!$D$25,0,$I254)</f>
        <v>5</v>
      </c>
      <c r="H256" s="551">
        <f>SUM(C256:G256)</f>
        <v>100</v>
      </c>
      <c r="I256" s="498"/>
      <c r="J256" s="505"/>
      <c r="K256" s="552" t="s">
        <v>151</v>
      </c>
      <c r="L256" s="553"/>
      <c r="M256" s="554" t="str">
        <f>OFFSET('Periodização Macrociclo'!$D$18,0,$I254)</f>
        <v/>
      </c>
      <c r="N256" s="472"/>
      <c r="O256" s="553"/>
      <c r="P256" s="555" t="s">
        <v>170</v>
      </c>
      <c r="Q256" s="556"/>
      <c r="R256" s="557" t="str">
        <f>OFFSET('Periodização Macrociclo'!$D$7,0,$I254)</f>
        <v>ORD</v>
      </c>
      <c r="S256" s="558" t="s">
        <v>150</v>
      </c>
      <c r="T256" s="472"/>
      <c r="U256" s="472"/>
      <c r="V256" s="472"/>
      <c r="W256" s="553"/>
      <c r="X256" s="559" t="str">
        <f>OFFSET('Periodização Macrociclo'!$D$17,0,$I254)</f>
        <v/>
      </c>
      <c r="Y256" s="498"/>
      <c r="Z256" s="498"/>
      <c r="AA256" s="509"/>
      <c r="AB256" s="509"/>
      <c r="AC256" s="509"/>
      <c r="AD256" s="509"/>
      <c r="AE256" s="537"/>
      <c r="AF256" s="560" t="s">
        <v>204</v>
      </c>
      <c r="AG256" s="560">
        <f>$F264</f>
        <v>0</v>
      </c>
      <c r="AH256" s="537"/>
      <c r="AL256" s="498"/>
      <c r="AM256" s="501"/>
      <c r="AN256" s="498"/>
      <c r="AO256" s="498"/>
      <c r="AP256" s="509"/>
      <c r="AQ256" s="509"/>
      <c r="AR256" s="509"/>
      <c r="AS256" s="509"/>
      <c r="AT256" s="537"/>
      <c r="AU256" s="560" t="s">
        <v>204</v>
      </c>
      <c r="AV256" s="560">
        <f>$F264</f>
        <v>0</v>
      </c>
      <c r="AW256" s="537"/>
      <c r="BA256" s="498"/>
      <c r="BB256" s="501"/>
      <c r="BC256" s="498"/>
      <c r="BD256" s="498"/>
      <c r="BE256" s="509"/>
      <c r="BF256" s="509"/>
      <c r="BG256" s="509"/>
      <c r="BH256" s="509"/>
      <c r="BI256" s="537"/>
      <c r="BJ256" s="560" t="s">
        <v>204</v>
      </c>
      <c r="BK256" s="560">
        <f>$F264</f>
        <v>0</v>
      </c>
      <c r="BL256" s="537"/>
      <c r="BP256" s="498"/>
      <c r="BQ256" s="501"/>
      <c r="BR256" s="498"/>
      <c r="BS256" s="498"/>
      <c r="BT256" s="509"/>
      <c r="BU256" s="509"/>
      <c r="BV256" s="509"/>
      <c r="BW256" s="509"/>
      <c r="BX256" s="537"/>
      <c r="BY256" s="560" t="s">
        <v>204</v>
      </c>
      <c r="BZ256" s="560">
        <f>$F264</f>
        <v>0</v>
      </c>
      <c r="CA256" s="537"/>
      <c r="CE256" s="498"/>
      <c r="CF256" s="501"/>
      <c r="CG256" s="498"/>
      <c r="CH256" s="498"/>
      <c r="CI256" s="509"/>
      <c r="CJ256" s="509"/>
      <c r="CK256" s="509"/>
      <c r="CL256" s="509"/>
      <c r="CM256" s="537"/>
      <c r="CN256" s="560" t="s">
        <v>204</v>
      </c>
      <c r="CO256" s="560">
        <f>$F264</f>
        <v>0</v>
      </c>
      <c r="CP256" s="537"/>
      <c r="CT256" s="498"/>
      <c r="CU256" s="501"/>
      <c r="CV256" s="498"/>
      <c r="CW256" s="498"/>
      <c r="CX256" s="509"/>
      <c r="CY256" s="509"/>
      <c r="CZ256" s="509"/>
      <c r="DA256" s="509"/>
      <c r="DB256" s="537"/>
      <c r="DC256" s="560" t="s">
        <v>204</v>
      </c>
      <c r="DD256" s="560">
        <f>$F264</f>
        <v>0</v>
      </c>
      <c r="DE256" s="537"/>
      <c r="DI256" s="498"/>
      <c r="DJ256" s="501"/>
      <c r="DK256" s="498"/>
    </row>
    <row r="257" ht="14.25" hidden="1" customHeight="1">
      <c r="A257" s="492" t="str">
        <f>"S "&amp;$AD252&amp;" - "&amp;TEXT(C262,"dd/mm")</f>
        <v>S 6 - 16/02</v>
      </c>
      <c r="B257" s="561" t="s">
        <v>205</v>
      </c>
      <c r="C257" s="562">
        <f>D254*(C256/100)</f>
        <v>0</v>
      </c>
      <c r="D257" s="562">
        <f>D254*(D256/100)</f>
        <v>0</v>
      </c>
      <c r="E257" s="562">
        <f>D254*(E256/100)</f>
        <v>0</v>
      </c>
      <c r="F257" s="550">
        <f>D254*(F256/200)</f>
        <v>0</v>
      </c>
      <c r="G257" s="699">
        <f>D254*(G256/200)</f>
        <v>0</v>
      </c>
      <c r="H257" s="563">
        <f t="shared" ref="H257:H259" si="157">SUM(C257:E257,F257*2,G257*2)</f>
        <v>0</v>
      </c>
      <c r="I257" s="498"/>
      <c r="J257" s="505"/>
      <c r="K257" s="498"/>
      <c r="L257" s="498"/>
      <c r="M257" s="498"/>
      <c r="N257" s="498"/>
      <c r="O257" s="499"/>
      <c r="P257" s="499"/>
      <c r="Q257" s="499"/>
      <c r="R257" s="498"/>
      <c r="S257" s="498"/>
      <c r="T257" s="499"/>
      <c r="U257" s="499"/>
      <c r="V257" s="499"/>
      <c r="W257" s="498"/>
      <c r="X257" s="501"/>
      <c r="Y257" s="498"/>
      <c r="Z257" s="498"/>
      <c r="AA257" s="509"/>
      <c r="AB257" s="509"/>
      <c r="AC257" s="509"/>
      <c r="AD257" s="509"/>
      <c r="AE257" s="498"/>
      <c r="AF257" s="706" t="s">
        <v>206</v>
      </c>
      <c r="AG257" s="707">
        <f>$G264</f>
        <v>0</v>
      </c>
      <c r="AL257" s="498"/>
      <c r="AM257" s="501"/>
      <c r="AN257" s="498"/>
      <c r="AO257" s="498"/>
      <c r="AP257" s="509"/>
      <c r="AQ257" s="509"/>
      <c r="AR257" s="509"/>
      <c r="AS257" s="509"/>
      <c r="AT257" s="498"/>
      <c r="AU257" s="706" t="s">
        <v>206</v>
      </c>
      <c r="AV257" s="707">
        <f>$G264</f>
        <v>0</v>
      </c>
      <c r="BA257" s="498"/>
      <c r="BB257" s="501"/>
      <c r="BC257" s="498"/>
      <c r="BD257" s="498"/>
      <c r="BE257" s="509"/>
      <c r="BF257" s="509"/>
      <c r="BG257" s="509"/>
      <c r="BH257" s="509"/>
      <c r="BI257" s="498"/>
      <c r="BJ257" s="706" t="s">
        <v>206</v>
      </c>
      <c r="BK257" s="707">
        <f>$G264</f>
        <v>0</v>
      </c>
      <c r="BP257" s="498"/>
      <c r="BQ257" s="501"/>
      <c r="BR257" s="498"/>
      <c r="BS257" s="498"/>
      <c r="BT257" s="509"/>
      <c r="BU257" s="509"/>
      <c r="BV257" s="509"/>
      <c r="BW257" s="509"/>
      <c r="BX257" s="498"/>
      <c r="BY257" s="706" t="s">
        <v>206</v>
      </c>
      <c r="BZ257" s="707">
        <f>$G264</f>
        <v>0</v>
      </c>
      <c r="CE257" s="498"/>
      <c r="CF257" s="501"/>
      <c r="CG257" s="498"/>
      <c r="CH257" s="498"/>
      <c r="CI257" s="509"/>
      <c r="CJ257" s="509"/>
      <c r="CK257" s="509"/>
      <c r="CL257" s="509"/>
      <c r="CM257" s="498"/>
      <c r="CN257" s="706" t="s">
        <v>206</v>
      </c>
      <c r="CO257" s="707">
        <f>$G264</f>
        <v>0</v>
      </c>
      <c r="CT257" s="498"/>
      <c r="CU257" s="501"/>
      <c r="CV257" s="498"/>
      <c r="CW257" s="498"/>
      <c r="CX257" s="509"/>
      <c r="CY257" s="509"/>
      <c r="CZ257" s="509"/>
      <c r="DA257" s="509"/>
      <c r="DB257" s="498"/>
      <c r="DC257" s="706" t="s">
        <v>206</v>
      </c>
      <c r="DD257" s="707">
        <f>$G264</f>
        <v>0</v>
      </c>
      <c r="DI257" s="498"/>
      <c r="DJ257" s="501"/>
      <c r="DK257" s="498"/>
    </row>
    <row r="258" ht="14.25" hidden="1" customHeight="1">
      <c r="A258" s="492" t="str">
        <f>"S "&amp;$AD252&amp;" - "&amp;TEXT(C262,"dd/mm")</f>
        <v>S 6 - 16/02</v>
      </c>
      <c r="B258" s="564" t="s">
        <v>207</v>
      </c>
      <c r="C258" s="565">
        <f>SUMIFS(C296:I296,C277:I277,"&lt;=0,6")+SUMIFS(C297:I297,C275:I275,"&lt;=0,6")+SUMIFS(C265:I265,C277:I277,"&lt;=0,6",C296:I296,0)</f>
        <v>0</v>
      </c>
      <c r="D258" s="565">
        <f>SUMIFS(C296:I296,C277:I277,"&gt;0,6",C277:I277,"&lt;=0,8")+SUMIFS(C297:I297,C275:I275,"&gt;0,6",C275:I275,"&lt;=0,8")+SUMIFS(C265:I265,C277:I277,"&gt;0,6",C277:I277,"&lt;=0,8",C296:I296,0)</f>
        <v>0</v>
      </c>
      <c r="E258" s="565">
        <f>SUMIFS(C296:I296,C277:I277,"&gt;0,8",C277:I277,"&lt;=0,9")+SUMIFS(C297:I297,C275:I275,"&gt;0,8",C275:I275,"&lt;=0,9")+SUMIFS(C265:I265,C277:I277,"&gt;0,8",C277:I277,"&lt;=0,9",C296:I296,0)</f>
        <v>0</v>
      </c>
      <c r="F258" s="565">
        <f>SUMIFS(C296:I296,C277:I277,"&gt;0,9",C277:I277,"&lt;=1")+SUMIFS(C297:I297,C275:I275,"&gt;0,9",C275:I275,"&lt;=1")+SUMIFS(C265:I265,C277:I277,"&gt;0,9",C277:I277,"&lt;=1",C296:I296,0)</f>
        <v>0</v>
      </c>
      <c r="G258" s="565">
        <f>SUMIFS(C296:I296,C277:I277,"&gt;1")+SUMIFS(C297:I297,C275:I275,"&gt;1")+SUMIFS(C265:I265,C277:I277,"&gt;1",C296:I296,0)</f>
        <v>0</v>
      </c>
      <c r="H258" s="563">
        <f t="shared" si="157"/>
        <v>0</v>
      </c>
      <c r="I258" s="498"/>
      <c r="J258" s="505"/>
      <c r="K258" s="566">
        <f>C262</f>
        <v>46069</v>
      </c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567"/>
      <c r="Z258" s="568">
        <f>K258+1</f>
        <v>46070</v>
      </c>
      <c r="AA258" s="155"/>
      <c r="AB258" s="155"/>
      <c r="AC258" s="155"/>
      <c r="AD258" s="155"/>
      <c r="AE258" s="155"/>
      <c r="AF258" s="155"/>
      <c r="AG258" s="155"/>
      <c r="AH258" s="155"/>
      <c r="AI258" s="155"/>
      <c r="AJ258" s="155"/>
      <c r="AK258" s="155"/>
      <c r="AL258" s="155"/>
      <c r="AM258" s="155"/>
      <c r="AN258" s="567"/>
      <c r="AO258" s="568">
        <f>Z258+1</f>
        <v>46071</v>
      </c>
      <c r="AP258" s="155"/>
      <c r="AQ258" s="155"/>
      <c r="AR258" s="155"/>
      <c r="AS258" s="155"/>
      <c r="AT258" s="155"/>
      <c r="AU258" s="155"/>
      <c r="AV258" s="155"/>
      <c r="AW258" s="155"/>
      <c r="AX258" s="155"/>
      <c r="AY258" s="155"/>
      <c r="AZ258" s="155"/>
      <c r="BA258" s="155"/>
      <c r="BB258" s="155"/>
      <c r="BC258" s="567"/>
      <c r="BD258" s="568">
        <f>AO258+1</f>
        <v>46072</v>
      </c>
      <c r="BE258" s="155"/>
      <c r="BF258" s="155"/>
      <c r="BG258" s="155"/>
      <c r="BH258" s="155"/>
      <c r="BI258" s="155"/>
      <c r="BJ258" s="155"/>
      <c r="BK258" s="155"/>
      <c r="BL258" s="155"/>
      <c r="BM258" s="155"/>
      <c r="BN258" s="155"/>
      <c r="BO258" s="155"/>
      <c r="BP258" s="155"/>
      <c r="BQ258" s="155"/>
      <c r="BR258" s="567"/>
      <c r="BS258" s="568">
        <f>BD258+1</f>
        <v>46073</v>
      </c>
      <c r="BT258" s="155"/>
      <c r="BU258" s="155"/>
      <c r="BV258" s="155"/>
      <c r="BW258" s="155"/>
      <c r="BX258" s="155"/>
      <c r="BY258" s="155"/>
      <c r="BZ258" s="155"/>
      <c r="CA258" s="155"/>
      <c r="CB258" s="155"/>
      <c r="CC258" s="155"/>
      <c r="CD258" s="155"/>
      <c r="CE258" s="155"/>
      <c r="CF258" s="155"/>
      <c r="CG258" s="567"/>
      <c r="CH258" s="568">
        <f>BS258+1</f>
        <v>46074</v>
      </c>
      <c r="CI258" s="155"/>
      <c r="CJ258" s="155"/>
      <c r="CK258" s="155"/>
      <c r="CL258" s="155"/>
      <c r="CM258" s="155"/>
      <c r="CN258" s="155"/>
      <c r="CO258" s="155"/>
      <c r="CP258" s="155"/>
      <c r="CQ258" s="155"/>
      <c r="CR258" s="155"/>
      <c r="CS258" s="155"/>
      <c r="CT258" s="155"/>
      <c r="CU258" s="155"/>
      <c r="CV258" s="567"/>
      <c r="CW258" s="568">
        <f>CH258+1</f>
        <v>46075</v>
      </c>
      <c r="CX258" s="155"/>
      <c r="CY258" s="155"/>
      <c r="CZ258" s="155"/>
      <c r="DA258" s="155"/>
      <c r="DB258" s="155"/>
      <c r="DC258" s="155"/>
      <c r="DD258" s="155"/>
      <c r="DE258" s="155"/>
      <c r="DF258" s="155"/>
      <c r="DG258" s="155"/>
      <c r="DH258" s="155"/>
      <c r="DI258" s="155"/>
      <c r="DJ258" s="155"/>
      <c r="DK258" s="567"/>
    </row>
    <row r="259" ht="14.25" hidden="1" customHeight="1">
      <c r="A259" s="492" t="str">
        <f>"S "&amp;$AD252&amp;" - "&amp;TEXT(C262,"dd/mm")</f>
        <v>S 6 - 16/02</v>
      </c>
      <c r="B259" s="534" t="s">
        <v>208</v>
      </c>
      <c r="C259" s="528">
        <f t="shared" ref="C259:G259" si="158">C257-C258</f>
        <v>0</v>
      </c>
      <c r="D259" s="528">
        <f t="shared" si="158"/>
        <v>0</v>
      </c>
      <c r="E259" s="528">
        <f t="shared" si="158"/>
        <v>0</v>
      </c>
      <c r="F259" s="528">
        <f t="shared" si="158"/>
        <v>0</v>
      </c>
      <c r="G259" s="528">
        <f t="shared" si="158"/>
        <v>0</v>
      </c>
      <c r="H259" s="563">
        <f t="shared" si="157"/>
        <v>0</v>
      </c>
      <c r="I259" s="498"/>
      <c r="J259" s="505"/>
      <c r="K259" s="569" t="s">
        <v>209</v>
      </c>
      <c r="Y259" s="570"/>
      <c r="Z259" s="571" t="s">
        <v>210</v>
      </c>
      <c r="AN259" s="570"/>
      <c r="AO259" s="571" t="s">
        <v>211</v>
      </c>
      <c r="BC259" s="570"/>
      <c r="BD259" s="571" t="s">
        <v>212</v>
      </c>
      <c r="BR259" s="570"/>
      <c r="BS259" s="571" t="s">
        <v>213</v>
      </c>
      <c r="CG259" s="570"/>
      <c r="CH259" s="571" t="s">
        <v>214</v>
      </c>
      <c r="CV259" s="570"/>
      <c r="CW259" s="571" t="s">
        <v>215</v>
      </c>
      <c r="DK259" s="570"/>
    </row>
    <row r="260" ht="14.25" hidden="1" customHeight="1">
      <c r="A260" s="492" t="str">
        <f>"S "&amp;$AD252&amp;" - "&amp;TEXT(C262,"dd/mm")</f>
        <v>S 6 - 16/02</v>
      </c>
      <c r="B260" s="572" t="s">
        <v>216</v>
      </c>
      <c r="C260" s="573"/>
      <c r="D260" s="472"/>
      <c r="E260" s="553"/>
      <c r="F260" s="554"/>
      <c r="G260" s="472"/>
      <c r="H260" s="574"/>
      <c r="I260" s="498"/>
      <c r="J260" s="505"/>
      <c r="K260" s="575" t="s">
        <v>217</v>
      </c>
      <c r="N260" s="576">
        <f>C264</f>
        <v>0</v>
      </c>
      <c r="O260" s="577" t="s">
        <v>218</v>
      </c>
      <c r="Q260" s="575" t="str">
        <f>C265</f>
        <v/>
      </c>
      <c r="S260" s="577" t="s">
        <v>219</v>
      </c>
      <c r="V260" s="578">
        <f>ROUNDUP((SUMPRODUCT(S266:S269,(U266:U269+V266:V269),R266:R269)+SUMPRODUCT(T266:T269,R266:R269)+SUMPRODUCT(S271:S290,(U271:U290+V271:V290),R271:R290)+SUMPRODUCT(T271:T290,R271:R290)+SUMPRODUCT(S292:S294,(U292:U294+V292:V294),R292:R294)+SUMPRODUCT(T292:T294,R292:R294))/60,0)</f>
        <v>0</v>
      </c>
      <c r="Y260" s="579"/>
      <c r="Z260" s="580" t="s">
        <v>217</v>
      </c>
      <c r="AC260" s="576">
        <f>D264</f>
        <v>0</v>
      </c>
      <c r="AD260" s="577" t="s">
        <v>218</v>
      </c>
      <c r="AF260" s="575" t="str">
        <f>D265</f>
        <v/>
      </c>
      <c r="AH260" s="577" t="s">
        <v>219</v>
      </c>
      <c r="AK260" s="578">
        <f>ROUNDUP((SUMPRODUCT(AH266:AH269,(AJ266:AJ269+AK266:AK269),AG266:AG269)+SUMPRODUCT(AI266:AI269,AG266:AG269)+SUMPRODUCT(AH271:AH290,(AJ271:AJ290+AK271:AK290),AG271:AG290)+SUMPRODUCT(AI271:AI290,AG271:AG290)+SUMPRODUCT(AH292:AH294,(AJ292:AJ294+AK292:AK294),AG292:AG294)+SUMPRODUCT(AI292:AI294,AG292:AG294))/60,0)</f>
        <v>0</v>
      </c>
      <c r="AN260" s="579"/>
      <c r="AO260" s="580" t="s">
        <v>217</v>
      </c>
      <c r="AR260" s="576">
        <f>E264</f>
        <v>0</v>
      </c>
      <c r="AS260" s="577" t="s">
        <v>218</v>
      </c>
      <c r="AU260" s="575" t="str">
        <f>E265</f>
        <v/>
      </c>
      <c r="AW260" s="577" t="s">
        <v>219</v>
      </c>
      <c r="AZ260" s="578">
        <f>ROUNDUP((SUMPRODUCT(AW266:AW269,(AY266:AY269+AZ266:AZ269),AV266:AV269)+SUMPRODUCT(AX266:AX269,AV266:AV269)+SUMPRODUCT(AW271:AW290,(AY271:AY290+AZ271:AZ290),AV271:AV290)+SUMPRODUCT(AX271:AX290,AV271:AV290)+SUMPRODUCT(AW292:AW294,(AY292:AY294+AZ292:AZ294),AV292:AV294)+SUMPRODUCT(AX292:AX294,AV292:AV294))/60,0)</f>
        <v>0</v>
      </c>
      <c r="BC260" s="579"/>
      <c r="BD260" s="580" t="s">
        <v>217</v>
      </c>
      <c r="BG260" s="576">
        <f>F264</f>
        <v>0</v>
      </c>
      <c r="BH260" s="577" t="s">
        <v>218</v>
      </c>
      <c r="BJ260" s="575" t="str">
        <f>F265</f>
        <v/>
      </c>
      <c r="BL260" s="577" t="s">
        <v>219</v>
      </c>
      <c r="BO260" s="578">
        <f>ROUNDUP((SUMPRODUCT(BL266:BL269,(BN266:BN269+BO266:BO269),BK266:BK269)+SUMPRODUCT(BM266:BM269,BK266:BK269)+SUMPRODUCT(BL271:BL290,(BN271:BN290+BO271:BO290),BK271:BK290)+SUMPRODUCT(BM271:BM290,BK271:BK290)+SUMPRODUCT(BL292:BL294,(BN292:BN294+BO292:BO294),BK292:BK294)+SUMPRODUCT(BM292:BM294,BK292:BK294))/60,0)</f>
        <v>0</v>
      </c>
      <c r="BR260" s="579"/>
      <c r="BS260" s="580" t="s">
        <v>217</v>
      </c>
      <c r="BV260" s="576">
        <f>G264</f>
        <v>0</v>
      </c>
      <c r="BW260" s="577" t="s">
        <v>218</v>
      </c>
      <c r="BY260" s="575" t="str">
        <f>G265</f>
        <v/>
      </c>
      <c r="CA260" s="577" t="s">
        <v>219</v>
      </c>
      <c r="CD260" s="578">
        <f>ROUNDUP((SUMPRODUCT(CA266:CA269,(CC266:CC269+CD266:CD269),BZ266:BZ269)+SUMPRODUCT(CB266:CB269,BZ266:BZ269)+SUMPRODUCT(CA271:CA290,(CC271:CC290+CD271:CD290),BZ271:BZ290)+SUMPRODUCT(CB271:CB290,BZ271:BZ290)+SUMPRODUCT(CA292:CA294,(CC292:CC294+CD292:CD294),BZ292:BZ294)+SUMPRODUCT(CB292:CB294,BZ292:BZ294))/60,0)</f>
        <v>0</v>
      </c>
      <c r="CG260" s="579"/>
      <c r="CH260" s="580" t="s">
        <v>217</v>
      </c>
      <c r="CK260" s="576">
        <f>H264</f>
        <v>0</v>
      </c>
      <c r="CL260" s="577" t="s">
        <v>218</v>
      </c>
      <c r="CN260" s="575" t="str">
        <f>H265</f>
        <v/>
      </c>
      <c r="CP260" s="577" t="s">
        <v>219</v>
      </c>
      <c r="CS260" s="578">
        <f>ROUNDUP((SUMPRODUCT(CP266:CP269,(CR266:CR269+CS266:CS269),CO266:CO269)+SUMPRODUCT(CQ266:CQ269,CO266:CO269)+SUMPRODUCT(CP271:CP290,(CR271:CR290+CS271:CS290),CO271:CO290)+SUMPRODUCT(CQ271:CQ290,CO271:CO290)+SUMPRODUCT(CP292:CP294,(CR292:CR294+CS292:CS294),CO292:CO294)+SUMPRODUCT(CQ292:CQ294,CO292:CO294))/60,0)</f>
        <v>0</v>
      </c>
      <c r="CV260" s="579"/>
      <c r="CW260" s="580" t="s">
        <v>217</v>
      </c>
      <c r="CZ260" s="576">
        <f>I264</f>
        <v>0</v>
      </c>
      <c r="DA260" s="577" t="s">
        <v>218</v>
      </c>
      <c r="DC260" s="575" t="str">
        <f>I265</f>
        <v/>
      </c>
      <c r="DE260" s="577" t="s">
        <v>219</v>
      </c>
      <c r="DH260" s="578">
        <f>ROUNDUP((SUMPRODUCT(DE266:DE269,(DG266:DG269+DH266:DH269),DD266:DD269)+SUMPRODUCT(DF266:DF269,DD266:DD269)+SUMPRODUCT(DE271:DE290,(DG271:DG290+DH271:DH290),DD271:DD290)+SUMPRODUCT(DF271:DF290,DD271:DD290)+SUMPRODUCT(DE292:DE294,(DG292:DG294+DH292:DH294),DD292:DD294)+SUMPRODUCT(DF292:DF294,DD292:DD294))/60,0)</f>
        <v>0</v>
      </c>
      <c r="DK260" s="579"/>
    </row>
    <row r="261" ht="14.25" hidden="1" customHeight="1">
      <c r="A261" s="492" t="str">
        <f>"S "&amp;$AD252&amp;" - "&amp;TEXT(C262,"dd/mm")</f>
        <v>S 6 - 16/02</v>
      </c>
      <c r="B261" s="498"/>
      <c r="C261" s="498"/>
      <c r="D261" s="498"/>
      <c r="E261" s="498"/>
      <c r="F261" s="498"/>
      <c r="G261" s="498"/>
      <c r="H261" s="498"/>
      <c r="I261" s="498"/>
      <c r="J261" s="505"/>
      <c r="K261" s="700"/>
      <c r="L261" s="9"/>
      <c r="M261" s="9"/>
      <c r="N261" s="9"/>
      <c r="O261" s="9"/>
      <c r="P261" s="701" t="str">
        <f>IF($R$156="","Atualizar Macrociclo","Orientações Gerais")</f>
        <v>Orientações Gerais</v>
      </c>
      <c r="Q261" s="702"/>
      <c r="R261" s="9"/>
      <c r="S261" s="9"/>
      <c r="T261" s="9"/>
      <c r="U261" s="9"/>
      <c r="V261" s="9"/>
      <c r="W261" s="9"/>
      <c r="X261" s="9"/>
      <c r="Y261" s="632"/>
      <c r="Z261" s="702"/>
      <c r="AA261" s="9"/>
      <c r="AB261" s="9"/>
      <c r="AC261" s="9"/>
      <c r="AD261" s="9"/>
      <c r="AE261" s="701" t="str">
        <f>IF($R$156="","Atualizar Macrociclo","Orientações Gerais")</f>
        <v>Orientações Gerais</v>
      </c>
      <c r="AF261" s="702"/>
      <c r="AG261" s="9"/>
      <c r="AH261" s="9"/>
      <c r="AI261" s="9"/>
      <c r="AJ261" s="9"/>
      <c r="AK261" s="9"/>
      <c r="AL261" s="9"/>
      <c r="AM261" s="9"/>
      <c r="AN261" s="632"/>
      <c r="AO261" s="702"/>
      <c r="AP261" s="9"/>
      <c r="AQ261" s="9"/>
      <c r="AR261" s="9"/>
      <c r="AS261" s="9"/>
      <c r="AT261" s="701" t="str">
        <f>IF($R$156="","Atualizar Macrociclo","Orientações Gerais")</f>
        <v>Orientações Gerais</v>
      </c>
      <c r="AU261" s="702"/>
      <c r="AV261" s="9"/>
      <c r="AW261" s="9"/>
      <c r="AX261" s="9"/>
      <c r="AY261" s="9"/>
      <c r="AZ261" s="9"/>
      <c r="BA261" s="9"/>
      <c r="BB261" s="9"/>
      <c r="BC261" s="9"/>
      <c r="BD261" s="702"/>
      <c r="BE261" s="9"/>
      <c r="BF261" s="9"/>
      <c r="BG261" s="9"/>
      <c r="BH261" s="9"/>
      <c r="BI261" s="701" t="str">
        <f>IF($R$156="","Atualizar Macrociclo","Orientações Gerais")</f>
        <v>Orientações Gerais</v>
      </c>
      <c r="BJ261" s="702"/>
      <c r="BK261" s="9"/>
      <c r="BL261" s="9"/>
      <c r="BM261" s="9"/>
      <c r="BN261" s="9"/>
      <c r="BO261" s="9"/>
      <c r="BP261" s="9"/>
      <c r="BQ261" s="9"/>
      <c r="BR261" s="9"/>
      <c r="BS261" s="702"/>
      <c r="BT261" s="9"/>
      <c r="BU261" s="9"/>
      <c r="BV261" s="9"/>
      <c r="BW261" s="9"/>
      <c r="BX261" s="701" t="str">
        <f>IF($R$156="","Atualizar Macrociclo","Orientações Gerais")</f>
        <v>Orientações Gerais</v>
      </c>
      <c r="BY261" s="702"/>
      <c r="BZ261" s="9"/>
      <c r="CA261" s="9"/>
      <c r="CB261" s="9"/>
      <c r="CC261" s="9"/>
      <c r="CD261" s="9"/>
      <c r="CE261" s="9"/>
      <c r="CF261" s="9"/>
      <c r="CG261" s="9"/>
      <c r="CH261" s="702"/>
      <c r="CI261" s="9"/>
      <c r="CJ261" s="9"/>
      <c r="CK261" s="9"/>
      <c r="CL261" s="9"/>
      <c r="CM261" s="701" t="str">
        <f>IF($R$156="","Atualizar Macrociclo","Orientações Gerais")</f>
        <v>Orientações Gerais</v>
      </c>
      <c r="CN261" s="702"/>
      <c r="CO261" s="9"/>
      <c r="CP261" s="9"/>
      <c r="CQ261" s="9"/>
      <c r="CR261" s="9"/>
      <c r="CS261" s="9"/>
      <c r="CT261" s="9"/>
      <c r="CU261" s="9"/>
      <c r="CV261" s="9"/>
      <c r="CW261" s="702"/>
      <c r="CX261" s="9"/>
      <c r="CY261" s="9"/>
      <c r="CZ261" s="9"/>
      <c r="DA261" s="9"/>
      <c r="DB261" s="701" t="str">
        <f>IF($R$156="","Atualizar Macrociclo","Orientações Gerais")</f>
        <v>Orientações Gerais</v>
      </c>
      <c r="DC261" s="702"/>
      <c r="DD261" s="9"/>
      <c r="DE261" s="9"/>
      <c r="DF261" s="9"/>
      <c r="DG261" s="9"/>
      <c r="DH261" s="9"/>
      <c r="DI261" s="9"/>
      <c r="DJ261" s="9"/>
      <c r="DK261" s="632"/>
    </row>
    <row r="262" ht="14.25" hidden="1" customHeight="1">
      <c r="A262" s="492" t="str">
        <f>"S "&amp;$AD252&amp;" - "&amp;TEXT(C262,"dd/mm")</f>
        <v>S 6 - 16/02</v>
      </c>
      <c r="B262" s="537"/>
      <c r="C262" s="584">
        <f>HLOOKUP(F252,'Periodização Macrociclo'!$E$5:$BN$6,2,FALSE)</f>
        <v>46069</v>
      </c>
      <c r="D262" s="584">
        <f t="shared" ref="D262:I262" si="159">C262+1</f>
        <v>46070</v>
      </c>
      <c r="E262" s="584">
        <f t="shared" si="159"/>
        <v>46071</v>
      </c>
      <c r="F262" s="584">
        <f t="shared" si="159"/>
        <v>46072</v>
      </c>
      <c r="G262" s="584">
        <f t="shared" si="159"/>
        <v>46073</v>
      </c>
      <c r="H262" s="584">
        <f t="shared" si="159"/>
        <v>46074</v>
      </c>
      <c r="I262" s="585">
        <f t="shared" si="159"/>
        <v>46075</v>
      </c>
      <c r="J262" s="505"/>
      <c r="K262" s="586"/>
      <c r="Y262" s="587"/>
      <c r="Z262" s="586"/>
      <c r="AN262" s="587"/>
      <c r="AO262" s="586"/>
      <c r="BC262" s="587"/>
      <c r="BD262" s="586"/>
      <c r="BR262" s="587"/>
      <c r="BS262" s="586"/>
      <c r="CG262" s="587"/>
      <c r="CH262" s="586"/>
      <c r="CV262" s="587"/>
      <c r="CW262" s="586"/>
      <c r="DK262" s="588"/>
    </row>
    <row r="263" ht="14.25" hidden="1" customHeight="1">
      <c r="A263" s="492" t="str">
        <f>"S "&amp;$AD252&amp;" - "&amp;TEXT(C262,"dd/mm")</f>
        <v>S 6 - 16/02</v>
      </c>
      <c r="B263" s="537"/>
      <c r="C263" s="589" t="s">
        <v>220</v>
      </c>
      <c r="D263" s="589" t="s">
        <v>221</v>
      </c>
      <c r="E263" s="589" t="s">
        <v>222</v>
      </c>
      <c r="F263" s="589" t="s">
        <v>223</v>
      </c>
      <c r="G263" s="589" t="s">
        <v>224</v>
      </c>
      <c r="H263" s="589" t="s">
        <v>214</v>
      </c>
      <c r="I263" s="590" t="s">
        <v>215</v>
      </c>
      <c r="J263" s="505"/>
      <c r="K263" s="591"/>
      <c r="Y263" s="587"/>
      <c r="Z263" s="591"/>
      <c r="AN263" s="587"/>
      <c r="AO263" s="591"/>
      <c r="BC263" s="587"/>
      <c r="BD263" s="591"/>
      <c r="BR263" s="587"/>
      <c r="BS263" s="591"/>
      <c r="CG263" s="587"/>
      <c r="CH263" s="591"/>
      <c r="CV263" s="587"/>
      <c r="CW263" s="591"/>
      <c r="DK263" s="588"/>
    </row>
    <row r="264" ht="14.25" hidden="1" customHeight="1">
      <c r="A264" s="492" t="str">
        <f>"S "&amp;$AD252&amp;" - "&amp;TEXT(C262,"dd/mm")</f>
        <v>S 6 - 16/02</v>
      </c>
      <c r="B264" s="592" t="s">
        <v>217</v>
      </c>
      <c r="C264" s="541">
        <f>V260+C265+IF(V260+C265&gt;0,+10,0)</f>
        <v>0</v>
      </c>
      <c r="D264" s="541">
        <f>AK260+D265+IF(AK260+D265&gt;0,+10,0)</f>
        <v>0</v>
      </c>
      <c r="E264" s="541">
        <f>AZ260+E265+IF(AZ260+E265&gt;0,+10,0)</f>
        <v>0</v>
      </c>
      <c r="F264" s="541">
        <f>BO260+F265+IF(BO260+F265&gt;0,+10,0)</f>
        <v>0</v>
      </c>
      <c r="G264" s="541">
        <f>CD260+G265+IF(CD260+G265&gt;0,+10,0)</f>
        <v>0</v>
      </c>
      <c r="H264" s="541">
        <f>CS260+H265+IF(CS260+H265&gt;0,+10,0)</f>
        <v>0</v>
      </c>
      <c r="I264" s="593">
        <f>DH260+I265+IF(DH260+I265&gt;0,+10,0)</f>
        <v>0</v>
      </c>
      <c r="J264" s="505"/>
      <c r="K264" s="594" t="s">
        <v>225</v>
      </c>
      <c r="L264" s="595" t="s">
        <v>31</v>
      </c>
      <c r="Q264" s="596" t="s">
        <v>32</v>
      </c>
      <c r="R264" s="597" t="s">
        <v>226</v>
      </c>
      <c r="S264" s="597" t="s">
        <v>227</v>
      </c>
      <c r="T264" s="597" t="s">
        <v>35</v>
      </c>
      <c r="U264" s="597" t="s">
        <v>36</v>
      </c>
      <c r="V264" s="598" t="s">
        <v>37</v>
      </c>
      <c r="W264" s="598" t="s">
        <v>228</v>
      </c>
      <c r="X264" s="598" t="s">
        <v>229</v>
      </c>
      <c r="Y264" s="588"/>
      <c r="Z264" s="594" t="s">
        <v>225</v>
      </c>
      <c r="AA264" s="595" t="s">
        <v>31</v>
      </c>
      <c r="AF264" s="596" t="s">
        <v>32</v>
      </c>
      <c r="AG264" s="597" t="s">
        <v>226</v>
      </c>
      <c r="AH264" s="597" t="s">
        <v>227</v>
      </c>
      <c r="AI264" s="597" t="s">
        <v>35</v>
      </c>
      <c r="AJ264" s="597" t="s">
        <v>36</v>
      </c>
      <c r="AK264" s="598" t="s">
        <v>37</v>
      </c>
      <c r="AL264" s="598" t="s">
        <v>228</v>
      </c>
      <c r="AM264" s="598" t="s">
        <v>229</v>
      </c>
      <c r="AN264" s="588"/>
      <c r="AO264" s="594" t="s">
        <v>225</v>
      </c>
      <c r="AP264" s="595" t="s">
        <v>31</v>
      </c>
      <c r="AU264" s="596" t="s">
        <v>32</v>
      </c>
      <c r="AV264" s="597" t="s">
        <v>226</v>
      </c>
      <c r="AW264" s="597" t="s">
        <v>227</v>
      </c>
      <c r="AX264" s="597" t="s">
        <v>35</v>
      </c>
      <c r="AY264" s="597" t="s">
        <v>36</v>
      </c>
      <c r="AZ264" s="598" t="s">
        <v>37</v>
      </c>
      <c r="BA264" s="598" t="s">
        <v>228</v>
      </c>
      <c r="BB264" s="598" t="s">
        <v>229</v>
      </c>
      <c r="BC264" s="588"/>
      <c r="BD264" s="594" t="s">
        <v>225</v>
      </c>
      <c r="BE264" s="595" t="s">
        <v>31</v>
      </c>
      <c r="BJ264" s="596" t="s">
        <v>32</v>
      </c>
      <c r="BK264" s="597" t="s">
        <v>226</v>
      </c>
      <c r="BL264" s="597" t="s">
        <v>227</v>
      </c>
      <c r="BM264" s="597" t="s">
        <v>35</v>
      </c>
      <c r="BN264" s="597" t="s">
        <v>36</v>
      </c>
      <c r="BO264" s="598" t="s">
        <v>37</v>
      </c>
      <c r="BP264" s="598" t="s">
        <v>228</v>
      </c>
      <c r="BQ264" s="598" t="s">
        <v>229</v>
      </c>
      <c r="BR264" s="588"/>
      <c r="BS264" s="594" t="s">
        <v>225</v>
      </c>
      <c r="BT264" s="595" t="s">
        <v>31</v>
      </c>
      <c r="BY264" s="596" t="s">
        <v>32</v>
      </c>
      <c r="BZ264" s="597" t="s">
        <v>226</v>
      </c>
      <c r="CA264" s="597" t="s">
        <v>227</v>
      </c>
      <c r="CB264" s="597" t="s">
        <v>35</v>
      </c>
      <c r="CC264" s="597" t="s">
        <v>36</v>
      </c>
      <c r="CD264" s="598" t="s">
        <v>37</v>
      </c>
      <c r="CE264" s="598" t="s">
        <v>228</v>
      </c>
      <c r="CF264" s="598" t="s">
        <v>229</v>
      </c>
      <c r="CG264" s="588"/>
      <c r="CH264" s="594" t="s">
        <v>225</v>
      </c>
      <c r="CI264" s="595" t="s">
        <v>31</v>
      </c>
      <c r="CN264" s="596" t="s">
        <v>32</v>
      </c>
      <c r="CO264" s="597" t="s">
        <v>226</v>
      </c>
      <c r="CP264" s="597" t="s">
        <v>227</v>
      </c>
      <c r="CQ264" s="597" t="s">
        <v>35</v>
      </c>
      <c r="CR264" s="597" t="s">
        <v>36</v>
      </c>
      <c r="CS264" s="598" t="s">
        <v>37</v>
      </c>
      <c r="CT264" s="598" t="s">
        <v>228</v>
      </c>
      <c r="CU264" s="598" t="s">
        <v>229</v>
      </c>
      <c r="CV264" s="588"/>
      <c r="CW264" s="594" t="s">
        <v>225</v>
      </c>
      <c r="CX264" s="595" t="s">
        <v>31</v>
      </c>
      <c r="DC264" s="596" t="s">
        <v>32</v>
      </c>
      <c r="DD264" s="597" t="s">
        <v>226</v>
      </c>
      <c r="DE264" s="597" t="s">
        <v>227</v>
      </c>
      <c r="DF264" s="597" t="s">
        <v>35</v>
      </c>
      <c r="DG264" s="597" t="s">
        <v>36</v>
      </c>
      <c r="DH264" s="598" t="s">
        <v>37</v>
      </c>
      <c r="DI264" s="598" t="s">
        <v>228</v>
      </c>
      <c r="DJ264" s="598" t="s">
        <v>229</v>
      </c>
      <c r="DK264" s="588"/>
    </row>
    <row r="265" ht="14.25" hidden="1" customHeight="1">
      <c r="A265" s="492" t="str">
        <f>"S "&amp;$AD252&amp;" - "&amp;TEXT(C262,"dd/mm")</f>
        <v>S 6 - 16/02</v>
      </c>
      <c r="B265" s="592" t="s">
        <v>230</v>
      </c>
      <c r="C265" s="600"/>
      <c r="D265" s="602"/>
      <c r="E265" s="600"/>
      <c r="F265" s="602"/>
      <c r="G265" s="600"/>
      <c r="H265" s="600"/>
      <c r="I265" s="602"/>
      <c r="J265" s="505"/>
      <c r="K265" s="581"/>
      <c r="L265" s="603"/>
      <c r="M265" s="603"/>
      <c r="N265" s="603"/>
      <c r="O265" s="603"/>
      <c r="P265" s="603" t="s">
        <v>29</v>
      </c>
      <c r="Q265" s="581"/>
      <c r="R265" s="603"/>
      <c r="S265" s="603"/>
      <c r="T265" s="603"/>
      <c r="U265" s="603"/>
      <c r="V265" s="603"/>
      <c r="W265" s="603"/>
      <c r="X265" s="603"/>
      <c r="Y265" s="604"/>
      <c r="Z265" s="581"/>
      <c r="AA265" s="603"/>
      <c r="AB265" s="603"/>
      <c r="AC265" s="603"/>
      <c r="AD265" s="603"/>
      <c r="AE265" s="603" t="s">
        <v>29</v>
      </c>
      <c r="AF265" s="581"/>
      <c r="AG265" s="603"/>
      <c r="AH265" s="603"/>
      <c r="AI265" s="603"/>
      <c r="AJ265" s="603"/>
      <c r="AK265" s="603"/>
      <c r="AL265" s="603"/>
      <c r="AM265" s="603"/>
      <c r="AN265" s="604"/>
      <c r="AO265" s="581"/>
      <c r="AP265" s="603"/>
      <c r="AQ265" s="603"/>
      <c r="AR265" s="603"/>
      <c r="AS265" s="603"/>
      <c r="AT265" s="603" t="s">
        <v>29</v>
      </c>
      <c r="AU265" s="581"/>
      <c r="AV265" s="603"/>
      <c r="AW265" s="603"/>
      <c r="AX265" s="603"/>
      <c r="AY265" s="603"/>
      <c r="AZ265" s="603"/>
      <c r="BA265" s="603"/>
      <c r="BB265" s="603"/>
      <c r="BC265" s="605"/>
      <c r="BD265" s="581"/>
      <c r="BE265" s="603"/>
      <c r="BF265" s="603"/>
      <c r="BG265" s="603"/>
      <c r="BH265" s="603"/>
      <c r="BI265" s="603" t="s">
        <v>29</v>
      </c>
      <c r="BJ265" s="581"/>
      <c r="BK265" s="603"/>
      <c r="BL265" s="603"/>
      <c r="BM265" s="603"/>
      <c r="BN265" s="603"/>
      <c r="BO265" s="603"/>
      <c r="BP265" s="603"/>
      <c r="BQ265" s="603"/>
      <c r="BR265" s="605"/>
      <c r="BS265" s="581"/>
      <c r="BT265" s="603"/>
      <c r="BU265" s="603"/>
      <c r="BV265" s="603"/>
      <c r="BW265" s="603"/>
      <c r="BX265" s="603" t="s">
        <v>29</v>
      </c>
      <c r="BY265" s="581"/>
      <c r="BZ265" s="603"/>
      <c r="CA265" s="603"/>
      <c r="CB265" s="603"/>
      <c r="CC265" s="603"/>
      <c r="CD265" s="603"/>
      <c r="CE265" s="603"/>
      <c r="CF265" s="603"/>
      <c r="CG265" s="605"/>
      <c r="CH265" s="581"/>
      <c r="CI265" s="603"/>
      <c r="CJ265" s="603"/>
      <c r="CK265" s="603"/>
      <c r="CL265" s="603"/>
      <c r="CM265" s="603" t="s">
        <v>29</v>
      </c>
      <c r="CN265" s="581"/>
      <c r="CO265" s="603"/>
      <c r="CP265" s="603"/>
      <c r="CQ265" s="603"/>
      <c r="CR265" s="603"/>
      <c r="CS265" s="603"/>
      <c r="CT265" s="603"/>
      <c r="CU265" s="603"/>
      <c r="CV265" s="605"/>
      <c r="CW265" s="581"/>
      <c r="CX265" s="603"/>
      <c r="CY265" s="603"/>
      <c r="CZ265" s="603"/>
      <c r="DA265" s="603"/>
      <c r="DB265" s="603" t="s">
        <v>29</v>
      </c>
      <c r="DC265" s="581"/>
      <c r="DD265" s="603"/>
      <c r="DE265" s="603"/>
      <c r="DF265" s="603"/>
      <c r="DG265" s="603"/>
      <c r="DH265" s="603"/>
      <c r="DI265" s="603"/>
      <c r="DJ265" s="603"/>
      <c r="DK265" s="604"/>
    </row>
    <row r="266" ht="14.25" hidden="1" customHeight="1">
      <c r="A266" s="492" t="str">
        <f>"S "&amp;$AD252&amp;" - "&amp;TEXT(C262,"dd/mm")</f>
        <v>S 6 - 16/02</v>
      </c>
      <c r="B266" s="592" t="s">
        <v>231</v>
      </c>
      <c r="C266" s="600"/>
      <c r="D266" s="712"/>
      <c r="E266" s="600"/>
      <c r="F266" s="712"/>
      <c r="G266" s="600"/>
      <c r="H266" s="600"/>
      <c r="I266" s="607"/>
      <c r="J266" s="505"/>
      <c r="K266" s="608">
        <v>1.0</v>
      </c>
      <c r="L266" s="619"/>
      <c r="Q266" s="620"/>
      <c r="R266" s="618"/>
      <c r="S266" s="618"/>
      <c r="T266" s="618"/>
      <c r="U266" s="618"/>
      <c r="V266" s="618"/>
      <c r="W266" s="617" t="str">
        <f>IF(L266="","",OFFSET(Biblioteca!$G$2,MATCH(L266,Biblioteca!$A$3:$A$200,0),)*(1.05^(10-S266)))</f>
        <v/>
      </c>
      <c r="X266" s="618"/>
      <c r="Y266" s="579"/>
      <c r="Z266" s="608">
        <v>1.0</v>
      </c>
      <c r="AA266" s="619"/>
      <c r="AF266" s="620"/>
      <c r="AG266" s="618"/>
      <c r="AH266" s="618"/>
      <c r="AI266" s="618"/>
      <c r="AJ266" s="618"/>
      <c r="AK266" s="618"/>
      <c r="AL266" s="617" t="str">
        <f>IF(AA266="","",OFFSET(Biblioteca!$G$2,MATCH(AA266,Biblioteca!$A$3:$A$200,0),)*(1.05^(10-AH266)))</f>
        <v/>
      </c>
      <c r="AM266" s="618"/>
      <c r="AN266" s="579"/>
      <c r="AO266" s="608">
        <v>1.0</v>
      </c>
      <c r="AP266" s="619"/>
      <c r="AU266" s="620"/>
      <c r="AV266" s="618"/>
      <c r="AW266" s="618"/>
      <c r="AX266" s="618"/>
      <c r="AY266" s="618"/>
      <c r="AZ266" s="618"/>
      <c r="BA266" s="617" t="str">
        <f>IF(AP266="","",OFFSET(Biblioteca!$G$2,MATCH(AP266,Biblioteca!$A$3:$A$200,0),)*(1.05^(10-AW266)))</f>
        <v/>
      </c>
      <c r="BB266" s="618"/>
      <c r="BC266" s="579"/>
      <c r="BD266" s="608">
        <v>1.0</v>
      </c>
      <c r="BE266" s="619"/>
      <c r="BJ266" s="620"/>
      <c r="BK266" s="618"/>
      <c r="BL266" s="618"/>
      <c r="BM266" s="618"/>
      <c r="BN266" s="618"/>
      <c r="BO266" s="618"/>
      <c r="BP266" s="617" t="str">
        <f>IF(BE266="","",OFFSET(Biblioteca!$G$2,MATCH(BE266,Biblioteca!$A$3:$A$200,0),)*(1.05^(10-BL266)))</f>
        <v/>
      </c>
      <c r="BQ266" s="618"/>
      <c r="BR266" s="579"/>
      <c r="BS266" s="608">
        <v>1.0</v>
      </c>
      <c r="BT266" s="619"/>
      <c r="BY266" s="620"/>
      <c r="BZ266" s="618"/>
      <c r="CA266" s="618"/>
      <c r="CB266" s="618"/>
      <c r="CC266" s="618"/>
      <c r="CD266" s="618"/>
      <c r="CE266" s="617" t="str">
        <f>IF(BT266="","",OFFSET(Biblioteca!$G$2,MATCH(BT266,Biblioteca!$A$3:$A$200,0),)*(1.05^(10-CA266)))</f>
        <v/>
      </c>
      <c r="CF266" s="618"/>
      <c r="CG266" s="579"/>
      <c r="CH266" s="608">
        <v>1.0</v>
      </c>
      <c r="CI266" s="619"/>
      <c r="CN266" s="620"/>
      <c r="CO266" s="618"/>
      <c r="CP266" s="618"/>
      <c r="CQ266" s="618"/>
      <c r="CR266" s="618"/>
      <c r="CS266" s="618"/>
      <c r="CT266" s="617" t="str">
        <f>IF(CI266="","",OFFSET(Biblioteca!$G$2,MATCH(CI266,Biblioteca!$A$3:$A$200,0),)*(1.05^(10-CP266)))</f>
        <v/>
      </c>
      <c r="CU266" s="618"/>
      <c r="CV266" s="579"/>
      <c r="CW266" s="608">
        <v>1.0</v>
      </c>
      <c r="CX266" s="619"/>
      <c r="DC266" s="620"/>
      <c r="DD266" s="618"/>
      <c r="DE266" s="618"/>
      <c r="DF266" s="618"/>
      <c r="DG266" s="618"/>
      <c r="DH266" s="618"/>
      <c r="DI266" s="617" t="str">
        <f>IF(CX266="","",OFFSET(Biblioteca!$G$2,MATCH(CX266,Biblioteca!$A$3:$A$200,0),)*(1.05^(10-DE266)))</f>
        <v/>
      </c>
      <c r="DJ266" s="618"/>
      <c r="DK266" s="579"/>
    </row>
    <row r="267" ht="14.25" hidden="1" customHeight="1">
      <c r="A267" s="492" t="str">
        <f>"S "&amp;$AD252&amp;" - "&amp;TEXT(C262,"dd/mm")</f>
        <v>S 6 - 16/02</v>
      </c>
      <c r="B267" s="592" t="s">
        <v>15</v>
      </c>
      <c r="C267" s="600"/>
      <c r="D267" s="600"/>
      <c r="E267" s="600"/>
      <c r="F267" s="600"/>
      <c r="G267" s="600"/>
      <c r="H267" s="600"/>
      <c r="I267" s="600"/>
      <c r="J267" s="505"/>
      <c r="K267" s="608">
        <f t="shared" ref="K267:K269" si="160">IF(T266="",K266,K266+1)</f>
        <v>1</v>
      </c>
      <c r="L267" s="619"/>
      <c r="Q267" s="620"/>
      <c r="R267" s="618"/>
      <c r="S267" s="618"/>
      <c r="T267" s="618"/>
      <c r="U267" s="618"/>
      <c r="V267" s="618"/>
      <c r="W267" s="617" t="str">
        <f>IF(L267="","",OFFSET(Biblioteca!$G$2,MATCH(L267,Biblioteca!$A$3:$A$200,0),)*(1.05^(10-S267)))</f>
        <v/>
      </c>
      <c r="X267" s="618"/>
      <c r="Y267" s="579"/>
      <c r="Z267" s="608">
        <f t="shared" ref="Z267:Z269" si="161">IF(AI266="",Z266,Z266+1)</f>
        <v>1</v>
      </c>
      <c r="AA267" s="619"/>
      <c r="AF267" s="620"/>
      <c r="AG267" s="618"/>
      <c r="AH267" s="618"/>
      <c r="AI267" s="618"/>
      <c r="AJ267" s="618"/>
      <c r="AK267" s="618"/>
      <c r="AL267" s="617" t="str">
        <f>IF(AA267="","",OFFSET(Biblioteca!$G$2,MATCH(AA267,Biblioteca!$A$3:$A$200,0),)*(1.05^(10-AH267)))</f>
        <v/>
      </c>
      <c r="AM267" s="618"/>
      <c r="AN267" s="579"/>
      <c r="AO267" s="608">
        <f t="shared" ref="AO267:AO269" si="162">IF(AX266="",AO266,AO266+1)</f>
        <v>1</v>
      </c>
      <c r="AP267" s="619"/>
      <c r="AU267" s="620"/>
      <c r="AV267" s="618"/>
      <c r="AW267" s="618"/>
      <c r="AX267" s="618"/>
      <c r="AY267" s="618"/>
      <c r="AZ267" s="618"/>
      <c r="BA267" s="617" t="str">
        <f>IF(AP267="","",OFFSET(Biblioteca!$G$2,MATCH(AP267,Biblioteca!$A$3:$A$200,0),)*(1.05^(10-AW267)))</f>
        <v/>
      </c>
      <c r="BB267" s="618"/>
      <c r="BC267" s="579"/>
      <c r="BD267" s="608">
        <f t="shared" ref="BD267:BD269" si="163">IF(BM266="",BD266,BD266+1)</f>
        <v>1</v>
      </c>
      <c r="BE267" s="619"/>
      <c r="BJ267" s="620"/>
      <c r="BK267" s="618"/>
      <c r="BL267" s="618"/>
      <c r="BM267" s="618"/>
      <c r="BN267" s="618"/>
      <c r="BO267" s="618"/>
      <c r="BP267" s="617" t="str">
        <f>IF(BE267="","",OFFSET(Biblioteca!$G$2,MATCH(BE267,Biblioteca!$A$3:$A$200,0),)*(1.05^(10-BL267)))</f>
        <v/>
      </c>
      <c r="BQ267" s="618"/>
      <c r="BR267" s="579"/>
      <c r="BS267" s="608">
        <f t="shared" ref="BS267:BS269" si="164">IF(CB266="",BS266,BS266+1)</f>
        <v>1</v>
      </c>
      <c r="BT267" s="619"/>
      <c r="BY267" s="620"/>
      <c r="BZ267" s="618"/>
      <c r="CA267" s="618"/>
      <c r="CB267" s="618"/>
      <c r="CC267" s="618"/>
      <c r="CD267" s="618"/>
      <c r="CE267" s="617" t="str">
        <f>IF(BT267="","",OFFSET(Biblioteca!$G$2,MATCH(BT267,Biblioteca!$A$3:$A$200,0),)*(1.05^(10-CA267)))</f>
        <v/>
      </c>
      <c r="CF267" s="618"/>
      <c r="CG267" s="579"/>
      <c r="CH267" s="608">
        <f t="shared" ref="CH267:CH269" si="165">IF(CQ266="",CH266,CH266+1)</f>
        <v>1</v>
      </c>
      <c r="CI267" s="619"/>
      <c r="CN267" s="620"/>
      <c r="CO267" s="618"/>
      <c r="CP267" s="618"/>
      <c r="CQ267" s="618"/>
      <c r="CR267" s="618"/>
      <c r="CS267" s="618"/>
      <c r="CT267" s="617" t="str">
        <f>IF(CI267="","",OFFSET(Biblioteca!$G$2,MATCH(CI267,Biblioteca!$A$3:$A$200,0),)*(1.05^(10-CP267)))</f>
        <v/>
      </c>
      <c r="CU267" s="618"/>
      <c r="CV267" s="579"/>
      <c r="CW267" s="608">
        <f t="shared" ref="CW267:CW269" si="166">IF(DF266="",CW266,CW266+1)</f>
        <v>1</v>
      </c>
      <c r="CX267" s="619"/>
      <c r="DC267" s="620"/>
      <c r="DD267" s="618"/>
      <c r="DE267" s="618"/>
      <c r="DF267" s="618"/>
      <c r="DG267" s="618"/>
      <c r="DH267" s="618"/>
      <c r="DI267" s="617" t="str">
        <f>IF(CX267="","",OFFSET(Biblioteca!$G$2,MATCH(CX267,Biblioteca!$A$3:$A$200,0),)*(1.05^(10-DE267)))</f>
        <v/>
      </c>
      <c r="DJ267" s="618"/>
      <c r="DK267" s="579"/>
    </row>
    <row r="268" ht="14.25" hidden="1" customHeight="1">
      <c r="A268" s="492" t="str">
        <f>"S "&amp;$AD252&amp;" - "&amp;TEXT(C262,"dd/mm")</f>
        <v>S 6 - 16/02</v>
      </c>
      <c r="B268" s="592" t="s">
        <v>248</v>
      </c>
      <c r="C268" s="622"/>
      <c r="D268" s="622"/>
      <c r="E268" s="622"/>
      <c r="F268" s="624"/>
      <c r="G268" s="622"/>
      <c r="H268" s="622"/>
      <c r="I268" s="624"/>
      <c r="J268" s="505"/>
      <c r="K268" s="608">
        <f t="shared" si="160"/>
        <v>1</v>
      </c>
      <c r="L268" s="619"/>
      <c r="Q268" s="620"/>
      <c r="R268" s="618"/>
      <c r="S268" s="618"/>
      <c r="T268" s="618"/>
      <c r="U268" s="618"/>
      <c r="V268" s="618"/>
      <c r="W268" s="617" t="str">
        <f>IF(L268="","",OFFSET(Biblioteca!$G$2,MATCH(L268,Biblioteca!$A$3:$A$200,0),)*(1.05^(10-S268)))</f>
        <v/>
      </c>
      <c r="X268" s="618"/>
      <c r="Y268" s="588"/>
      <c r="Z268" s="608">
        <f t="shared" si="161"/>
        <v>1</v>
      </c>
      <c r="AA268" s="619"/>
      <c r="AF268" s="620"/>
      <c r="AG268" s="618"/>
      <c r="AH268" s="618"/>
      <c r="AI268" s="618"/>
      <c r="AJ268" s="618"/>
      <c r="AK268" s="618"/>
      <c r="AL268" s="617" t="str">
        <f>IF(AA268="","",OFFSET(Biblioteca!$G$2,MATCH(AA268,Biblioteca!$A$3:$A$200,0),)*(1.05^(10-AH268)))</f>
        <v/>
      </c>
      <c r="AM268" s="618"/>
      <c r="AN268" s="588"/>
      <c r="AO268" s="608">
        <f t="shared" si="162"/>
        <v>1</v>
      </c>
      <c r="AP268" s="619"/>
      <c r="AU268" s="620"/>
      <c r="AV268" s="618"/>
      <c r="AW268" s="618"/>
      <c r="AX268" s="618"/>
      <c r="AY268" s="618"/>
      <c r="AZ268" s="618"/>
      <c r="BA268" s="617" t="str">
        <f>IF(AP268="","",OFFSET(Biblioteca!$G$2,MATCH(AP268,Biblioteca!$A$3:$A$200,0),)*(1.05^(10-AW268)))</f>
        <v/>
      </c>
      <c r="BB268" s="618"/>
      <c r="BC268" s="588"/>
      <c r="BD268" s="608">
        <f t="shared" si="163"/>
        <v>1</v>
      </c>
      <c r="BE268" s="619"/>
      <c r="BJ268" s="620"/>
      <c r="BK268" s="618"/>
      <c r="BL268" s="618"/>
      <c r="BM268" s="618"/>
      <c r="BN268" s="618"/>
      <c r="BO268" s="618"/>
      <c r="BP268" s="617" t="str">
        <f>IF(BE268="","",OFFSET(Biblioteca!$G$2,MATCH(BE268,Biblioteca!$A$3:$A$200,0),)*(1.05^(10-BL268)))</f>
        <v/>
      </c>
      <c r="BQ268" s="618"/>
      <c r="BR268" s="588"/>
      <c r="BS268" s="608">
        <f t="shared" si="164"/>
        <v>1</v>
      </c>
      <c r="BT268" s="619"/>
      <c r="BY268" s="620"/>
      <c r="BZ268" s="618"/>
      <c r="CA268" s="618"/>
      <c r="CB268" s="618"/>
      <c r="CC268" s="618"/>
      <c r="CD268" s="618"/>
      <c r="CE268" s="617" t="str">
        <f>IF(BT268="","",OFFSET(Biblioteca!$G$2,MATCH(BT268,Biblioteca!$A$3:$A$200,0),)*(1.05^(10-CA268)))</f>
        <v/>
      </c>
      <c r="CF268" s="618"/>
      <c r="CG268" s="588"/>
      <c r="CH268" s="608">
        <f t="shared" si="165"/>
        <v>1</v>
      </c>
      <c r="CI268" s="619"/>
      <c r="CN268" s="620"/>
      <c r="CO268" s="618"/>
      <c r="CP268" s="618"/>
      <c r="CQ268" s="618"/>
      <c r="CR268" s="618"/>
      <c r="CS268" s="618"/>
      <c r="CT268" s="617" t="str">
        <f>IF(CI268="","",OFFSET(Biblioteca!$G$2,MATCH(CI268,Biblioteca!$A$3:$A$200,0),)*(1.05^(10-CP268)))</f>
        <v/>
      </c>
      <c r="CU268" s="618"/>
      <c r="CV268" s="588"/>
      <c r="CW268" s="608">
        <f t="shared" si="166"/>
        <v>1</v>
      </c>
      <c r="CX268" s="619"/>
      <c r="DC268" s="620"/>
      <c r="DD268" s="618"/>
      <c r="DE268" s="618"/>
      <c r="DF268" s="618"/>
      <c r="DG268" s="618"/>
      <c r="DH268" s="618"/>
      <c r="DI268" s="617" t="str">
        <f>IF(CX268="","",OFFSET(Biblioteca!$G$2,MATCH(CX268,Biblioteca!$A$3:$A$200,0),)*(1.05^(10-DE268)))</f>
        <v/>
      </c>
      <c r="DJ268" s="618"/>
      <c r="DK268" s="588"/>
    </row>
    <row r="269" ht="14.25" hidden="1" customHeight="1">
      <c r="A269" s="492" t="str">
        <f>"S "&amp;$AD252&amp;" - "&amp;TEXT(C262,"dd/mm")</f>
        <v>S 6 - 16/02</v>
      </c>
      <c r="B269" s="592" t="s">
        <v>254</v>
      </c>
      <c r="C269" s="622"/>
      <c r="D269" s="622"/>
      <c r="E269" s="622"/>
      <c r="F269" s="624"/>
      <c r="G269" s="622"/>
      <c r="H269" s="622"/>
      <c r="I269" s="624"/>
      <c r="J269" s="505"/>
      <c r="K269" s="608">
        <f t="shared" si="160"/>
        <v>1</v>
      </c>
      <c r="L269" s="619"/>
      <c r="Q269" s="620"/>
      <c r="R269" s="618"/>
      <c r="S269" s="618"/>
      <c r="T269" s="618"/>
      <c r="U269" s="618"/>
      <c r="V269" s="618"/>
      <c r="W269" s="617" t="str">
        <f>IF(L269="","",OFFSET(Biblioteca!$G$2,MATCH(L269,Biblioteca!$A$3:$A$200,0),)*(1.05^(10-S269)))</f>
        <v/>
      </c>
      <c r="X269" s="618"/>
      <c r="Y269" s="588"/>
      <c r="Z269" s="608">
        <f t="shared" si="161"/>
        <v>1</v>
      </c>
      <c r="AA269" s="619"/>
      <c r="AF269" s="620"/>
      <c r="AG269" s="618"/>
      <c r="AH269" s="618"/>
      <c r="AI269" s="618"/>
      <c r="AJ269" s="618"/>
      <c r="AK269" s="618"/>
      <c r="AL269" s="617" t="str">
        <f>IF(AA269="","",OFFSET(Biblioteca!$G$2,MATCH(AA269,Biblioteca!$A$3:$A$200,0),)*(1.05^(10-AH269)))</f>
        <v/>
      </c>
      <c r="AM269" s="618"/>
      <c r="AN269" s="588"/>
      <c r="AO269" s="608">
        <f t="shared" si="162"/>
        <v>1</v>
      </c>
      <c r="AP269" s="619"/>
      <c r="AU269" s="620"/>
      <c r="AV269" s="618"/>
      <c r="AW269" s="618"/>
      <c r="AX269" s="618"/>
      <c r="AY269" s="618"/>
      <c r="AZ269" s="618"/>
      <c r="BA269" s="617" t="str">
        <f>IF(AP269="","",OFFSET(Biblioteca!$G$2,MATCH(AP269,Biblioteca!$A$3:$A$200,0),)*(1.05^(10-AW269)))</f>
        <v/>
      </c>
      <c r="BB269" s="618"/>
      <c r="BC269" s="588"/>
      <c r="BD269" s="608">
        <f t="shared" si="163"/>
        <v>1</v>
      </c>
      <c r="BE269" s="619"/>
      <c r="BJ269" s="620"/>
      <c r="BK269" s="618"/>
      <c r="BL269" s="618"/>
      <c r="BM269" s="618"/>
      <c r="BN269" s="618"/>
      <c r="BO269" s="618"/>
      <c r="BP269" s="617" t="str">
        <f>IF(BE269="","",OFFSET(Biblioteca!$G$2,MATCH(BE269,Biblioteca!$A$3:$A$200,0),)*(1.05^(10-BL269)))</f>
        <v/>
      </c>
      <c r="BQ269" s="618"/>
      <c r="BR269" s="588"/>
      <c r="BS269" s="608">
        <f t="shared" si="164"/>
        <v>1</v>
      </c>
      <c r="BT269" s="619"/>
      <c r="BY269" s="620"/>
      <c r="BZ269" s="618"/>
      <c r="CA269" s="618"/>
      <c r="CB269" s="618"/>
      <c r="CC269" s="618"/>
      <c r="CD269" s="618"/>
      <c r="CE269" s="617" t="str">
        <f>IF(BT269="","",OFFSET(Biblioteca!$G$2,MATCH(BT269,Biblioteca!$A$3:$A$200,0),)*(1.05^(10-CA269)))</f>
        <v/>
      </c>
      <c r="CF269" s="618"/>
      <c r="CG269" s="588"/>
      <c r="CH269" s="608">
        <f t="shared" si="165"/>
        <v>1</v>
      </c>
      <c r="CI269" s="619"/>
      <c r="CN269" s="620"/>
      <c r="CO269" s="618"/>
      <c r="CP269" s="618"/>
      <c r="CQ269" s="618"/>
      <c r="CR269" s="618"/>
      <c r="CS269" s="618"/>
      <c r="CT269" s="617" t="str">
        <f>IF(CI269="","",OFFSET(Biblioteca!$G$2,MATCH(CI269,Biblioteca!$A$3:$A$200,0),)*(1.05^(10-CP269)))</f>
        <v/>
      </c>
      <c r="CU269" s="618"/>
      <c r="CV269" s="588"/>
      <c r="CW269" s="608">
        <f t="shared" si="166"/>
        <v>1</v>
      </c>
      <c r="CX269" s="619"/>
      <c r="DC269" s="620"/>
      <c r="DD269" s="618"/>
      <c r="DE269" s="618"/>
      <c r="DF269" s="618"/>
      <c r="DG269" s="618"/>
      <c r="DH269" s="618"/>
      <c r="DI269" s="617" t="str">
        <f>IF(CX269="","",OFFSET(Biblioteca!$G$2,MATCH(CX269,Biblioteca!$A$3:$A$200,0),)*(1.05^(10-DE269)))</f>
        <v/>
      </c>
      <c r="DJ269" s="618"/>
      <c r="DK269" s="588"/>
    </row>
    <row r="270" ht="14.25" hidden="1" customHeight="1">
      <c r="A270" s="492" t="str">
        <f>"S "&amp;$AD252&amp;" - "&amp;TEXT(C262,"dd/mm")</f>
        <v>S 6 - 16/02</v>
      </c>
      <c r="B270" s="592" t="s">
        <v>256</v>
      </c>
      <c r="C270" s="600"/>
      <c r="D270" s="624"/>
      <c r="E270" s="600"/>
      <c r="F270" s="624"/>
      <c r="G270" s="600"/>
      <c r="H270" s="600"/>
      <c r="I270" s="607"/>
      <c r="J270" s="505"/>
      <c r="K270" s="627"/>
      <c r="L270" s="627"/>
      <c r="M270" s="633" t="s">
        <v>257</v>
      </c>
      <c r="N270" s="627"/>
      <c r="O270" s="634"/>
      <c r="P270" s="635"/>
      <c r="Q270" s="635"/>
      <c r="R270" s="635"/>
      <c r="S270" s="635" t="str">
        <f>OFFSET($B266,0,WEEKDAY(K258,2))&amp;" "&amp;OFFSET($B271,0,WEEKDAY(K258,2))&amp;"x"&amp;OFFSET($B270,0,WEEKDAY(K258,2))</f>
        <v> x</v>
      </c>
      <c r="T270" s="635"/>
      <c r="U270" s="635"/>
      <c r="V270" s="635"/>
      <c r="W270" s="635"/>
      <c r="X270" s="635"/>
      <c r="Y270" s="604"/>
      <c r="Z270" s="627"/>
      <c r="AA270" s="627"/>
      <c r="AB270" s="633" t="s">
        <v>257</v>
      </c>
      <c r="AC270" s="627"/>
      <c r="AD270" s="634"/>
      <c r="AE270" s="635"/>
      <c r="AF270" s="635"/>
      <c r="AG270" s="635"/>
      <c r="AH270" s="635" t="str">
        <f>OFFSET($B266,0,WEEKDAY(Z258,2))&amp;" "&amp;OFFSET($B271,0,WEEKDAY(Z258,2))&amp;"x"&amp;OFFSET($B270,0,WEEKDAY(Z258,2))</f>
        <v> x</v>
      </c>
      <c r="AI270" s="635"/>
      <c r="AJ270" s="635"/>
      <c r="AK270" s="635"/>
      <c r="AL270" s="635"/>
      <c r="AM270" s="635"/>
      <c r="AN270" s="604"/>
      <c r="AO270" s="627"/>
      <c r="AP270" s="627"/>
      <c r="AQ270" s="633" t="s">
        <v>257</v>
      </c>
      <c r="AR270" s="627"/>
      <c r="AS270" s="634"/>
      <c r="AT270" s="635"/>
      <c r="AU270" s="635"/>
      <c r="AV270" s="635"/>
      <c r="AW270" s="635" t="str">
        <f>OFFSET($B266,0,WEEKDAY(AO258,2))&amp;" "&amp;OFFSET($B271,0,WEEKDAY(AO258,2))&amp;"x"&amp;OFFSET($B270,0,WEEKDAY(AO258,2))</f>
        <v> x</v>
      </c>
      <c r="AX270" s="635"/>
      <c r="AY270" s="635"/>
      <c r="AZ270" s="635"/>
      <c r="BA270" s="635"/>
      <c r="BB270" s="635"/>
      <c r="BC270" s="604"/>
      <c r="BD270" s="627"/>
      <c r="BE270" s="627"/>
      <c r="BF270" s="633" t="s">
        <v>257</v>
      </c>
      <c r="BG270" s="627"/>
      <c r="BH270" s="634"/>
      <c r="BI270" s="635"/>
      <c r="BJ270" s="635"/>
      <c r="BK270" s="635"/>
      <c r="BL270" s="635" t="str">
        <f>OFFSET($B266,0,WEEKDAY(BD258,2))&amp;" "&amp;OFFSET($B271,0,WEEKDAY(BD258,2))&amp;"x"&amp;OFFSET($B270,0,WEEKDAY(BD258,2))</f>
        <v> x</v>
      </c>
      <c r="BM270" s="635"/>
      <c r="BN270" s="635"/>
      <c r="BO270" s="635"/>
      <c r="BP270" s="635"/>
      <c r="BQ270" s="635"/>
      <c r="BR270" s="604"/>
      <c r="BS270" s="627"/>
      <c r="BT270" s="627"/>
      <c r="BU270" s="633" t="s">
        <v>257</v>
      </c>
      <c r="BV270" s="627"/>
      <c r="BW270" s="634"/>
      <c r="BX270" s="635"/>
      <c r="BY270" s="635"/>
      <c r="BZ270" s="635"/>
      <c r="CA270" s="635" t="str">
        <f>OFFSET($B266,0,WEEKDAY(BS258,2))&amp;" "&amp;OFFSET($B271,0,WEEKDAY(BS258,2))&amp;"x"&amp;OFFSET($B270,0,WEEKDAY(BS258,2))</f>
        <v> x</v>
      </c>
      <c r="CB270" s="635"/>
      <c r="CC270" s="635"/>
      <c r="CD270" s="635"/>
      <c r="CE270" s="635"/>
      <c r="CF270" s="635"/>
      <c r="CG270" s="604"/>
      <c r="CH270" s="627"/>
      <c r="CI270" s="627"/>
      <c r="CJ270" s="633" t="s">
        <v>257</v>
      </c>
      <c r="CK270" s="627"/>
      <c r="CL270" s="634"/>
      <c r="CM270" s="635"/>
      <c r="CN270" s="635"/>
      <c r="CO270" s="635"/>
      <c r="CP270" s="635" t="str">
        <f>OFFSET($B266,0,WEEKDAY(CH258,2))&amp;" "&amp;OFFSET($B271,0,WEEKDAY(CH258,2))&amp;"x"&amp;OFFSET($B270,0,WEEKDAY(CH258,2))</f>
        <v> x</v>
      </c>
      <c r="CQ270" s="635"/>
      <c r="CR270" s="635"/>
      <c r="CS270" s="635"/>
      <c r="CT270" s="635"/>
      <c r="CU270" s="635"/>
      <c r="CV270" s="604"/>
      <c r="CW270" s="627"/>
      <c r="CX270" s="627"/>
      <c r="CY270" s="633" t="s">
        <v>257</v>
      </c>
      <c r="CZ270" s="627"/>
      <c r="DA270" s="634"/>
      <c r="DB270" s="635"/>
      <c r="DC270" s="635"/>
      <c r="DD270" s="635"/>
      <c r="DE270" s="635" t="str">
        <f>OFFSET($B266,0,WEEKDAY(CW258,2))&amp;" "&amp;OFFSET($B271,0,WEEKDAY(CW258,2))&amp;"x"&amp;OFFSET($B270,0,WEEKDAY(CW258,2))</f>
        <v> x</v>
      </c>
      <c r="DF270" s="635"/>
      <c r="DG270" s="635"/>
      <c r="DH270" s="635"/>
      <c r="DI270" s="635"/>
      <c r="DJ270" s="635"/>
      <c r="DK270" s="604"/>
    </row>
    <row r="271" ht="14.25" hidden="1" customHeight="1">
      <c r="A271" s="492" t="str">
        <f>"S "&amp;$AD252&amp;" - "&amp;TEXT(C262,"dd/mm")</f>
        <v>S 6 - 16/02</v>
      </c>
      <c r="B271" s="592" t="s">
        <v>258</v>
      </c>
      <c r="C271" s="637"/>
      <c r="D271" s="637"/>
      <c r="E271" s="637"/>
      <c r="F271" s="637"/>
      <c r="G271" s="637"/>
      <c r="H271" s="637"/>
      <c r="I271" s="637"/>
      <c r="J271" s="505"/>
      <c r="K271" s="608">
        <v>1.0</v>
      </c>
      <c r="L271" s="609"/>
      <c r="Q271" s="610"/>
      <c r="R271" s="625"/>
      <c r="S271" s="625"/>
      <c r="T271" s="625"/>
      <c r="U271" s="611"/>
      <c r="V271" s="611"/>
      <c r="W271" s="617" t="str">
        <f>IF(L271="","",OFFSET(Biblioteca!$G$2,MATCH(L271,Biblioteca!$A$3:$A$200,0),)*(1.05^(10-S271)))</f>
        <v/>
      </c>
      <c r="X271" s="618"/>
      <c r="Y271" s="579"/>
      <c r="Z271" s="608">
        <v>1.0</v>
      </c>
      <c r="AA271" s="609"/>
      <c r="AF271" s="610"/>
      <c r="AG271" s="625"/>
      <c r="AH271" s="625"/>
      <c r="AI271" s="625"/>
      <c r="AJ271" s="611"/>
      <c r="AK271" s="611"/>
      <c r="AL271" s="617" t="str">
        <f>IF(AA271="","",OFFSET(Biblioteca!$G$2,MATCH(AA271,Biblioteca!$A$3:$A$200,0),)*(1.05^(10-AH271)))</f>
        <v/>
      </c>
      <c r="AM271" s="618"/>
      <c r="AN271" s="579"/>
      <c r="AO271" s="608">
        <v>1.0</v>
      </c>
      <c r="AP271" s="609"/>
      <c r="AU271" s="610"/>
      <c r="AV271" s="625"/>
      <c r="AW271" s="625"/>
      <c r="AX271" s="625"/>
      <c r="AY271" s="611"/>
      <c r="AZ271" s="611"/>
      <c r="BA271" s="617" t="str">
        <f>IF(AP271="","",OFFSET(Biblioteca!$G$2,MATCH(AP271,Biblioteca!$A$3:$A$200,0),)*(1.05^(10-AW271)))</f>
        <v/>
      </c>
      <c r="BB271" s="618"/>
      <c r="BC271" s="579"/>
      <c r="BD271" s="608">
        <v>1.0</v>
      </c>
      <c r="BE271" s="609"/>
      <c r="BJ271" s="610"/>
      <c r="BK271" s="625"/>
      <c r="BL271" s="625"/>
      <c r="BM271" s="625"/>
      <c r="BN271" s="611"/>
      <c r="BO271" s="611"/>
      <c r="BP271" s="617" t="str">
        <f>IF(BE271="","",OFFSET(Biblioteca!$G$2,MATCH(BE271,Biblioteca!$A$3:$A$200,0),)*(1.05^(10-BL271)))</f>
        <v/>
      </c>
      <c r="BQ271" s="618"/>
      <c r="BR271" s="579"/>
      <c r="BS271" s="608">
        <v>1.0</v>
      </c>
      <c r="BT271" s="609"/>
      <c r="BY271" s="610"/>
      <c r="BZ271" s="625"/>
      <c r="CA271" s="625"/>
      <c r="CB271" s="625"/>
      <c r="CC271" s="611"/>
      <c r="CD271" s="611"/>
      <c r="CE271" s="617" t="str">
        <f>IF(BT271="","",OFFSET(Biblioteca!$G$2,MATCH(BT271,Biblioteca!$A$3:$A$200,0),)*(1.05^(10-CA271)))</f>
        <v/>
      </c>
      <c r="CF271" s="618"/>
      <c r="CG271" s="579"/>
      <c r="CH271" s="608">
        <v>1.0</v>
      </c>
      <c r="CI271" s="609"/>
      <c r="CN271" s="610"/>
      <c r="CO271" s="625"/>
      <c r="CP271" s="625"/>
      <c r="CQ271" s="625"/>
      <c r="CR271" s="611"/>
      <c r="CS271" s="611"/>
      <c r="CT271" s="617" t="str">
        <f>IF(CI271="","",OFFSET(Biblioteca!$G$2,MATCH(CI271,Biblioteca!$A$3:$A$200,0),)*(1.05^(10-CP271)))</f>
        <v/>
      </c>
      <c r="CU271" s="618"/>
      <c r="CV271" s="579"/>
      <c r="CW271" s="608">
        <v>1.0</v>
      </c>
      <c r="CX271" s="609"/>
      <c r="DC271" s="610"/>
      <c r="DD271" s="625"/>
      <c r="DE271" s="625"/>
      <c r="DF271" s="625"/>
      <c r="DG271" s="611"/>
      <c r="DH271" s="611"/>
      <c r="DI271" s="617" t="str">
        <f>IF(CX271="","",OFFSET(Biblioteca!$G$2,MATCH(CX271,Biblioteca!$A$3:$A$200,0),)*(1.05^(10-DE271)))</f>
        <v/>
      </c>
      <c r="DJ271" s="618"/>
      <c r="DK271" s="579"/>
    </row>
    <row r="272" ht="14.25" hidden="1" customHeight="1">
      <c r="A272" s="492" t="str">
        <f>"S "&amp;$AD252&amp;" - "&amp;TEXT(C262,"dd/mm")</f>
        <v>S 6 - 16/02</v>
      </c>
      <c r="B272" s="592" t="s">
        <v>263</v>
      </c>
      <c r="C272" s="600"/>
      <c r="D272" s="600"/>
      <c r="E272" s="600"/>
      <c r="F272" s="600"/>
      <c r="G272" s="600"/>
      <c r="H272" s="600"/>
      <c r="I272" s="600"/>
      <c r="J272" s="505"/>
      <c r="K272" s="608">
        <f t="shared" ref="K272:K290" si="167">IF(T271="",K271,K271+1)</f>
        <v>1</v>
      </c>
      <c r="L272" s="619"/>
      <c r="Q272" s="620"/>
      <c r="R272" s="618"/>
      <c r="S272" s="618"/>
      <c r="T272" s="618"/>
      <c r="U272" s="618"/>
      <c r="V272" s="618"/>
      <c r="W272" s="617" t="str">
        <f>IF(L272="","",OFFSET(Biblioteca!$G$2,MATCH(L272,Biblioteca!$A$3:$A$200,0),)*(1.05^(10-S272)))</f>
        <v/>
      </c>
      <c r="X272" s="618"/>
      <c r="Y272" s="579"/>
      <c r="Z272" s="608">
        <f t="shared" ref="Z272:Z290" si="168">IF(AI271="",Z271,Z271+1)</f>
        <v>1</v>
      </c>
      <c r="AA272" s="619"/>
      <c r="AF272" s="620"/>
      <c r="AG272" s="618"/>
      <c r="AH272" s="618"/>
      <c r="AI272" s="618"/>
      <c r="AJ272" s="618"/>
      <c r="AK272" s="618"/>
      <c r="AL272" s="617" t="str">
        <f>IF(AA272="","",OFFSET(Biblioteca!$G$2,MATCH(AA272,Biblioteca!$A$3:$A$200,0),)*(1.05^(10-AH272)))</f>
        <v/>
      </c>
      <c r="AM272" s="618"/>
      <c r="AN272" s="579"/>
      <c r="AO272" s="608">
        <f t="shared" ref="AO272:AO290" si="169">IF(AX271="",AO271,AO271+1)</f>
        <v>1</v>
      </c>
      <c r="AP272" s="619"/>
      <c r="AU272" s="620"/>
      <c r="AV272" s="618"/>
      <c r="AW272" s="618"/>
      <c r="AX272" s="618"/>
      <c r="AY272" s="618"/>
      <c r="AZ272" s="618"/>
      <c r="BA272" s="617" t="str">
        <f>IF(AP272="","",OFFSET(Biblioteca!$G$2,MATCH(AP272,Biblioteca!$A$3:$A$200,0),)*(1.05^(10-AW272)))</f>
        <v/>
      </c>
      <c r="BB272" s="618"/>
      <c r="BC272" s="579"/>
      <c r="BD272" s="608">
        <f t="shared" ref="BD272:BD290" si="170">IF(BM271="",BD271,BD271+1)</f>
        <v>1</v>
      </c>
      <c r="BE272" s="619"/>
      <c r="BJ272" s="620"/>
      <c r="BK272" s="618"/>
      <c r="BL272" s="618"/>
      <c r="BM272" s="618"/>
      <c r="BN272" s="618"/>
      <c r="BO272" s="618"/>
      <c r="BP272" s="617" t="str">
        <f>IF(BE272="","",OFFSET(Biblioteca!$G$2,MATCH(BE272,Biblioteca!$A$3:$A$200,0),)*(1.05^(10-BL272)))</f>
        <v/>
      </c>
      <c r="BQ272" s="618"/>
      <c r="BR272" s="579"/>
      <c r="BS272" s="608">
        <f t="shared" ref="BS272:BS290" si="171">IF(CB271="",BS271,BS271+1)</f>
        <v>1</v>
      </c>
      <c r="BT272" s="619"/>
      <c r="BY272" s="620"/>
      <c r="BZ272" s="618"/>
      <c r="CA272" s="618"/>
      <c r="CB272" s="618"/>
      <c r="CC272" s="618"/>
      <c r="CD272" s="618"/>
      <c r="CE272" s="617" t="str">
        <f>IF(BT272="","",OFFSET(Biblioteca!$G$2,MATCH(BT272,Biblioteca!$A$3:$A$200,0),)*(1.05^(10-CA272)))</f>
        <v/>
      </c>
      <c r="CF272" s="618"/>
      <c r="CG272" s="579"/>
      <c r="CH272" s="608">
        <f t="shared" ref="CH272:CH290" si="172">IF(CQ271="",CH271,CH271+1)</f>
        <v>1</v>
      </c>
      <c r="CI272" s="619"/>
      <c r="CN272" s="620"/>
      <c r="CO272" s="618"/>
      <c r="CP272" s="618"/>
      <c r="CQ272" s="618"/>
      <c r="CR272" s="618"/>
      <c r="CS272" s="618"/>
      <c r="CT272" s="617" t="str">
        <f>IF(CI272="","",OFFSET(Biblioteca!$G$2,MATCH(CI272,Biblioteca!$A$3:$A$200,0),)*(1.05^(10-CP272)))</f>
        <v/>
      </c>
      <c r="CU272" s="618"/>
      <c r="CV272" s="579"/>
      <c r="CW272" s="608">
        <f t="shared" ref="CW272:CW290" si="173">IF(DF271="",CW271,CW271+1)</f>
        <v>1</v>
      </c>
      <c r="CX272" s="619"/>
      <c r="DC272" s="620"/>
      <c r="DD272" s="618"/>
      <c r="DE272" s="618"/>
      <c r="DF272" s="618"/>
      <c r="DG272" s="618"/>
      <c r="DH272" s="618"/>
      <c r="DI272" s="617" t="str">
        <f>IF(CX272="","",OFFSET(Biblioteca!$G$2,MATCH(CX272,Biblioteca!$A$3:$A$200,0),)*(1.05^(10-DE272)))</f>
        <v/>
      </c>
      <c r="DJ272" s="618"/>
      <c r="DK272" s="579"/>
    </row>
    <row r="273" ht="14.25" hidden="1" customHeight="1">
      <c r="A273" s="492" t="str">
        <f>"S "&amp;$AD252&amp;" - "&amp;TEXT(C262,"dd/mm")</f>
        <v>S 6 - 16/02</v>
      </c>
      <c r="B273" s="592" t="s">
        <v>267</v>
      </c>
      <c r="C273" s="600"/>
      <c r="D273" s="600"/>
      <c r="E273" s="600"/>
      <c r="F273" s="600"/>
      <c r="G273" s="600"/>
      <c r="H273" s="600"/>
      <c r="I273" s="600"/>
      <c r="J273" s="505"/>
      <c r="K273" s="608">
        <f t="shared" si="167"/>
        <v>1</v>
      </c>
      <c r="L273" s="609"/>
      <c r="Q273" s="610"/>
      <c r="R273" s="611"/>
      <c r="S273" s="611"/>
      <c r="T273" s="611"/>
      <c r="U273" s="611"/>
      <c r="V273" s="611"/>
      <c r="W273" s="617" t="str">
        <f>IF(L273="","",OFFSET(Biblioteca!$G$2,MATCH(L273,Biblioteca!$A$3:$A$200,0),)*(1.05^(10-S273)))</f>
        <v/>
      </c>
      <c r="X273" s="618"/>
      <c r="Y273" s="579"/>
      <c r="Z273" s="608">
        <f t="shared" si="168"/>
        <v>1</v>
      </c>
      <c r="AA273" s="619"/>
      <c r="AF273" s="620"/>
      <c r="AG273" s="618"/>
      <c r="AH273" s="618"/>
      <c r="AI273" s="618"/>
      <c r="AJ273" s="618"/>
      <c r="AK273" s="618"/>
      <c r="AL273" s="617" t="str">
        <f>IF(AA273="","",OFFSET(Biblioteca!$G$2,MATCH(AA273,Biblioteca!$A$3:$A$200,0),)*(1.05^(10-AH273)))</f>
        <v/>
      </c>
      <c r="AM273" s="618"/>
      <c r="AN273" s="579"/>
      <c r="AO273" s="608">
        <f t="shared" si="169"/>
        <v>1</v>
      </c>
      <c r="AP273" s="619"/>
      <c r="AU273" s="620"/>
      <c r="AV273" s="618"/>
      <c r="AW273" s="618"/>
      <c r="AX273" s="618"/>
      <c r="AY273" s="618"/>
      <c r="AZ273" s="618"/>
      <c r="BA273" s="617" t="str">
        <f>IF(AP273="","",OFFSET(Biblioteca!$G$2,MATCH(AP273,Biblioteca!$A$3:$A$200,0),)*(1.05^(10-AW273)))</f>
        <v/>
      </c>
      <c r="BB273" s="618"/>
      <c r="BC273" s="579"/>
      <c r="BD273" s="608">
        <f t="shared" si="170"/>
        <v>1</v>
      </c>
      <c r="BE273" s="619"/>
      <c r="BJ273" s="620"/>
      <c r="BK273" s="618"/>
      <c r="BL273" s="618"/>
      <c r="BM273" s="618"/>
      <c r="BN273" s="618"/>
      <c r="BO273" s="618"/>
      <c r="BP273" s="617" t="str">
        <f>IF(BE273="","",OFFSET(Biblioteca!$G$2,MATCH(BE273,Biblioteca!$A$3:$A$200,0),)*(1.05^(10-BL273)))</f>
        <v/>
      </c>
      <c r="BQ273" s="618"/>
      <c r="BR273" s="579"/>
      <c r="BS273" s="608">
        <f t="shared" si="171"/>
        <v>1</v>
      </c>
      <c r="BT273" s="619"/>
      <c r="BY273" s="620"/>
      <c r="BZ273" s="618"/>
      <c r="CA273" s="618"/>
      <c r="CB273" s="618"/>
      <c r="CC273" s="618"/>
      <c r="CD273" s="618"/>
      <c r="CE273" s="617" t="str">
        <f>IF(BT273="","",OFFSET(Biblioteca!$G$2,MATCH(BT273,Biblioteca!$A$3:$A$200,0),)*(1.05^(10-CA273)))</f>
        <v/>
      </c>
      <c r="CF273" s="618"/>
      <c r="CG273" s="579"/>
      <c r="CH273" s="608">
        <f t="shared" si="172"/>
        <v>1</v>
      </c>
      <c r="CI273" s="619"/>
      <c r="CN273" s="620"/>
      <c r="CO273" s="618"/>
      <c r="CP273" s="618"/>
      <c r="CQ273" s="618"/>
      <c r="CR273" s="618"/>
      <c r="CS273" s="618"/>
      <c r="CT273" s="617" t="str">
        <f>IF(CI273="","",OFFSET(Biblioteca!$G$2,MATCH(CI273,Biblioteca!$A$3:$A$200,0),)*(1.05^(10-CP273)))</f>
        <v/>
      </c>
      <c r="CU273" s="618"/>
      <c r="CV273" s="579"/>
      <c r="CW273" s="608">
        <f t="shared" si="173"/>
        <v>1</v>
      </c>
      <c r="CX273" s="619"/>
      <c r="DC273" s="620"/>
      <c r="DD273" s="618"/>
      <c r="DE273" s="618"/>
      <c r="DF273" s="618"/>
      <c r="DG273" s="618"/>
      <c r="DH273" s="618"/>
      <c r="DI273" s="617" t="str">
        <f>IF(CX273="","",OFFSET(Biblioteca!$G$2,MATCH(CX273,Biblioteca!$A$3:$A$200,0),)*(1.05^(10-DE273)))</f>
        <v/>
      </c>
      <c r="DJ273" s="618"/>
      <c r="DK273" s="579"/>
    </row>
    <row r="274" ht="14.25" hidden="1" customHeight="1">
      <c r="A274" s="492" t="str">
        <f>"S "&amp;$AD252&amp;" - "&amp;TEXT(C262,"dd/mm")</f>
        <v>S 6 - 16/02</v>
      </c>
      <c r="B274" s="647" t="s">
        <v>272</v>
      </c>
      <c r="C274" s="600"/>
      <c r="D274" s="600"/>
      <c r="E274" s="600"/>
      <c r="F274" s="600"/>
      <c r="G274" s="600"/>
      <c r="H274" s="600"/>
      <c r="I274" s="600"/>
      <c r="J274" s="505"/>
      <c r="K274" s="608">
        <f t="shared" si="167"/>
        <v>1</v>
      </c>
      <c r="L274" s="609"/>
      <c r="Q274" s="610"/>
      <c r="R274" s="611"/>
      <c r="S274" s="611"/>
      <c r="T274" s="611"/>
      <c r="U274" s="611"/>
      <c r="V274" s="611"/>
      <c r="W274" s="617" t="str">
        <f>IF(L274="","",OFFSET(Biblioteca!$G$2,MATCH(L274,Biblioteca!$A$3:$A$200,0),)*(1.05^(10-S274)))</f>
        <v/>
      </c>
      <c r="X274" s="618"/>
      <c r="Y274" s="588"/>
      <c r="Z274" s="608">
        <f t="shared" si="168"/>
        <v>1</v>
      </c>
      <c r="AA274" s="619"/>
      <c r="AF274" s="620"/>
      <c r="AG274" s="618"/>
      <c r="AH274" s="618"/>
      <c r="AI274" s="618"/>
      <c r="AJ274" s="618"/>
      <c r="AK274" s="618"/>
      <c r="AL274" s="617" t="str">
        <f>IF(AA274="","",OFFSET(Biblioteca!$G$2,MATCH(AA274,Biblioteca!$A$3:$A$200,0),)*(1.05^(10-AH274)))</f>
        <v/>
      </c>
      <c r="AM274" s="618"/>
      <c r="AN274" s="588"/>
      <c r="AO274" s="608">
        <f t="shared" si="169"/>
        <v>1</v>
      </c>
      <c r="AP274" s="619"/>
      <c r="AU274" s="620"/>
      <c r="AV274" s="618"/>
      <c r="AW274" s="618"/>
      <c r="AX274" s="618"/>
      <c r="AY274" s="618"/>
      <c r="AZ274" s="618"/>
      <c r="BA274" s="617" t="str">
        <f>IF(AP274="","",OFFSET(Biblioteca!$G$2,MATCH(AP274,Biblioteca!$A$3:$A$200,0),)*(1.05^(10-AW274)))</f>
        <v/>
      </c>
      <c r="BB274" s="618"/>
      <c r="BC274" s="588"/>
      <c r="BD274" s="608">
        <f t="shared" si="170"/>
        <v>1</v>
      </c>
      <c r="BE274" s="619"/>
      <c r="BJ274" s="620"/>
      <c r="BK274" s="618"/>
      <c r="BL274" s="618"/>
      <c r="BM274" s="618"/>
      <c r="BN274" s="618"/>
      <c r="BO274" s="618"/>
      <c r="BP274" s="617" t="str">
        <f>IF(BE274="","",OFFSET(Biblioteca!$G$2,MATCH(BE274,Biblioteca!$A$3:$A$200,0),)*(1.05^(10-BL274)))</f>
        <v/>
      </c>
      <c r="BQ274" s="618"/>
      <c r="BR274" s="588"/>
      <c r="BS274" s="608">
        <f t="shared" si="171"/>
        <v>1</v>
      </c>
      <c r="BT274" s="619"/>
      <c r="BY274" s="620"/>
      <c r="BZ274" s="618"/>
      <c r="CA274" s="618"/>
      <c r="CB274" s="618"/>
      <c r="CC274" s="618"/>
      <c r="CD274" s="618"/>
      <c r="CE274" s="617" t="str">
        <f>IF(BT274="","",OFFSET(Biblioteca!$G$2,MATCH(BT274,Biblioteca!$A$3:$A$200,0),)*(1.05^(10-CA274)))</f>
        <v/>
      </c>
      <c r="CF274" s="618"/>
      <c r="CG274" s="588"/>
      <c r="CH274" s="608">
        <f t="shared" si="172"/>
        <v>1</v>
      </c>
      <c r="CI274" s="619"/>
      <c r="CN274" s="620"/>
      <c r="CO274" s="618"/>
      <c r="CP274" s="618"/>
      <c r="CQ274" s="618"/>
      <c r="CR274" s="618"/>
      <c r="CS274" s="618"/>
      <c r="CT274" s="617" t="str">
        <f>IF(CI274="","",OFFSET(Biblioteca!$G$2,MATCH(CI274,Biblioteca!$A$3:$A$200,0),)*(1.05^(10-CP274)))</f>
        <v/>
      </c>
      <c r="CU274" s="618"/>
      <c r="CV274" s="588"/>
      <c r="CW274" s="608">
        <f t="shared" si="173"/>
        <v>1</v>
      </c>
      <c r="CX274" s="619"/>
      <c r="DC274" s="620"/>
      <c r="DD274" s="618"/>
      <c r="DE274" s="618"/>
      <c r="DF274" s="618"/>
      <c r="DG274" s="618"/>
      <c r="DH274" s="618"/>
      <c r="DI274" s="617" t="str">
        <f>IF(CX274="","",OFFSET(Biblioteca!$G$2,MATCH(CX274,Biblioteca!$A$3:$A$200,0),)*(1.05^(10-DE274)))</f>
        <v/>
      </c>
      <c r="DJ274" s="618"/>
      <c r="DK274" s="588"/>
    </row>
    <row r="275" ht="14.25" hidden="1" customHeight="1">
      <c r="A275" s="492" t="str">
        <f>"S "&amp;$AD252&amp;" - "&amp;TEXT(C262,"dd/mm")</f>
        <v>S 6 - 16/02</v>
      </c>
      <c r="B275" s="592" t="s">
        <v>276</v>
      </c>
      <c r="C275" s="622"/>
      <c r="D275" s="624"/>
      <c r="E275" s="622"/>
      <c r="F275" s="624"/>
      <c r="G275" s="622"/>
      <c r="H275" s="622"/>
      <c r="I275" s="624"/>
      <c r="J275" s="505"/>
      <c r="K275" s="608">
        <f t="shared" si="167"/>
        <v>1</v>
      </c>
      <c r="L275" s="609"/>
      <c r="Q275" s="610"/>
      <c r="R275" s="611"/>
      <c r="S275" s="611"/>
      <c r="T275" s="611"/>
      <c r="U275" s="611"/>
      <c r="V275" s="611"/>
      <c r="W275" s="617" t="str">
        <f>IF(L275="","",OFFSET(Biblioteca!$G$2,MATCH(L275,Biblioteca!$A$3:$A$200,0),)*(1.05^(10-S275)))</f>
        <v/>
      </c>
      <c r="X275" s="618"/>
      <c r="Y275" s="579"/>
      <c r="Z275" s="608">
        <f t="shared" si="168"/>
        <v>1</v>
      </c>
      <c r="AA275" s="619"/>
      <c r="AF275" s="620"/>
      <c r="AG275" s="618"/>
      <c r="AH275" s="618"/>
      <c r="AI275" s="618"/>
      <c r="AJ275" s="618"/>
      <c r="AK275" s="618"/>
      <c r="AL275" s="617" t="str">
        <f>IF(AA275="","",OFFSET(Biblioteca!$G$2,MATCH(AA275,Biblioteca!$A$3:$A$200,0),)*(1.05^(10-AH275)))</f>
        <v/>
      </c>
      <c r="AM275" s="618"/>
      <c r="AN275" s="579"/>
      <c r="AO275" s="608">
        <f t="shared" si="169"/>
        <v>1</v>
      </c>
      <c r="AP275" s="619"/>
      <c r="AU275" s="620"/>
      <c r="AV275" s="618"/>
      <c r="AW275" s="618"/>
      <c r="AX275" s="618"/>
      <c r="AY275" s="618"/>
      <c r="AZ275" s="618"/>
      <c r="BA275" s="617" t="str">
        <f>IF(AP275="","",OFFSET(Biblioteca!$G$2,MATCH(AP275,Biblioteca!$A$3:$A$200,0),)*(1.05^(10-AW275)))</f>
        <v/>
      </c>
      <c r="BB275" s="618"/>
      <c r="BC275" s="579"/>
      <c r="BD275" s="608">
        <f t="shared" si="170"/>
        <v>1</v>
      </c>
      <c r="BE275" s="619"/>
      <c r="BJ275" s="620"/>
      <c r="BK275" s="618"/>
      <c r="BL275" s="618"/>
      <c r="BM275" s="618"/>
      <c r="BN275" s="618"/>
      <c r="BO275" s="618"/>
      <c r="BP275" s="617" t="str">
        <f>IF(BE275="","",OFFSET(Biblioteca!$G$2,MATCH(BE275,Biblioteca!$A$3:$A$200,0),)*(1.05^(10-BL275)))</f>
        <v/>
      </c>
      <c r="BQ275" s="618"/>
      <c r="BR275" s="579"/>
      <c r="BS275" s="608">
        <f t="shared" si="171"/>
        <v>1</v>
      </c>
      <c r="BT275" s="619"/>
      <c r="BY275" s="620"/>
      <c r="BZ275" s="618"/>
      <c r="CA275" s="618"/>
      <c r="CB275" s="618"/>
      <c r="CC275" s="618"/>
      <c r="CD275" s="618"/>
      <c r="CE275" s="617" t="str">
        <f>IF(BT275="","",OFFSET(Biblioteca!$G$2,MATCH(BT275,Biblioteca!$A$3:$A$200,0),)*(1.05^(10-CA275)))</f>
        <v/>
      </c>
      <c r="CF275" s="618"/>
      <c r="CG275" s="579"/>
      <c r="CH275" s="608">
        <f t="shared" si="172"/>
        <v>1</v>
      </c>
      <c r="CI275" s="619"/>
      <c r="CN275" s="620"/>
      <c r="CO275" s="618"/>
      <c r="CP275" s="618"/>
      <c r="CQ275" s="618"/>
      <c r="CR275" s="618"/>
      <c r="CS275" s="618"/>
      <c r="CT275" s="617" t="str">
        <f>IF(CI275="","",OFFSET(Biblioteca!$G$2,MATCH(CI275,Biblioteca!$A$3:$A$200,0),)*(1.05^(10-CP275)))</f>
        <v/>
      </c>
      <c r="CU275" s="618"/>
      <c r="CV275" s="579"/>
      <c r="CW275" s="608">
        <f t="shared" si="173"/>
        <v>1</v>
      </c>
      <c r="CX275" s="619"/>
      <c r="DC275" s="620"/>
      <c r="DD275" s="618"/>
      <c r="DE275" s="618"/>
      <c r="DF275" s="618"/>
      <c r="DG275" s="618"/>
      <c r="DH275" s="618"/>
      <c r="DI275" s="617" t="str">
        <f>IF(CX275="","",OFFSET(Biblioteca!$G$2,MATCH(CX275,Biblioteca!$A$3:$A$200,0),)*(1.05^(10-DE275)))</f>
        <v/>
      </c>
      <c r="DJ275" s="618"/>
      <c r="DK275" s="579"/>
    </row>
    <row r="276" ht="14.25" hidden="1" customHeight="1">
      <c r="A276" s="492" t="str">
        <f>"S "&amp;$AD252&amp;" - "&amp;TEXT(C262,"dd/mm")</f>
        <v>S 6 - 16/02</v>
      </c>
      <c r="B276" s="647" t="s">
        <v>280</v>
      </c>
      <c r="C276" s="649" t="str">
        <f t="shared" ref="C276:I276" si="174">IF(OR(C267="IEXT",C267="IINT"),C296+C297,"")</f>
        <v/>
      </c>
      <c r="D276" s="649" t="str">
        <f t="shared" si="174"/>
        <v/>
      </c>
      <c r="E276" s="649" t="str">
        <f t="shared" si="174"/>
        <v/>
      </c>
      <c r="F276" s="649" t="str">
        <f t="shared" si="174"/>
        <v/>
      </c>
      <c r="G276" s="649" t="str">
        <f t="shared" si="174"/>
        <v/>
      </c>
      <c r="H276" s="649" t="str">
        <f t="shared" si="174"/>
        <v/>
      </c>
      <c r="I276" s="649" t="str">
        <f t="shared" si="174"/>
        <v/>
      </c>
      <c r="J276" s="505"/>
      <c r="K276" s="608">
        <f t="shared" si="167"/>
        <v>1</v>
      </c>
      <c r="L276" s="609"/>
      <c r="Q276" s="610"/>
      <c r="R276" s="611"/>
      <c r="S276" s="611"/>
      <c r="T276" s="611"/>
      <c r="U276" s="611"/>
      <c r="V276" s="611"/>
      <c r="W276" s="617" t="str">
        <f>IF(L276="","",OFFSET(Biblioteca!$G$2,MATCH(L276,Biblioteca!$A$3:$A$200,0),)*(1.05^(10-S276)))</f>
        <v/>
      </c>
      <c r="X276" s="618"/>
      <c r="Y276" s="579"/>
      <c r="Z276" s="608">
        <f t="shared" si="168"/>
        <v>1</v>
      </c>
      <c r="AA276" s="619"/>
      <c r="AF276" s="620"/>
      <c r="AG276" s="618"/>
      <c r="AH276" s="618"/>
      <c r="AI276" s="618"/>
      <c r="AJ276" s="618"/>
      <c r="AK276" s="618"/>
      <c r="AL276" s="617" t="str">
        <f>IF(AA276="","",OFFSET(Biblioteca!$G$2,MATCH(AA276,Biblioteca!$A$3:$A$200,0),)*(1.05^(10-AH276)))</f>
        <v/>
      </c>
      <c r="AM276" s="618"/>
      <c r="AN276" s="579"/>
      <c r="AO276" s="608">
        <f t="shared" si="169"/>
        <v>1</v>
      </c>
      <c r="AP276" s="619"/>
      <c r="AU276" s="620"/>
      <c r="AV276" s="618"/>
      <c r="AW276" s="618"/>
      <c r="AX276" s="618"/>
      <c r="AY276" s="618"/>
      <c r="AZ276" s="618"/>
      <c r="BA276" s="617" t="str">
        <f>IF(AP276="","",OFFSET(Biblioteca!$G$2,MATCH(AP276,Biblioteca!$A$3:$A$200,0),)*(1.05^(10-AW276)))</f>
        <v/>
      </c>
      <c r="BB276" s="618"/>
      <c r="BC276" s="579"/>
      <c r="BD276" s="608">
        <f t="shared" si="170"/>
        <v>1</v>
      </c>
      <c r="BE276" s="619"/>
      <c r="BJ276" s="620"/>
      <c r="BK276" s="618"/>
      <c r="BL276" s="618"/>
      <c r="BM276" s="618"/>
      <c r="BN276" s="618"/>
      <c r="BO276" s="618"/>
      <c r="BP276" s="617" t="str">
        <f>IF(BE276="","",OFFSET(Biblioteca!$G$2,MATCH(BE276,Biblioteca!$A$3:$A$200,0),)*(1.05^(10-BL276)))</f>
        <v/>
      </c>
      <c r="BQ276" s="618"/>
      <c r="BR276" s="579"/>
      <c r="BS276" s="608">
        <f t="shared" si="171"/>
        <v>1</v>
      </c>
      <c r="BT276" s="619"/>
      <c r="BY276" s="620"/>
      <c r="BZ276" s="618"/>
      <c r="CA276" s="618"/>
      <c r="CB276" s="618"/>
      <c r="CC276" s="618"/>
      <c r="CD276" s="618"/>
      <c r="CE276" s="617" t="str">
        <f>IF(BT276="","",OFFSET(Biblioteca!$G$2,MATCH(BT276,Biblioteca!$A$3:$A$200,0),)*(1.05^(10-CA276)))</f>
        <v/>
      </c>
      <c r="CF276" s="618"/>
      <c r="CG276" s="579"/>
      <c r="CH276" s="608">
        <f t="shared" si="172"/>
        <v>1</v>
      </c>
      <c r="CI276" s="619"/>
      <c r="CN276" s="620"/>
      <c r="CO276" s="618"/>
      <c r="CP276" s="618"/>
      <c r="CQ276" s="618"/>
      <c r="CR276" s="618"/>
      <c r="CS276" s="618"/>
      <c r="CT276" s="617" t="str">
        <f>IF(CI276="","",OFFSET(Biblioteca!$G$2,MATCH(CI276,Biblioteca!$A$3:$A$200,0),)*(1.05^(10-CP276)))</f>
        <v/>
      </c>
      <c r="CU276" s="618"/>
      <c r="CV276" s="579"/>
      <c r="CW276" s="608">
        <f t="shared" si="173"/>
        <v>1</v>
      </c>
      <c r="CX276" s="619"/>
      <c r="DC276" s="620"/>
      <c r="DD276" s="618"/>
      <c r="DE276" s="618"/>
      <c r="DF276" s="618"/>
      <c r="DG276" s="618"/>
      <c r="DH276" s="618"/>
      <c r="DI276" s="617" t="str">
        <f>IF(CX276="","",OFFSET(Biblioteca!$G$2,MATCH(CX276,Biblioteca!$A$3:$A$200,0),)*(1.05^(10-DE276)))</f>
        <v/>
      </c>
      <c r="DJ276" s="618"/>
      <c r="DK276" s="579"/>
    </row>
    <row r="277" ht="14.25" hidden="1" customHeight="1">
      <c r="A277" s="492" t="str">
        <f>"S "&amp;$AD252&amp;" - "&amp;TEXT(C262,"dd/mm")</f>
        <v>S 6 - 16/02</v>
      </c>
      <c r="B277" s="592" t="s">
        <v>284</v>
      </c>
      <c r="C277" s="652" t="str">
        <f t="shared" ref="C277:I277" si="175">IF(C268="","",(C268+C269)/2)</f>
        <v/>
      </c>
      <c r="D277" s="652" t="str">
        <f t="shared" si="175"/>
        <v/>
      </c>
      <c r="E277" s="652" t="str">
        <f t="shared" si="175"/>
        <v/>
      </c>
      <c r="F277" s="652" t="str">
        <f t="shared" si="175"/>
        <v/>
      </c>
      <c r="G277" s="652" t="str">
        <f t="shared" si="175"/>
        <v/>
      </c>
      <c r="H277" s="652" t="str">
        <f t="shared" si="175"/>
        <v/>
      </c>
      <c r="I277" s="652" t="str">
        <f t="shared" si="175"/>
        <v/>
      </c>
      <c r="J277" s="505"/>
      <c r="K277" s="608">
        <f t="shared" si="167"/>
        <v>1</v>
      </c>
      <c r="L277" s="609"/>
      <c r="Q277" s="610"/>
      <c r="R277" s="611"/>
      <c r="S277" s="611"/>
      <c r="T277" s="611"/>
      <c r="U277" s="611"/>
      <c r="V277" s="611"/>
      <c r="W277" s="617" t="str">
        <f>IF(L277="","",OFFSET(Biblioteca!$G$2,MATCH(L277,Biblioteca!$A$3:$A$200,0),)*(1.05^(10-S277)))</f>
        <v/>
      </c>
      <c r="X277" s="618"/>
      <c r="Y277" s="579"/>
      <c r="Z277" s="608">
        <f t="shared" si="168"/>
        <v>1</v>
      </c>
      <c r="AA277" s="619"/>
      <c r="AF277" s="620"/>
      <c r="AG277" s="618"/>
      <c r="AH277" s="618"/>
      <c r="AI277" s="618"/>
      <c r="AJ277" s="618"/>
      <c r="AK277" s="618"/>
      <c r="AL277" s="617" t="str">
        <f>IF(AA277="","",OFFSET(Biblioteca!$G$2,MATCH(AA277,Biblioteca!$A$3:$A$200,0),)*(1.05^(10-AH277)))</f>
        <v/>
      </c>
      <c r="AM277" s="618"/>
      <c r="AN277" s="579"/>
      <c r="AO277" s="608">
        <f t="shared" si="169"/>
        <v>1</v>
      </c>
      <c r="AP277" s="619"/>
      <c r="AU277" s="620"/>
      <c r="AV277" s="618"/>
      <c r="AW277" s="618"/>
      <c r="AX277" s="618"/>
      <c r="AY277" s="618"/>
      <c r="AZ277" s="618"/>
      <c r="BA277" s="617" t="str">
        <f>IF(AP277="","",OFFSET(Biblioteca!$G$2,MATCH(AP277,Biblioteca!$A$3:$A$200,0),)*(1.05^(10-AW277)))</f>
        <v/>
      </c>
      <c r="BB277" s="618"/>
      <c r="BC277" s="579"/>
      <c r="BD277" s="608">
        <f t="shared" si="170"/>
        <v>1</v>
      </c>
      <c r="BE277" s="619"/>
      <c r="BJ277" s="620"/>
      <c r="BK277" s="618"/>
      <c r="BL277" s="618"/>
      <c r="BM277" s="618"/>
      <c r="BN277" s="618"/>
      <c r="BO277" s="618"/>
      <c r="BP277" s="617" t="str">
        <f>IF(BE277="","",OFFSET(Biblioteca!$G$2,MATCH(BE277,Biblioteca!$A$3:$A$200,0),)*(1.05^(10-BL277)))</f>
        <v/>
      </c>
      <c r="BQ277" s="618"/>
      <c r="BR277" s="579"/>
      <c r="BS277" s="608">
        <f t="shared" si="171"/>
        <v>1</v>
      </c>
      <c r="BT277" s="619"/>
      <c r="BY277" s="620"/>
      <c r="BZ277" s="618"/>
      <c r="CA277" s="618"/>
      <c r="CB277" s="618"/>
      <c r="CC277" s="618"/>
      <c r="CD277" s="618"/>
      <c r="CE277" s="617" t="str">
        <f>IF(BT277="","",OFFSET(Biblioteca!$G$2,MATCH(BT277,Biblioteca!$A$3:$A$200,0),)*(1.05^(10-CA277)))</f>
        <v/>
      </c>
      <c r="CF277" s="618"/>
      <c r="CG277" s="579"/>
      <c r="CH277" s="608">
        <f t="shared" si="172"/>
        <v>1</v>
      </c>
      <c r="CI277" s="619"/>
      <c r="CN277" s="620"/>
      <c r="CO277" s="618"/>
      <c r="CP277" s="618"/>
      <c r="CQ277" s="618"/>
      <c r="CR277" s="618"/>
      <c r="CS277" s="618"/>
      <c r="CT277" s="617" t="str">
        <f>IF(CI277="","",OFFSET(Biblioteca!$G$2,MATCH(CI277,Biblioteca!$A$3:$A$200,0),)*(1.05^(10-CP277)))</f>
        <v/>
      </c>
      <c r="CU277" s="618"/>
      <c r="CV277" s="579"/>
      <c r="CW277" s="608">
        <f t="shared" si="173"/>
        <v>1</v>
      </c>
      <c r="CX277" s="619"/>
      <c r="DC277" s="620"/>
      <c r="DD277" s="618"/>
      <c r="DE277" s="618"/>
      <c r="DF277" s="618"/>
      <c r="DG277" s="618"/>
      <c r="DH277" s="618"/>
      <c r="DI277" s="617" t="str">
        <f>IF(CX277="","",OFFSET(Biblioteca!$G$2,MATCH(CX277,Biblioteca!$A$3:$A$200,0),)*(1.05^(10-DE277)))</f>
        <v/>
      </c>
      <c r="DJ277" s="618"/>
      <c r="DK277" s="579"/>
    </row>
    <row r="278" ht="14.25" hidden="1" customHeight="1">
      <c r="A278" s="492" t="str">
        <f>"S "&amp;$AD252&amp;" - "&amp;TEXT(C262,"dd/mm")</f>
        <v>S 6 - 16/02</v>
      </c>
      <c r="B278" s="592" t="s">
        <v>289</v>
      </c>
      <c r="C278" s="541" t="str">
        <f>IF(C269="","",VLOOKUP(C268,'Dados de Base'!$D$10:$G$20,2,FALSE)&amp;" - "&amp;VLOOKUP(C269,'Dados de Base'!$D$10:$G$20,2,TRUE))</f>
        <v/>
      </c>
      <c r="D278" s="541" t="str">
        <f>IF(D269="","",VLOOKUP(D268,'Dados de Base'!$D$10:$G$20,2,FALSE)&amp;" - "&amp;VLOOKUP(D269,'Dados de Base'!$D$10:$G$20,2,FALSE))</f>
        <v/>
      </c>
      <c r="E278" s="541" t="str">
        <f>IF(E269="","",VLOOKUP(E268,'Dados de Base'!$D$10:$G$20,2,FALSE)&amp;" - "&amp;VLOOKUP(E269,'Dados de Base'!$D$10:$G$20,2,FALSE))</f>
        <v/>
      </c>
      <c r="F278" s="541" t="str">
        <f>IF(F269="","",VLOOKUP(F268,'Dados de Base'!$D$10:$G$20,2,FALSE)&amp;" - "&amp;VLOOKUP(F269,'Dados de Base'!$D$10:$G$20,2,FALSE))</f>
        <v/>
      </c>
      <c r="G278" s="541" t="str">
        <f>IF(G269="","",VLOOKUP(G268,'Dados de Base'!$D$10:$G$20,2,FALSE)&amp;" - "&amp;VLOOKUP(G269,'Dados de Base'!$D$10:$G$20,2,FALSE))</f>
        <v/>
      </c>
      <c r="H278" s="541" t="str">
        <f>IF(H269="","",VLOOKUP(H268,'Dados de Base'!$D$10:$G$20,2,FALSE)&amp;" - "&amp;VLOOKUP(H269,'Dados de Base'!$D$10:$G$20,2,FALSE))</f>
        <v/>
      </c>
      <c r="I278" s="593" t="str">
        <f>IF(I269="","",VLOOKUP(I268,'Dados de Base'!$D$10:$G$20,2,FALSE)&amp;" - "&amp;VLOOKUP(I269,'Dados de Base'!$D$10:$G$20,2,FALSE))</f>
        <v/>
      </c>
      <c r="J278" s="505"/>
      <c r="K278" s="608">
        <f t="shared" si="167"/>
        <v>1</v>
      </c>
      <c r="L278" s="609"/>
      <c r="Q278" s="610"/>
      <c r="R278" s="611"/>
      <c r="S278" s="611"/>
      <c r="T278" s="611"/>
      <c r="U278" s="611"/>
      <c r="V278" s="611"/>
      <c r="W278" s="617" t="str">
        <f>IF(L278="","",OFFSET(Biblioteca!$G$2,MATCH(L278,Biblioteca!$A$3:$A$200,0),)*(1.05^(10-S278)))</f>
        <v/>
      </c>
      <c r="X278" s="618"/>
      <c r="Y278" s="579"/>
      <c r="Z278" s="608">
        <f t="shared" si="168"/>
        <v>1</v>
      </c>
      <c r="AA278" s="619"/>
      <c r="AF278" s="620"/>
      <c r="AG278" s="618"/>
      <c r="AH278" s="618"/>
      <c r="AI278" s="618"/>
      <c r="AJ278" s="618"/>
      <c r="AK278" s="618"/>
      <c r="AL278" s="617" t="str">
        <f>IF(AA278="","",OFFSET(Biblioteca!$G$2,MATCH(AA278,Biblioteca!$A$3:$A$200,0),)*(1.05^(10-AH278)))</f>
        <v/>
      </c>
      <c r="AM278" s="618"/>
      <c r="AN278" s="579"/>
      <c r="AO278" s="608">
        <f t="shared" si="169"/>
        <v>1</v>
      </c>
      <c r="AP278" s="619"/>
      <c r="AU278" s="620"/>
      <c r="AV278" s="618"/>
      <c r="AW278" s="618"/>
      <c r="AX278" s="618"/>
      <c r="AY278" s="618"/>
      <c r="AZ278" s="618"/>
      <c r="BA278" s="617" t="str">
        <f>IF(AP278="","",OFFSET(Biblioteca!$G$2,MATCH(AP278,Biblioteca!$A$3:$A$200,0),)*(1.05^(10-AW278)))</f>
        <v/>
      </c>
      <c r="BB278" s="618"/>
      <c r="BC278" s="579"/>
      <c r="BD278" s="608">
        <f t="shared" si="170"/>
        <v>1</v>
      </c>
      <c r="BE278" s="619"/>
      <c r="BJ278" s="620"/>
      <c r="BK278" s="618"/>
      <c r="BL278" s="618"/>
      <c r="BM278" s="618"/>
      <c r="BN278" s="618"/>
      <c r="BO278" s="618"/>
      <c r="BP278" s="617" t="str">
        <f>IF(BE278="","",OFFSET(Biblioteca!$G$2,MATCH(BE278,Biblioteca!$A$3:$A$200,0),)*(1.05^(10-BL278)))</f>
        <v/>
      </c>
      <c r="BQ278" s="618"/>
      <c r="BR278" s="579"/>
      <c r="BS278" s="608">
        <f t="shared" si="171"/>
        <v>1</v>
      </c>
      <c r="BT278" s="619"/>
      <c r="BY278" s="620"/>
      <c r="BZ278" s="618"/>
      <c r="CA278" s="618"/>
      <c r="CB278" s="618"/>
      <c r="CC278" s="618"/>
      <c r="CD278" s="618"/>
      <c r="CE278" s="617" t="str">
        <f>IF(BT278="","",OFFSET(Biblioteca!$G$2,MATCH(BT278,Biblioteca!$A$3:$A$200,0),)*(1.05^(10-CA278)))</f>
        <v/>
      </c>
      <c r="CF278" s="618"/>
      <c r="CG278" s="579"/>
      <c r="CH278" s="608">
        <f t="shared" si="172"/>
        <v>1</v>
      </c>
      <c r="CI278" s="619"/>
      <c r="CN278" s="620"/>
      <c r="CO278" s="618"/>
      <c r="CP278" s="618"/>
      <c r="CQ278" s="618"/>
      <c r="CR278" s="618"/>
      <c r="CS278" s="618"/>
      <c r="CT278" s="617" t="str">
        <f>IF(CI278="","",OFFSET(Biblioteca!$G$2,MATCH(CI278,Biblioteca!$A$3:$A$200,0),)*(1.05^(10-CP278)))</f>
        <v/>
      </c>
      <c r="CU278" s="618"/>
      <c r="CV278" s="579"/>
      <c r="CW278" s="608">
        <f t="shared" si="173"/>
        <v>1</v>
      </c>
      <c r="CX278" s="619"/>
      <c r="DC278" s="620"/>
      <c r="DD278" s="618"/>
      <c r="DE278" s="618"/>
      <c r="DF278" s="618"/>
      <c r="DG278" s="618"/>
      <c r="DH278" s="618"/>
      <c r="DI278" s="617" t="str">
        <f>IF(CX278="","",OFFSET(Biblioteca!$G$2,MATCH(CX278,Biblioteca!$A$3:$A$200,0),)*(1.05^(10-DE278)))</f>
        <v/>
      </c>
      <c r="DJ278" s="618"/>
      <c r="DK278" s="579"/>
    </row>
    <row r="279" ht="14.25" hidden="1" customHeight="1">
      <c r="A279" s="492" t="str">
        <f>"S "&amp;$AD252&amp;" - "&amp;TEXT(C262,"dd/mm")</f>
        <v>S 6 - 16/02</v>
      </c>
      <c r="B279" s="592" t="s">
        <v>293</v>
      </c>
      <c r="C279" s="541" t="str">
        <f>IF(C269="","",VLOOKUP(C268,'Dados de Base'!$D$10:$G$20,4,FALSE)&amp;" - "&amp;VLOOKUP(C269,'Dados de Base'!$D$10:$G$20,4,TRUE))</f>
        <v/>
      </c>
      <c r="D279" s="541" t="str">
        <f>IF(D269="","",VLOOKUP(D268,'Dados de Base'!$D$10:$G$20,4,FALSE)&amp;" - "&amp;VLOOKUP(D269,'Dados de Base'!$D$10:$G$20,4,FALSE))</f>
        <v/>
      </c>
      <c r="E279" s="541" t="str">
        <f>IF(E269="","",VLOOKUP(E268,'Dados de Base'!$D$10:$G$20,4,FALSE)&amp;" - "&amp;VLOOKUP(E269,'Dados de Base'!$D$10:$G$20,4,FALSE))</f>
        <v/>
      </c>
      <c r="F279" s="541" t="str">
        <f>IF(F269="","",VLOOKUP(F268,'Dados de Base'!$D$10:$G$20,4,FALSE)&amp;" - "&amp;VLOOKUP(F269,'Dados de Base'!$D$10:$G$20,4,FALSE))</f>
        <v/>
      </c>
      <c r="G279" s="541" t="str">
        <f>IF(G269="","",VLOOKUP(G268,'Dados de Base'!$D$10:$G$20,4,FALSE)&amp;" - "&amp;VLOOKUP(G269,'Dados de Base'!$D$10:$G$20,4,FALSE))</f>
        <v/>
      </c>
      <c r="H279" s="541" t="str">
        <f>IF(H269="","",VLOOKUP(H268,'Dados de Base'!$D$10:$G$20,4,FALSE)&amp;" - "&amp;VLOOKUP(H269,'Dados de Base'!$D$10:$G$20,4,FALSE))</f>
        <v/>
      </c>
      <c r="I279" s="593" t="str">
        <f>IF(I269="","",VLOOKUP(I268,'Dados de Base'!$D$10:$G$20,4,FALSE)&amp;" - "&amp;VLOOKUP(I269,'Dados de Base'!$D$10:$G$20,4,FALSE))</f>
        <v/>
      </c>
      <c r="J279" s="505"/>
      <c r="K279" s="608">
        <f t="shared" si="167"/>
        <v>1</v>
      </c>
      <c r="L279" s="609"/>
      <c r="Q279" s="610"/>
      <c r="R279" s="611"/>
      <c r="S279" s="611"/>
      <c r="T279" s="611"/>
      <c r="U279" s="611"/>
      <c r="V279" s="611"/>
      <c r="W279" s="617" t="str">
        <f>IF(L279="","",OFFSET(Biblioteca!$G$2,MATCH(L279,Biblioteca!$A$3:$A$200,0),)*(1.05^(10-S279)))</f>
        <v/>
      </c>
      <c r="X279" s="618"/>
      <c r="Y279" s="588"/>
      <c r="Z279" s="608">
        <f t="shared" si="168"/>
        <v>1</v>
      </c>
      <c r="AA279" s="619"/>
      <c r="AF279" s="620"/>
      <c r="AG279" s="618"/>
      <c r="AH279" s="618"/>
      <c r="AI279" s="618"/>
      <c r="AJ279" s="618"/>
      <c r="AK279" s="618"/>
      <c r="AL279" s="617" t="str">
        <f>IF(AA279="","",OFFSET(Biblioteca!$G$2,MATCH(AA279,Biblioteca!$A$3:$A$200,0),)*(1.05^(10-AH279)))</f>
        <v/>
      </c>
      <c r="AM279" s="618"/>
      <c r="AN279" s="588"/>
      <c r="AO279" s="608">
        <f t="shared" si="169"/>
        <v>1</v>
      </c>
      <c r="AP279" s="619"/>
      <c r="AU279" s="620"/>
      <c r="AV279" s="618"/>
      <c r="AW279" s="618"/>
      <c r="AX279" s="618"/>
      <c r="AY279" s="618"/>
      <c r="AZ279" s="618"/>
      <c r="BA279" s="617" t="str">
        <f>IF(AP279="","",OFFSET(Biblioteca!$G$2,MATCH(AP279,Biblioteca!$A$3:$A$200,0),)*(1.05^(10-AW279)))</f>
        <v/>
      </c>
      <c r="BB279" s="618"/>
      <c r="BC279" s="588"/>
      <c r="BD279" s="608">
        <f t="shared" si="170"/>
        <v>1</v>
      </c>
      <c r="BE279" s="619"/>
      <c r="BJ279" s="620"/>
      <c r="BK279" s="618"/>
      <c r="BL279" s="618"/>
      <c r="BM279" s="618"/>
      <c r="BN279" s="618"/>
      <c r="BO279" s="618"/>
      <c r="BP279" s="617" t="str">
        <f>IF(BE279="","",OFFSET(Biblioteca!$G$2,MATCH(BE279,Biblioteca!$A$3:$A$200,0),)*(1.05^(10-BL279)))</f>
        <v/>
      </c>
      <c r="BQ279" s="618"/>
      <c r="BR279" s="588"/>
      <c r="BS279" s="608">
        <f t="shared" si="171"/>
        <v>1</v>
      </c>
      <c r="BT279" s="619"/>
      <c r="BY279" s="620"/>
      <c r="BZ279" s="618"/>
      <c r="CA279" s="618"/>
      <c r="CB279" s="618"/>
      <c r="CC279" s="618"/>
      <c r="CD279" s="618"/>
      <c r="CE279" s="617" t="str">
        <f>IF(BT279="","",OFFSET(Biblioteca!$G$2,MATCH(BT279,Biblioteca!$A$3:$A$200,0),)*(1.05^(10-CA279)))</f>
        <v/>
      </c>
      <c r="CF279" s="618"/>
      <c r="CG279" s="588"/>
      <c r="CH279" s="608">
        <f t="shared" si="172"/>
        <v>1</v>
      </c>
      <c r="CI279" s="619"/>
      <c r="CN279" s="620"/>
      <c r="CO279" s="618"/>
      <c r="CP279" s="618"/>
      <c r="CQ279" s="618"/>
      <c r="CR279" s="618"/>
      <c r="CS279" s="618"/>
      <c r="CT279" s="617" t="str">
        <f>IF(CI279="","",OFFSET(Biblioteca!$G$2,MATCH(CI279,Biblioteca!$A$3:$A$200,0),)*(1.05^(10-CP279)))</f>
        <v/>
      </c>
      <c r="CU279" s="618"/>
      <c r="CV279" s="588"/>
      <c r="CW279" s="608">
        <f t="shared" si="173"/>
        <v>1</v>
      </c>
      <c r="CX279" s="619"/>
      <c r="DC279" s="620"/>
      <c r="DD279" s="618"/>
      <c r="DE279" s="618"/>
      <c r="DF279" s="618"/>
      <c r="DG279" s="618"/>
      <c r="DH279" s="618"/>
      <c r="DI279" s="617" t="str">
        <f>IF(CX279="","",OFFSET(Biblioteca!$G$2,MATCH(CX279,Biblioteca!$A$3:$A$200,0),)*(1.05^(10-DE279)))</f>
        <v/>
      </c>
      <c r="DJ279" s="618"/>
      <c r="DK279" s="588"/>
    </row>
    <row r="280" ht="14.25" hidden="1" customHeight="1">
      <c r="A280" s="492" t="str">
        <f>"S "&amp;$AD252&amp;" - "&amp;TEXT(C262,"dd/mm")</f>
        <v>S 6 - 16/02</v>
      </c>
      <c r="B280" s="592" t="s">
        <v>298</v>
      </c>
      <c r="C280" s="657" t="str">
        <f>IFS(C267="","",OR(C267="CEXT",C267="CINT"),"Mantenha "&amp;(C265/C271)-3&amp;"-"&amp;(C265/C271)&amp;"min em intensidade constante com frequência cardíaca entre "&amp;C278&amp;" bpm ("&amp;C268*100&amp;" - "&amp;C269*100&amp;"% VO2Máx"&amp;IF(C266="Esteira", " -&gt; "&amp;C279&amp;"km/h",IF(C266="Pista", " -&gt; "&amp;C279&amp;"km/h "&amp;"Pace de "&amp;C282&amp;"min/km",""))&amp;")",OR(C267="IEXT",C267="IINT"),C272&amp;"x ("&amp;IF(C273&gt;=60,INT(C273/60)&amp;"m ","")&amp;IF((C273/60)-INT(C273/60)&gt;0,((C273/60)-INT(C273/60))*60&amp;"s ","")&amp;IF(C269=1.2,"all out","a "&amp;C278&amp;" bpm"&amp;IF(C266="Esteira", "-&gt; "&amp;C279&amp;"km/h",IF(C266="Pista", " -&gt; "&amp;C279&amp;"km/h "&amp;"Pace de "&amp;C282&amp;"min/km","")))&amp;IF(C274=0,""," + "&amp;IF(C274/60&gt;=1,INT(C274/60)&amp;"m ","")&amp;IF((C274/60)-INT(C274/60)&gt;0,((C274/60)-INT(C274/60))*60&amp;"s ","")&amp;IFS(C275=0," repouso",C275&lt;0.5," leve",TRUE," a "&amp;VLOOKUP(C275,'Dados de Base'!$D$10:$G$20,2,FALSE)&amp;" bpm"&amp;IF(C266="Esteira", "-&gt; "&amp;VLOOKUP(C275,'Dados de Base'!$D$10:$G$20,4,FALSE)&amp;"km/h",IF(C266="Pista", " -&gt; "&amp;C279&amp;"km/h "&amp;"Pace de "&amp;C282&amp;"min/km",""))))&amp;")")&amp;C281</f>
        <v/>
      </c>
      <c r="D280" s="657" t="str">
        <f>IFS(D267="","",OR(D267="CEXT",D267="CINT"),"Mantenha "&amp;(D265/D271)-3&amp;"-"&amp;(D265/D271)&amp;"min em intensidade constante com frequência cardíaca entre "&amp;D278&amp;" bpm ("&amp;D268*100&amp;" - "&amp;D269*100&amp;"% VO2Máx"&amp;IF(D266="Esteira", " -&gt; "&amp;D279&amp;"km/h",IF(D266="Pista", " -&gt; "&amp;D279&amp;"km/h "&amp;"Pace de "&amp;D282&amp;"min/km",""))&amp;")",OR(D267="IEXT",D267="IINT"),D272&amp;"x ("&amp;IF(D273&gt;=60,INT(D273/60)&amp;"m ","")&amp;IF((D273/60)-INT(D273/60)&gt;0,((D273/60)-INT(D273/60))*60&amp;"s ","")&amp;IF(D269=1.2,"all out","a "&amp;D278&amp;" bpm"&amp;IF(D266="Esteira", "-&gt; "&amp;D279&amp;"km/h",IF(D266="Pista", " -&gt; "&amp;D279&amp;"km/h "&amp;"Pace de "&amp;D282&amp;"min/km","")))&amp;IF(D274=0,""," + "&amp;IF(D274/60&gt;=1,INT(D274/60)&amp;"m ","")&amp;IF((D274/60)-INT(D274/60)&gt;0,((D274/60)-INT(D274/60))*60&amp;"s ","")&amp;IFS(D275=0," repouso",D275&lt;0.5," leve",TRUE," a "&amp;VLOOKUP(D275,'Dados de Base'!$D$10:$G$20,2,FALSE)&amp;" bpm"&amp;IF(D266="Esteira", "-&gt; "&amp;VLOOKUP(D275,'Dados de Base'!$D$10:$G$20,4,FALSE)&amp;"km/h",IF(D266="Pista", " -&gt; "&amp;D279&amp;"km/h "&amp;"Pace de "&amp;D282&amp;"min/km",""))))&amp;")")&amp;D281</f>
        <v/>
      </c>
      <c r="E280" s="657" t="str">
        <f>IFS(E267="","",OR(E267="CEXT",E267="CINT"),"Mantenha "&amp;(E265/E271)-3&amp;"-"&amp;(E265/E271)&amp;"min em intensidade constante com frequência cardíaca entre "&amp;E278&amp;" bpm ("&amp;E268*100&amp;" - "&amp;E269*100&amp;"% VO2Máx"&amp;IF(E266="Esteira", " -&gt; "&amp;E279&amp;"km/h",IF(E266="Pista", " -&gt; "&amp;E279&amp;"km/h "&amp;"Pace de "&amp;E282&amp;"min/km",""))&amp;")",OR(E267="IEXT",E267="IINT"),E272&amp;"x ("&amp;IF(E273&gt;=60,INT(E273/60)&amp;"m ","")&amp;IF((E273/60)-INT(E273/60)&gt;0,((E273/60)-INT(E273/60))*60&amp;"s ","")&amp;IF(E269=1.2,"all out","a "&amp;E278&amp;" bpm"&amp;IF(E266="Esteira", "-&gt; "&amp;E279&amp;"km/h",IF(E266="Pista", " -&gt; "&amp;E279&amp;"km/h "&amp;"Pace de "&amp;E282&amp;"min/km","")))&amp;IF(E274=0,""," + "&amp;IF(E274/60&gt;=1,INT(E274/60)&amp;"m ","")&amp;IF((E274/60)-INT(E274/60)&gt;0,((E274/60)-INT(E274/60))*60&amp;"s ","")&amp;IFS(E275=0," repouso",E275&lt;0.5," leve",TRUE," a "&amp;VLOOKUP(E275,'Dados de Base'!$D$10:$G$20,2,FALSE)&amp;" bpm"&amp;IF(E266="Esteira", "-&gt; "&amp;VLOOKUP(E275,'Dados de Base'!$D$10:$G$20,4,FALSE)&amp;"km/h",IF(E266="Pista", " -&gt; "&amp;E279&amp;"km/h "&amp;"Pace de "&amp;E282&amp;"min/km",""))))&amp;")")&amp;E281</f>
        <v/>
      </c>
      <c r="F280" s="657" t="str">
        <f>IFS(F267="","",OR(F267="CEXT",F267="CINT"),"Mantenha "&amp;(F265/F271)-3&amp;"-"&amp;(F265/F271)&amp;"min em intensidade constante com frequência cardíaca entre "&amp;F278&amp;" bpm ("&amp;F268*100&amp;" - "&amp;F269*100&amp;"% VO2Máx"&amp;IF(F266="Esteira", " -&gt; "&amp;F279&amp;"km/h",IF(F266="Pista", " -&gt; "&amp;F279&amp;"km/h "&amp;"Pace de "&amp;F282&amp;"min/km",""))&amp;")",OR(F267="IEXT",F267="IINT"),F272&amp;"x ("&amp;IF(F273&gt;=60,INT(F273/60)&amp;"m ","")&amp;IF((F273/60)-INT(F273/60)&gt;0,((F273/60)-INT(F273/60))*60&amp;"s ","")&amp;IF(F269=1.2,"all out","a "&amp;F278&amp;" bpm"&amp;IF(F266="Esteira", "-&gt; "&amp;F279&amp;"km/h",IF(F266="Pista", " -&gt; "&amp;F279&amp;"km/h "&amp;"Pace de "&amp;F282&amp;"min/km","")))&amp;IF(F274=0,""," + "&amp;IF(F274/60&gt;=1,INT(F274/60)&amp;"m ","")&amp;IF((F274/60)-INT(F274/60)&gt;0,((F274/60)-INT(F274/60))*60&amp;"s ","")&amp;IFS(F275=0," repouso",F275&lt;0.5," leve",TRUE," a "&amp;VLOOKUP(F275,'Dados de Base'!$D$10:$G$20,2,FALSE)&amp;" bpm"&amp;IF(F266="Esteira", "-&gt; "&amp;VLOOKUP(F275,'Dados de Base'!$D$10:$G$20,4,FALSE)&amp;"km/h",IF(F266="Pista", " -&gt; "&amp;F279&amp;"km/h "&amp;"Pace de "&amp;F282&amp;"min/km",""))))&amp;")")&amp;F281</f>
        <v/>
      </c>
      <c r="G280" s="657" t="str">
        <f>IFS(G267="","",OR(G267="CEXT",G267="CINT"),"Mantenha "&amp;(G265/G271)-3&amp;"-"&amp;(G265/G271)&amp;"min em intensidade constante com frequência cardíaca entre "&amp;G278&amp;" bpm ("&amp;G268*100&amp;" - "&amp;G269*100&amp;"% VO2Máx"&amp;IF(G266="Esteira", " -&gt; "&amp;G279&amp;"km/h",IF(G266="Pista", " -&gt; "&amp;G279&amp;"km/h "&amp;"Pace de "&amp;G282&amp;"min/km",""))&amp;")",OR(G267="IEXT",G267="IINT"),G272&amp;"x ("&amp;IF(G273&gt;=60,INT(G273/60)&amp;"m ","")&amp;IF((G273/60)-INT(G273/60)&gt;0,((G273/60)-INT(G273/60))*60&amp;"s ","")&amp;IF(G269=1.2,"all out","a "&amp;G278&amp;" bpm"&amp;IF(G266="Esteira", "-&gt; "&amp;G279&amp;"km/h",IF(G266="Pista", " -&gt; "&amp;G279&amp;"km/h "&amp;"Pace de "&amp;G282&amp;"min/km","")))&amp;IF(G274=0,""," + "&amp;IF(G274/60&gt;=1,INT(G274/60)&amp;"m ","")&amp;IF((G274/60)-INT(G274/60)&gt;0,((G274/60)-INT(G274/60))*60&amp;"s ","")&amp;IFS(G275=0," repouso",G275&lt;0.5," leve",TRUE," a "&amp;VLOOKUP(G275,'Dados de Base'!$D$10:$G$20,2,FALSE)&amp;" bpm"&amp;IF(G266="Esteira", "-&gt; "&amp;VLOOKUP(G275,'Dados de Base'!$D$10:$G$20,4,FALSE)&amp;"km/h",IF(G266="Pista", " -&gt; "&amp;G279&amp;"km/h "&amp;"Pace de "&amp;G282&amp;"min/km",""))))&amp;")")&amp;G281</f>
        <v/>
      </c>
      <c r="H280" s="657" t="str">
        <f>IFS(H267="","",OR(H267="CEXT",H267="CINT"),"Mantenha "&amp;(H265/H271)-3&amp;"-"&amp;(H265/H271)&amp;"min em intensidade constante com frequência cardíaca entre "&amp;H278&amp;" bpm ("&amp;H268*100&amp;" - "&amp;H269*100&amp;"% VO2Máx"&amp;IF(H266="Esteira", " -&gt; "&amp;H279&amp;"km/h",IF(H266="Pista", " -&gt; "&amp;H279&amp;"km/h "&amp;"Pace de "&amp;H282&amp;"min/km",""))&amp;")",OR(H267="IEXT",H267="IINT"),H272&amp;"x ("&amp;IF(H273&gt;=60,INT(H273/60)&amp;"m ","")&amp;IF((H273/60)-INT(H273/60)&gt;0,((H273/60)-INT(H273/60))*60&amp;"s ","")&amp;IF(H269=1.2,"all out","a "&amp;H278&amp;" bpm"&amp;IF(H266="Esteira", "-&gt; "&amp;H279&amp;"km/h",IF(H266="Pista", " -&gt; "&amp;H279&amp;"km/h "&amp;"Pace de "&amp;H282&amp;"min/km","")))&amp;IF(H274=0,""," + "&amp;IF(H274/60&gt;=1,INT(H274/60)&amp;"m ","")&amp;IF((H274/60)-INT(H274/60)&gt;0,((H274/60)-INT(H274/60))*60&amp;"s ","")&amp;IFS(H275=0," repouso",H275&lt;0.5," leve",TRUE," a "&amp;VLOOKUP(H275,'Dados de Base'!$D$10:$G$20,2,FALSE)&amp;" bpm"&amp;IF(H266="Esteira", "-&gt; "&amp;VLOOKUP(H275,'Dados de Base'!$D$10:$G$20,4,FALSE)&amp;"km/h",IF(H266="Pista", " -&gt; "&amp;H279&amp;"km/h "&amp;"Pace de "&amp;H282&amp;"min/km",""))))&amp;")")&amp;H281</f>
        <v/>
      </c>
      <c r="I280" s="657" t="str">
        <f>IFS(I267="","",OR(I267="CEXT",I267="CINT"),"Mantenha "&amp;(I265/I271)-3&amp;"-"&amp;(I265/I271)&amp;"min em intensidade constante com frequência cardíaca entre "&amp;I278&amp;" bpm ("&amp;I268*100&amp;" - "&amp;I269*100&amp;"% VO2Máx"&amp;IF(I266="Esteira", " -&gt; "&amp;I279&amp;"km/h",IF(I266="Pista", " -&gt; "&amp;I279&amp;"km/h "&amp;"Pace de "&amp;I282&amp;"min/km",""))&amp;")",OR(I267="IEXT",I267="IINT"),I272&amp;"x ("&amp;IF(I273&gt;=60,INT(I273/60)&amp;"m ","")&amp;IF((I273/60)-INT(I273/60)&gt;0,((I273/60)-INT(I273/60))*60&amp;"s ","")&amp;IF(I269=1.2,"all out","a "&amp;I278&amp;" bpm"&amp;IF(I266="Esteira", "-&gt; "&amp;I279&amp;"km/h",IF(I266="Pista", " -&gt; "&amp;I279&amp;"km/h "&amp;"Pace de "&amp;I282&amp;"min/km","")))&amp;IF(I274=0,""," + "&amp;IF(I274/60&gt;=1,INT(I274/60)&amp;"m ","")&amp;IF((I274/60)-INT(I274/60)&gt;0,((I274/60)-INT(I274/60))*60&amp;"s ","")&amp;IFS(I275=0," repouso",I275&lt;0.5," leve",TRUE," a "&amp;VLOOKUP(I275,'Dados de Base'!$D$10:$G$20,2,FALSE)&amp;" bpm"&amp;IF(I266="Esteira", "-&gt; "&amp;VLOOKUP(I275,'Dados de Base'!$D$10:$G$20,4,FALSE)&amp;"km/h",IF(I266="Pista", " -&gt; "&amp;I279&amp;"km/h "&amp;"Pace de "&amp;I282&amp;"min/km",""))))&amp;")")&amp;I281</f>
        <v/>
      </c>
      <c r="J280" s="659"/>
      <c r="K280" s="608">
        <f t="shared" si="167"/>
        <v>1</v>
      </c>
      <c r="L280" s="645"/>
      <c r="Q280" s="705"/>
      <c r="R280" s="644"/>
      <c r="S280" s="644"/>
      <c r="T280" s="644"/>
      <c r="U280" s="644"/>
      <c r="V280" s="644"/>
      <c r="W280" s="617" t="str">
        <f>IF(L280="","",OFFSET(Biblioteca!$G$2,MATCH(L280,Biblioteca!$A$3:$A$200,0),)*(1.05^(10-S280)))</f>
        <v/>
      </c>
      <c r="X280" s="618"/>
      <c r="Y280" s="579"/>
      <c r="Z280" s="608">
        <f t="shared" si="168"/>
        <v>1</v>
      </c>
      <c r="AA280" s="619"/>
      <c r="AF280" s="620"/>
      <c r="AG280" s="618"/>
      <c r="AH280" s="618"/>
      <c r="AI280" s="618"/>
      <c r="AJ280" s="618"/>
      <c r="AK280" s="618"/>
      <c r="AL280" s="617" t="str">
        <f>IF(AA280="","",OFFSET(Biblioteca!$G$2,MATCH(AA280,Biblioteca!$A$3:$A$200,0),)*(1.05^(10-AH280)))</f>
        <v/>
      </c>
      <c r="AM280" s="618"/>
      <c r="AN280" s="579"/>
      <c r="AO280" s="608">
        <f t="shared" si="169"/>
        <v>1</v>
      </c>
      <c r="AP280" s="619"/>
      <c r="AU280" s="620"/>
      <c r="AV280" s="618"/>
      <c r="AW280" s="618"/>
      <c r="AX280" s="618"/>
      <c r="AY280" s="618"/>
      <c r="AZ280" s="618"/>
      <c r="BA280" s="617" t="str">
        <f>IF(AP280="","",OFFSET(Biblioteca!$G$2,MATCH(AP280,Biblioteca!$A$3:$A$200,0),)*(1.05^(10-AW280)))</f>
        <v/>
      </c>
      <c r="BB280" s="618"/>
      <c r="BC280" s="579"/>
      <c r="BD280" s="608">
        <f t="shared" si="170"/>
        <v>1</v>
      </c>
      <c r="BE280" s="619"/>
      <c r="BJ280" s="620"/>
      <c r="BK280" s="618"/>
      <c r="BL280" s="618"/>
      <c r="BM280" s="618"/>
      <c r="BN280" s="618"/>
      <c r="BO280" s="618"/>
      <c r="BP280" s="617" t="str">
        <f>IF(BE280="","",OFFSET(Biblioteca!$G$2,MATCH(BE280,Biblioteca!$A$3:$A$200,0),)*(1.05^(10-BL280)))</f>
        <v/>
      </c>
      <c r="BQ280" s="618"/>
      <c r="BR280" s="579"/>
      <c r="BS280" s="608">
        <f t="shared" si="171"/>
        <v>1</v>
      </c>
      <c r="BT280" s="619"/>
      <c r="BY280" s="620"/>
      <c r="BZ280" s="618"/>
      <c r="CA280" s="618"/>
      <c r="CB280" s="618"/>
      <c r="CC280" s="618"/>
      <c r="CD280" s="618"/>
      <c r="CE280" s="617" t="str">
        <f>IF(BT280="","",OFFSET(Biblioteca!$G$2,MATCH(BT280,Biblioteca!$A$3:$A$200,0),)*(1.05^(10-CA280)))</f>
        <v/>
      </c>
      <c r="CF280" s="618"/>
      <c r="CG280" s="579"/>
      <c r="CH280" s="608">
        <f t="shared" si="172"/>
        <v>1</v>
      </c>
      <c r="CI280" s="619"/>
      <c r="CN280" s="620"/>
      <c r="CO280" s="618"/>
      <c r="CP280" s="618"/>
      <c r="CQ280" s="618"/>
      <c r="CR280" s="618"/>
      <c r="CS280" s="618"/>
      <c r="CT280" s="617" t="str">
        <f>IF(CI280="","",OFFSET(Biblioteca!$G$2,MATCH(CI280,Biblioteca!$A$3:$A$200,0),)*(1.05^(10-CP280)))</f>
        <v/>
      </c>
      <c r="CU280" s="618"/>
      <c r="CV280" s="579"/>
      <c r="CW280" s="608">
        <f t="shared" si="173"/>
        <v>1</v>
      </c>
      <c r="CX280" s="619"/>
      <c r="DC280" s="620"/>
      <c r="DD280" s="618"/>
      <c r="DE280" s="618"/>
      <c r="DF280" s="618"/>
      <c r="DG280" s="618"/>
      <c r="DH280" s="618"/>
      <c r="DI280" s="617" t="str">
        <f>IF(CX280="","",OFFSET(Biblioteca!$G$2,MATCH(CX280,Biblioteca!$A$3:$A$200,0),)*(1.05^(10-DE280)))</f>
        <v/>
      </c>
      <c r="DJ280" s="618"/>
      <c r="DK280" s="579"/>
    </row>
    <row r="281" ht="14.25" hidden="1" customHeight="1">
      <c r="A281" s="492" t="str">
        <f>"S "&amp;$AD252&amp;" - "&amp;TEXT(C262,"dd/mm")</f>
        <v>S 6 - 16/02</v>
      </c>
      <c r="B281" s="647" t="s">
        <v>302</v>
      </c>
      <c r="C281" s="660"/>
      <c r="D281" s="661"/>
      <c r="E281" s="660"/>
      <c r="F281" s="660"/>
      <c r="G281" s="660"/>
      <c r="H281" s="661"/>
      <c r="I281" s="600"/>
      <c r="J281" s="505"/>
      <c r="K281" s="608">
        <f t="shared" si="167"/>
        <v>1</v>
      </c>
      <c r="L281" s="619"/>
      <c r="Q281" s="620"/>
      <c r="R281" s="618"/>
      <c r="S281" s="618"/>
      <c r="T281" s="618"/>
      <c r="U281" s="618"/>
      <c r="V281" s="618"/>
      <c r="W281" s="617" t="str">
        <f>IF(L281="","",OFFSET(Biblioteca!$G$2,MATCH(L281,Biblioteca!$A$3:$A$200,0),)*(1.05^(10-S281)))</f>
        <v/>
      </c>
      <c r="X281" s="618"/>
      <c r="Y281" s="588"/>
      <c r="Z281" s="608">
        <f t="shared" si="168"/>
        <v>1</v>
      </c>
      <c r="AA281" s="619"/>
      <c r="AF281" s="620"/>
      <c r="AG281" s="618"/>
      <c r="AH281" s="618"/>
      <c r="AI281" s="618"/>
      <c r="AJ281" s="618"/>
      <c r="AK281" s="618"/>
      <c r="AL281" s="617" t="str">
        <f>IF(AA281="","",OFFSET(Biblioteca!$G$2,MATCH(AA281,Biblioteca!$A$3:$A$200,0),)*(1.05^(10-AH281)))</f>
        <v/>
      </c>
      <c r="AM281" s="618"/>
      <c r="AN281" s="588"/>
      <c r="AO281" s="608">
        <f t="shared" si="169"/>
        <v>1</v>
      </c>
      <c r="AP281" s="619"/>
      <c r="AU281" s="620"/>
      <c r="AV281" s="618"/>
      <c r="AW281" s="618"/>
      <c r="AX281" s="618"/>
      <c r="AY281" s="618"/>
      <c r="AZ281" s="618"/>
      <c r="BA281" s="617" t="str">
        <f>IF(AP281="","",OFFSET(Biblioteca!$G$2,MATCH(AP281,Biblioteca!$A$3:$A$200,0),)*(1.05^(10-AW281)))</f>
        <v/>
      </c>
      <c r="BB281" s="618"/>
      <c r="BC281" s="588"/>
      <c r="BD281" s="608">
        <f t="shared" si="170"/>
        <v>1</v>
      </c>
      <c r="BE281" s="619"/>
      <c r="BJ281" s="620"/>
      <c r="BK281" s="618"/>
      <c r="BL281" s="618"/>
      <c r="BM281" s="618"/>
      <c r="BN281" s="618"/>
      <c r="BO281" s="618"/>
      <c r="BP281" s="617" t="str">
        <f>IF(BE281="","",OFFSET(Biblioteca!$G$2,MATCH(BE281,Biblioteca!$A$3:$A$200,0),)*(1.05^(10-BL281)))</f>
        <v/>
      </c>
      <c r="BQ281" s="618"/>
      <c r="BR281" s="588"/>
      <c r="BS281" s="608">
        <f t="shared" si="171"/>
        <v>1</v>
      </c>
      <c r="BT281" s="619"/>
      <c r="BY281" s="620"/>
      <c r="BZ281" s="618"/>
      <c r="CA281" s="618"/>
      <c r="CB281" s="618"/>
      <c r="CC281" s="618"/>
      <c r="CD281" s="618"/>
      <c r="CE281" s="617" t="str">
        <f>IF(BT281="","",OFFSET(Biblioteca!$G$2,MATCH(BT281,Biblioteca!$A$3:$A$200,0),)*(1.05^(10-CA281)))</f>
        <v/>
      </c>
      <c r="CF281" s="618"/>
      <c r="CG281" s="588"/>
      <c r="CH281" s="608">
        <f t="shared" si="172"/>
        <v>1</v>
      </c>
      <c r="CI281" s="619"/>
      <c r="CN281" s="620"/>
      <c r="CO281" s="618"/>
      <c r="CP281" s="618"/>
      <c r="CQ281" s="618"/>
      <c r="CR281" s="618"/>
      <c r="CS281" s="618"/>
      <c r="CT281" s="617" t="str">
        <f>IF(CI281="","",OFFSET(Biblioteca!$G$2,MATCH(CI281,Biblioteca!$A$3:$A$200,0),)*(1.05^(10-CP281)))</f>
        <v/>
      </c>
      <c r="CU281" s="618"/>
      <c r="CV281" s="588"/>
      <c r="CW281" s="608">
        <f t="shared" si="173"/>
        <v>1</v>
      </c>
      <c r="CX281" s="619"/>
      <c r="DC281" s="620"/>
      <c r="DD281" s="618"/>
      <c r="DE281" s="618"/>
      <c r="DF281" s="618"/>
      <c r="DG281" s="618"/>
      <c r="DH281" s="618"/>
      <c r="DI281" s="617" t="str">
        <f>IF(CX281="","",OFFSET(Biblioteca!$G$2,MATCH(CX281,Biblioteca!$A$3:$A$200,0),)*(1.05^(10-DE281)))</f>
        <v/>
      </c>
      <c r="DJ281" s="618"/>
      <c r="DK281" s="588"/>
    </row>
    <row r="282" ht="14.25" hidden="1" customHeight="1">
      <c r="A282" s="492" t="str">
        <f>"S "&amp;$AD252&amp;" - "&amp;TEXT(C262,"dd/mm")</f>
        <v>S 6 - 16/02</v>
      </c>
      <c r="B282" s="666" t="s">
        <v>306</v>
      </c>
      <c r="C282" s="667" t="str">
        <f>IF(C269="","",ROUND(VLOOKUP(C268,'Dados de Base'!$D$10:$H$20,5,FALSE),1)&amp;" - "&amp;ROUND(VLOOKUP(C269,'Dados de Base'!$D$10:$H$20,5,TRUE),1))</f>
        <v/>
      </c>
      <c r="D282" s="667" t="str">
        <f>IF(D269="","",ROUND(VLOOKUP(D268,'Dados de Base'!$D$10:$H$20,5,FALSE),1)&amp;" - "&amp;ROUND(VLOOKUP(D269,'Dados de Base'!$D$10:$H$20,5,TRUE),1))</f>
        <v/>
      </c>
      <c r="E282" s="667" t="str">
        <f>IF(E269="","",ROUND(VLOOKUP(E268,'Dados de Base'!$D$10:$H$20,5,FALSE),1)&amp;" - "&amp;ROUND(VLOOKUP(E269,'Dados de Base'!$D$10:$H$20,5,TRUE),1))</f>
        <v/>
      </c>
      <c r="F282" s="667" t="str">
        <f>IF(F269="","",ROUND(VLOOKUP(F268,'Dados de Base'!$D$10:$H$20,5,FALSE),1)&amp;" - "&amp;ROUND(VLOOKUP(F269,'Dados de Base'!$D$10:$H$20,5,TRUE),1))</f>
        <v/>
      </c>
      <c r="G282" s="667" t="str">
        <f>IF(G269="","",ROUND(VLOOKUP(G268,'Dados de Base'!$D$10:$H$20,5,FALSE),1)&amp;" - "&amp;ROUND(VLOOKUP(G269,'Dados de Base'!$D$10:$H$20,5,TRUE),1))</f>
        <v/>
      </c>
      <c r="H282" s="667" t="str">
        <f>IF(H269="","",ROUND(VLOOKUP(H268,'Dados de Base'!$D$10:$H$20,5,FALSE),1)&amp;" - "&amp;ROUND(VLOOKUP(H269,'Dados de Base'!$D$10:$H$20,5,TRUE),1))</f>
        <v/>
      </c>
      <c r="I282" s="667" t="str">
        <f>IF(I269="","",ROUND(VLOOKUP(I268,'Dados de Base'!$D$10:$H$20,5,FALSE),1)&amp;" - "&amp;ROUND(VLOOKUP(I269,'Dados de Base'!$D$10:$H$20,5,TRUE),1))</f>
        <v/>
      </c>
      <c r="J282" s="505"/>
      <c r="K282" s="608">
        <f t="shared" si="167"/>
        <v>1</v>
      </c>
      <c r="L282" s="619"/>
      <c r="Q282" s="620"/>
      <c r="R282" s="618"/>
      <c r="S282" s="618"/>
      <c r="T282" s="618"/>
      <c r="U282" s="618"/>
      <c r="V282" s="618"/>
      <c r="W282" s="617" t="str">
        <f>IF(L282="","",OFFSET(Biblioteca!$G$2,MATCH(L282,Biblioteca!$A$3:$A$200,0),)*(1.05^(10-S282)))</f>
        <v/>
      </c>
      <c r="X282" s="618"/>
      <c r="Y282" s="579"/>
      <c r="Z282" s="608">
        <f t="shared" si="168"/>
        <v>1</v>
      </c>
      <c r="AA282" s="619"/>
      <c r="AF282" s="620"/>
      <c r="AG282" s="618"/>
      <c r="AH282" s="618"/>
      <c r="AI282" s="618"/>
      <c r="AJ282" s="618"/>
      <c r="AK282" s="618"/>
      <c r="AL282" s="617" t="str">
        <f>IF(AA282="","",OFFSET(Biblioteca!$G$2,MATCH(AA282,Biblioteca!$A$3:$A$200,0),)*(1.05^(10-AH282)))</f>
        <v/>
      </c>
      <c r="AM282" s="618"/>
      <c r="AN282" s="579"/>
      <c r="AO282" s="608">
        <f t="shared" si="169"/>
        <v>1</v>
      </c>
      <c r="AP282" s="619"/>
      <c r="AU282" s="620"/>
      <c r="AV282" s="618"/>
      <c r="AW282" s="618"/>
      <c r="AX282" s="618"/>
      <c r="AY282" s="618"/>
      <c r="AZ282" s="618"/>
      <c r="BA282" s="617" t="str">
        <f>IF(AP282="","",OFFSET(Biblioteca!$G$2,MATCH(AP282,Biblioteca!$A$3:$A$200,0),)*(1.05^(10-AW282)))</f>
        <v/>
      </c>
      <c r="BB282" s="618"/>
      <c r="BC282" s="579"/>
      <c r="BD282" s="608">
        <f t="shared" si="170"/>
        <v>1</v>
      </c>
      <c r="BE282" s="619"/>
      <c r="BJ282" s="620"/>
      <c r="BK282" s="618"/>
      <c r="BL282" s="618"/>
      <c r="BM282" s="618"/>
      <c r="BN282" s="618"/>
      <c r="BO282" s="618"/>
      <c r="BP282" s="617" t="str">
        <f>IF(BE282="","",OFFSET(Biblioteca!$G$2,MATCH(BE282,Biblioteca!$A$3:$A$200,0),)*(1.05^(10-BL282)))</f>
        <v/>
      </c>
      <c r="BQ282" s="618"/>
      <c r="BR282" s="579"/>
      <c r="BS282" s="608">
        <f t="shared" si="171"/>
        <v>1</v>
      </c>
      <c r="BT282" s="619"/>
      <c r="BY282" s="620"/>
      <c r="BZ282" s="618"/>
      <c r="CA282" s="618"/>
      <c r="CB282" s="618"/>
      <c r="CC282" s="618"/>
      <c r="CD282" s="618"/>
      <c r="CE282" s="617" t="str">
        <f>IF(BT282="","",OFFSET(Biblioteca!$G$2,MATCH(BT282,Biblioteca!$A$3:$A$200,0),)*(1.05^(10-CA282)))</f>
        <v/>
      </c>
      <c r="CF282" s="618"/>
      <c r="CG282" s="579"/>
      <c r="CH282" s="608">
        <f t="shared" si="172"/>
        <v>1</v>
      </c>
      <c r="CI282" s="619"/>
      <c r="CN282" s="620"/>
      <c r="CO282" s="618"/>
      <c r="CP282" s="618"/>
      <c r="CQ282" s="618"/>
      <c r="CR282" s="618"/>
      <c r="CS282" s="618"/>
      <c r="CT282" s="617" t="str">
        <f>IF(CI282="","",OFFSET(Biblioteca!$G$2,MATCH(CI282,Biblioteca!$A$3:$A$200,0),)*(1.05^(10-CP282)))</f>
        <v/>
      </c>
      <c r="CU282" s="618"/>
      <c r="CV282" s="579"/>
      <c r="CW282" s="608">
        <f t="shared" si="173"/>
        <v>1</v>
      </c>
      <c r="CX282" s="619"/>
      <c r="DC282" s="620"/>
      <c r="DD282" s="618"/>
      <c r="DE282" s="618"/>
      <c r="DF282" s="618"/>
      <c r="DG282" s="618"/>
      <c r="DH282" s="618"/>
      <c r="DI282" s="617" t="str">
        <f>IF(CX282="","",OFFSET(Biblioteca!$G$2,MATCH(CX282,Biblioteca!$A$3:$A$200,0),)*(1.05^(10-DE282)))</f>
        <v/>
      </c>
      <c r="DJ282" s="618"/>
      <c r="DK282" s="579"/>
    </row>
    <row r="283" ht="14.25" hidden="1" customHeight="1">
      <c r="A283" s="492" t="str">
        <f>"S "&amp;$AD252&amp;" - "&amp;TEXT(C262,"dd/mm")</f>
        <v>S 6 - 16/02</v>
      </c>
      <c r="B283" s="592" t="s">
        <v>307</v>
      </c>
      <c r="C283" s="668" t="str">
        <f>'Anotações gerais'!$B$3</f>
        <v/>
      </c>
      <c r="D283" s="60"/>
      <c r="E283" s="60"/>
      <c r="F283" s="60"/>
      <c r="G283" s="60"/>
      <c r="H283" s="61"/>
      <c r="I283" s="669"/>
      <c r="J283" s="505"/>
      <c r="K283" s="608">
        <f t="shared" si="167"/>
        <v>1</v>
      </c>
      <c r="L283" s="619"/>
      <c r="Q283" s="620"/>
      <c r="R283" s="618"/>
      <c r="S283" s="618"/>
      <c r="T283" s="618"/>
      <c r="U283" s="618"/>
      <c r="V283" s="618"/>
      <c r="W283" s="617" t="str">
        <f>IF(L283="","",OFFSET(Biblioteca!$G$2,MATCH(L283,Biblioteca!$A$3:$A$200,0),)*(1.05^(10-S283)))</f>
        <v/>
      </c>
      <c r="X283" s="618"/>
      <c r="Y283" s="579"/>
      <c r="Z283" s="608">
        <f t="shared" si="168"/>
        <v>1</v>
      </c>
      <c r="AA283" s="619"/>
      <c r="AF283" s="620"/>
      <c r="AG283" s="618"/>
      <c r="AH283" s="618"/>
      <c r="AI283" s="618"/>
      <c r="AJ283" s="618"/>
      <c r="AK283" s="618"/>
      <c r="AL283" s="617" t="str">
        <f>IF(AA283="","",OFFSET(Biblioteca!$G$2,MATCH(AA283,Biblioteca!$A$3:$A$200,0),)*(1.05^(10-AH283)))</f>
        <v/>
      </c>
      <c r="AM283" s="618"/>
      <c r="AN283" s="579"/>
      <c r="AO283" s="608">
        <f t="shared" si="169"/>
        <v>1</v>
      </c>
      <c r="AP283" s="619"/>
      <c r="AU283" s="620"/>
      <c r="AV283" s="618"/>
      <c r="AW283" s="618"/>
      <c r="AX283" s="618"/>
      <c r="AY283" s="618"/>
      <c r="AZ283" s="618"/>
      <c r="BA283" s="617" t="str">
        <f>IF(AP283="","",OFFSET(Biblioteca!$G$2,MATCH(AP283,Biblioteca!$A$3:$A$200,0),)*(1.05^(10-AW283)))</f>
        <v/>
      </c>
      <c r="BB283" s="618"/>
      <c r="BC283" s="579"/>
      <c r="BD283" s="608">
        <f t="shared" si="170"/>
        <v>1</v>
      </c>
      <c r="BE283" s="619"/>
      <c r="BJ283" s="620"/>
      <c r="BK283" s="618"/>
      <c r="BL283" s="618"/>
      <c r="BM283" s="618"/>
      <c r="BN283" s="618"/>
      <c r="BO283" s="618"/>
      <c r="BP283" s="617" t="str">
        <f>IF(BE283="","",OFFSET(Biblioteca!$G$2,MATCH(BE283,Biblioteca!$A$3:$A$200,0),)*(1.05^(10-BL283)))</f>
        <v/>
      </c>
      <c r="BQ283" s="618"/>
      <c r="BR283" s="579"/>
      <c r="BS283" s="608">
        <f t="shared" si="171"/>
        <v>1</v>
      </c>
      <c r="BT283" s="619"/>
      <c r="BY283" s="620"/>
      <c r="BZ283" s="618"/>
      <c r="CA283" s="618"/>
      <c r="CB283" s="618"/>
      <c r="CC283" s="618"/>
      <c r="CD283" s="618"/>
      <c r="CE283" s="617" t="str">
        <f>IF(BT283="","",OFFSET(Biblioteca!$G$2,MATCH(BT283,Biblioteca!$A$3:$A$200,0),)*(1.05^(10-CA283)))</f>
        <v/>
      </c>
      <c r="CF283" s="618"/>
      <c r="CG283" s="579"/>
      <c r="CH283" s="608">
        <f t="shared" si="172"/>
        <v>1</v>
      </c>
      <c r="CI283" s="619"/>
      <c r="CN283" s="620"/>
      <c r="CO283" s="618"/>
      <c r="CP283" s="618"/>
      <c r="CQ283" s="618"/>
      <c r="CR283" s="618"/>
      <c r="CS283" s="618"/>
      <c r="CT283" s="617" t="str">
        <f>IF(CI283="","",OFFSET(Biblioteca!$G$2,MATCH(CI283,Biblioteca!$A$3:$A$200,0),)*(1.05^(10-CP283)))</f>
        <v/>
      </c>
      <c r="CU283" s="618"/>
      <c r="CV283" s="579"/>
      <c r="CW283" s="608">
        <f t="shared" si="173"/>
        <v>1</v>
      </c>
      <c r="CX283" s="619"/>
      <c r="DC283" s="620"/>
      <c r="DD283" s="618"/>
      <c r="DE283" s="618"/>
      <c r="DF283" s="618"/>
      <c r="DG283" s="618"/>
      <c r="DH283" s="618"/>
      <c r="DI283" s="617" t="str">
        <f>IF(CX283="","",OFFSET(Biblioteca!$G$2,MATCH(CX283,Biblioteca!$A$3:$A$200,0),)*(1.05^(10-DE283)))</f>
        <v/>
      </c>
      <c r="DJ283" s="618"/>
      <c r="DK283" s="579"/>
    </row>
    <row r="284" ht="14.25" hidden="1" customHeight="1">
      <c r="A284" s="492" t="str">
        <f>"S "&amp;$AD252&amp;" - "&amp;TEXT(C262,"dd/mm")</f>
        <v>S 6 - 16/02</v>
      </c>
      <c r="B284" s="592" t="s">
        <v>308</v>
      </c>
      <c r="C284" s="668" t="str">
        <f>OFFSET('Periodização Macrociclo'!$D$8,0,MATCH(C252,'Periodização Macrociclo'!$D$4:$BP$4,0))</f>
        <v>Potência</v>
      </c>
      <c r="D284" s="60"/>
      <c r="E284" s="60"/>
      <c r="F284" s="60"/>
      <c r="G284" s="60"/>
      <c r="H284" s="61"/>
      <c r="I284" s="669"/>
      <c r="J284" s="505"/>
      <c r="K284" s="608">
        <f t="shared" si="167"/>
        <v>1</v>
      </c>
      <c r="L284" s="619"/>
      <c r="Q284" s="620"/>
      <c r="R284" s="618"/>
      <c r="S284" s="618"/>
      <c r="T284" s="618"/>
      <c r="U284" s="618"/>
      <c r="V284" s="618"/>
      <c r="W284" s="617" t="str">
        <f>IF(L284="","",OFFSET(Biblioteca!$G$2,MATCH(L284,Biblioteca!$A$3:$A$200,0),)*(1.05^(10-S284)))</f>
        <v/>
      </c>
      <c r="X284" s="618"/>
      <c r="Y284" s="579"/>
      <c r="Z284" s="608">
        <f t="shared" si="168"/>
        <v>1</v>
      </c>
      <c r="AA284" s="619"/>
      <c r="AF284" s="620"/>
      <c r="AG284" s="618"/>
      <c r="AH284" s="618"/>
      <c r="AI284" s="618"/>
      <c r="AJ284" s="618"/>
      <c r="AK284" s="618"/>
      <c r="AL284" s="617" t="str">
        <f>IF(AA284="","",OFFSET(Biblioteca!$G$2,MATCH(AA284,Biblioteca!$A$3:$A$200,0),)*(1.05^(10-AH284)))</f>
        <v/>
      </c>
      <c r="AM284" s="618"/>
      <c r="AN284" s="579"/>
      <c r="AO284" s="608">
        <f t="shared" si="169"/>
        <v>1</v>
      </c>
      <c r="AP284" s="619"/>
      <c r="AU284" s="620"/>
      <c r="AV284" s="618"/>
      <c r="AW284" s="618"/>
      <c r="AX284" s="618"/>
      <c r="AY284" s="618"/>
      <c r="AZ284" s="618"/>
      <c r="BA284" s="617" t="str">
        <f>IF(AP284="","",OFFSET(Biblioteca!$G$2,MATCH(AP284,Biblioteca!$A$3:$A$200,0),)*(1.05^(10-AW284)))</f>
        <v/>
      </c>
      <c r="BB284" s="618"/>
      <c r="BC284" s="579"/>
      <c r="BD284" s="608">
        <f t="shared" si="170"/>
        <v>1</v>
      </c>
      <c r="BE284" s="619"/>
      <c r="BJ284" s="620"/>
      <c r="BK284" s="618"/>
      <c r="BL284" s="618"/>
      <c r="BM284" s="618"/>
      <c r="BN284" s="618"/>
      <c r="BO284" s="618"/>
      <c r="BP284" s="617" t="str">
        <f>IF(BE284="","",OFFSET(Biblioteca!$G$2,MATCH(BE284,Biblioteca!$A$3:$A$200,0),)*(1.05^(10-BL284)))</f>
        <v/>
      </c>
      <c r="BQ284" s="618"/>
      <c r="BR284" s="579"/>
      <c r="BS284" s="608">
        <f t="shared" si="171"/>
        <v>1</v>
      </c>
      <c r="BT284" s="619"/>
      <c r="BY284" s="620"/>
      <c r="BZ284" s="618"/>
      <c r="CA284" s="618"/>
      <c r="CB284" s="618"/>
      <c r="CC284" s="618"/>
      <c r="CD284" s="618"/>
      <c r="CE284" s="617" t="str">
        <f>IF(BT284="","",OFFSET(Biblioteca!$G$2,MATCH(BT284,Biblioteca!$A$3:$A$200,0),)*(1.05^(10-CA284)))</f>
        <v/>
      </c>
      <c r="CF284" s="618"/>
      <c r="CG284" s="579"/>
      <c r="CH284" s="608">
        <f t="shared" si="172"/>
        <v>1</v>
      </c>
      <c r="CI284" s="619"/>
      <c r="CN284" s="620"/>
      <c r="CO284" s="618"/>
      <c r="CP284" s="618"/>
      <c r="CQ284" s="618"/>
      <c r="CR284" s="618"/>
      <c r="CS284" s="618"/>
      <c r="CT284" s="617" t="str">
        <f>IF(CI284="","",OFFSET(Biblioteca!$G$2,MATCH(CI284,Biblioteca!$A$3:$A$200,0),)*(1.05^(10-CP284)))</f>
        <v/>
      </c>
      <c r="CU284" s="618"/>
      <c r="CV284" s="579"/>
      <c r="CW284" s="608">
        <f t="shared" si="173"/>
        <v>1</v>
      </c>
      <c r="CX284" s="619"/>
      <c r="DC284" s="620"/>
      <c r="DD284" s="618"/>
      <c r="DE284" s="618"/>
      <c r="DF284" s="618"/>
      <c r="DG284" s="618"/>
      <c r="DH284" s="618"/>
      <c r="DI284" s="617" t="str">
        <f>IF(CX284="","",OFFSET(Biblioteca!$G$2,MATCH(CX284,Biblioteca!$A$3:$A$200,0),)*(1.05^(10-DE284)))</f>
        <v/>
      </c>
      <c r="DJ284" s="618"/>
      <c r="DK284" s="579"/>
    </row>
    <row r="285" ht="14.25" hidden="1" customHeight="1">
      <c r="A285" s="492" t="str">
        <f>"S "&amp;$AD252&amp;" - "&amp;TEXT(C262,"dd/mm")</f>
        <v>S 6 - 16/02</v>
      </c>
      <c r="B285" s="647" t="s">
        <v>309</v>
      </c>
      <c r="C285" s="668" t="str">
        <f>'Anotações gerais'!$B$5</f>
        <v/>
      </c>
      <c r="D285" s="60"/>
      <c r="E285" s="60"/>
      <c r="F285" s="60"/>
      <c r="G285" s="60"/>
      <c r="H285" s="61"/>
      <c r="I285" s="669"/>
      <c r="J285" s="505"/>
      <c r="K285" s="608">
        <f t="shared" si="167"/>
        <v>1</v>
      </c>
      <c r="L285" s="619"/>
      <c r="Q285" s="620"/>
      <c r="R285" s="618"/>
      <c r="S285" s="618"/>
      <c r="T285" s="618"/>
      <c r="U285" s="618"/>
      <c r="V285" s="618"/>
      <c r="W285" s="617" t="str">
        <f>IF(L285="","",OFFSET(Biblioteca!$G$2,MATCH(L285,Biblioteca!$A$3:$A$200,0),)*(1.05^(10-S285)))</f>
        <v/>
      </c>
      <c r="X285" s="618"/>
      <c r="Y285" s="604"/>
      <c r="Z285" s="608">
        <f t="shared" si="168"/>
        <v>1</v>
      </c>
      <c r="AA285" s="619"/>
      <c r="AF285" s="620"/>
      <c r="AG285" s="618"/>
      <c r="AH285" s="618"/>
      <c r="AI285" s="618"/>
      <c r="AJ285" s="618"/>
      <c r="AK285" s="618"/>
      <c r="AL285" s="617" t="str">
        <f>IF(AA285="","",OFFSET(Biblioteca!$G$2,MATCH(AA285,Biblioteca!$A$3:$A$200,0),)*(1.05^(10-AH285)))</f>
        <v/>
      </c>
      <c r="AM285" s="618"/>
      <c r="AN285" s="604"/>
      <c r="AO285" s="608">
        <f t="shared" si="169"/>
        <v>1</v>
      </c>
      <c r="AP285" s="619"/>
      <c r="AU285" s="620"/>
      <c r="AV285" s="618"/>
      <c r="AW285" s="618"/>
      <c r="AX285" s="618"/>
      <c r="AY285" s="618"/>
      <c r="AZ285" s="618"/>
      <c r="BA285" s="617" t="str">
        <f>IF(AP285="","",OFFSET(Biblioteca!$G$2,MATCH(AP285,Biblioteca!$A$3:$A$200,0),)*(1.05^(10-AW285)))</f>
        <v/>
      </c>
      <c r="BB285" s="618"/>
      <c r="BC285" s="604"/>
      <c r="BD285" s="608">
        <f t="shared" si="170"/>
        <v>1</v>
      </c>
      <c r="BE285" s="619"/>
      <c r="BJ285" s="620"/>
      <c r="BK285" s="618"/>
      <c r="BL285" s="618"/>
      <c r="BM285" s="618"/>
      <c r="BN285" s="618"/>
      <c r="BO285" s="618"/>
      <c r="BP285" s="617" t="str">
        <f>IF(BE285="","",OFFSET(Biblioteca!$G$2,MATCH(BE285,Biblioteca!$A$3:$A$200,0),)*(1.05^(10-BL285)))</f>
        <v/>
      </c>
      <c r="BQ285" s="618"/>
      <c r="BR285" s="604"/>
      <c r="BS285" s="608">
        <f t="shared" si="171"/>
        <v>1</v>
      </c>
      <c r="BT285" s="619"/>
      <c r="BY285" s="620"/>
      <c r="BZ285" s="618"/>
      <c r="CA285" s="618"/>
      <c r="CB285" s="618"/>
      <c r="CC285" s="618"/>
      <c r="CD285" s="618"/>
      <c r="CE285" s="617" t="str">
        <f>IF(BT285="","",OFFSET(Biblioteca!$G$2,MATCH(BT285,Biblioteca!$A$3:$A$200,0),)*(1.05^(10-CA285)))</f>
        <v/>
      </c>
      <c r="CF285" s="618"/>
      <c r="CG285" s="604"/>
      <c r="CH285" s="608">
        <f t="shared" si="172"/>
        <v>1</v>
      </c>
      <c r="CI285" s="619"/>
      <c r="CN285" s="620"/>
      <c r="CO285" s="618"/>
      <c r="CP285" s="618"/>
      <c r="CQ285" s="618"/>
      <c r="CR285" s="618"/>
      <c r="CS285" s="618"/>
      <c r="CT285" s="617" t="str">
        <f>IF(CI285="","",OFFSET(Biblioteca!$G$2,MATCH(CI285,Biblioteca!$A$3:$A$200,0),)*(1.05^(10-CP285)))</f>
        <v/>
      </c>
      <c r="CU285" s="618"/>
      <c r="CV285" s="604"/>
      <c r="CW285" s="608">
        <f t="shared" si="173"/>
        <v>1</v>
      </c>
      <c r="CX285" s="619"/>
      <c r="DC285" s="620"/>
      <c r="DD285" s="618"/>
      <c r="DE285" s="618"/>
      <c r="DF285" s="618"/>
      <c r="DG285" s="618"/>
      <c r="DH285" s="618"/>
      <c r="DI285" s="617" t="str">
        <f>IF(CX285="","",OFFSET(Biblioteca!$G$2,MATCH(CX285,Biblioteca!$A$3:$A$200,0),)*(1.05^(10-DE285)))</f>
        <v/>
      </c>
      <c r="DJ285" s="618"/>
      <c r="DK285" s="604"/>
    </row>
    <row r="286" ht="14.25" hidden="1" customHeight="1">
      <c r="A286" s="492" t="str">
        <f>"S "&amp;$AD252&amp;" - "&amp;TEXT(C262,"dd/mm")</f>
        <v>S 6 - 16/02</v>
      </c>
      <c r="B286" s="647" t="s">
        <v>310</v>
      </c>
      <c r="C286" s="668" t="str">
        <f>'Anotações gerais'!$B$6</f>
        <v/>
      </c>
      <c r="D286" s="60"/>
      <c r="E286" s="60"/>
      <c r="F286" s="60"/>
      <c r="G286" s="60"/>
      <c r="H286" s="61"/>
      <c r="I286" s="669"/>
      <c r="J286" s="505"/>
      <c r="K286" s="608">
        <f t="shared" si="167"/>
        <v>1</v>
      </c>
      <c r="L286" s="619"/>
      <c r="Q286" s="620"/>
      <c r="R286" s="618"/>
      <c r="S286" s="618"/>
      <c r="T286" s="618"/>
      <c r="U286" s="618"/>
      <c r="V286" s="618"/>
      <c r="W286" s="617" t="str">
        <f>IF(L286="","",OFFSET(Biblioteca!$G$2,MATCH(L286,Biblioteca!$A$3:$A$200,0),)*(1.05^(10-S286)))</f>
        <v/>
      </c>
      <c r="X286" s="618"/>
      <c r="Y286" s="579"/>
      <c r="Z286" s="608">
        <f t="shared" si="168"/>
        <v>1</v>
      </c>
      <c r="AA286" s="619"/>
      <c r="AF286" s="620"/>
      <c r="AG286" s="618"/>
      <c r="AH286" s="618"/>
      <c r="AI286" s="618"/>
      <c r="AJ286" s="618"/>
      <c r="AK286" s="618"/>
      <c r="AL286" s="617" t="str">
        <f>IF(AA286="","",OFFSET(Biblioteca!$G$2,MATCH(AA286,Biblioteca!$A$3:$A$200,0),)*(1.05^(10-AH286)))</f>
        <v/>
      </c>
      <c r="AM286" s="618"/>
      <c r="AN286" s="579"/>
      <c r="AO286" s="608">
        <f t="shared" si="169"/>
        <v>1</v>
      </c>
      <c r="AP286" s="619"/>
      <c r="AU286" s="620"/>
      <c r="AV286" s="618"/>
      <c r="AW286" s="618"/>
      <c r="AX286" s="618"/>
      <c r="AY286" s="618"/>
      <c r="AZ286" s="618"/>
      <c r="BA286" s="617" t="str">
        <f>IF(AP286="","",OFFSET(Biblioteca!$G$2,MATCH(AP286,Biblioteca!$A$3:$A$200,0),)*(1.05^(10-AW286)))</f>
        <v/>
      </c>
      <c r="BB286" s="618"/>
      <c r="BC286" s="579"/>
      <c r="BD286" s="608">
        <f t="shared" si="170"/>
        <v>1</v>
      </c>
      <c r="BE286" s="619"/>
      <c r="BJ286" s="620"/>
      <c r="BK286" s="618"/>
      <c r="BL286" s="618"/>
      <c r="BM286" s="618"/>
      <c r="BN286" s="618"/>
      <c r="BO286" s="618"/>
      <c r="BP286" s="617" t="str">
        <f>IF(BE286="","",OFFSET(Biblioteca!$G$2,MATCH(BE286,Biblioteca!$A$3:$A$200,0),)*(1.05^(10-BL286)))</f>
        <v/>
      </c>
      <c r="BQ286" s="618"/>
      <c r="BR286" s="579"/>
      <c r="BS286" s="608">
        <f t="shared" si="171"/>
        <v>1</v>
      </c>
      <c r="BT286" s="619"/>
      <c r="BY286" s="620"/>
      <c r="BZ286" s="618"/>
      <c r="CA286" s="618"/>
      <c r="CB286" s="618"/>
      <c r="CC286" s="618"/>
      <c r="CD286" s="618"/>
      <c r="CE286" s="617" t="str">
        <f>IF(BT286="","",OFFSET(Biblioteca!$G$2,MATCH(BT286,Biblioteca!$A$3:$A$200,0),)*(1.05^(10-CA286)))</f>
        <v/>
      </c>
      <c r="CF286" s="618"/>
      <c r="CG286" s="579"/>
      <c r="CH286" s="608">
        <f t="shared" si="172"/>
        <v>1</v>
      </c>
      <c r="CI286" s="619"/>
      <c r="CN286" s="620"/>
      <c r="CO286" s="618"/>
      <c r="CP286" s="618"/>
      <c r="CQ286" s="618"/>
      <c r="CR286" s="618"/>
      <c r="CS286" s="618"/>
      <c r="CT286" s="617" t="str">
        <f>IF(CI286="","",OFFSET(Biblioteca!$G$2,MATCH(CI286,Biblioteca!$A$3:$A$200,0),)*(1.05^(10-CP286)))</f>
        <v/>
      </c>
      <c r="CU286" s="618"/>
      <c r="CV286" s="579"/>
      <c r="CW286" s="608">
        <f t="shared" si="173"/>
        <v>1</v>
      </c>
      <c r="CX286" s="619"/>
      <c r="DC286" s="620"/>
      <c r="DD286" s="618"/>
      <c r="DE286" s="618"/>
      <c r="DF286" s="618"/>
      <c r="DG286" s="618"/>
      <c r="DH286" s="618"/>
      <c r="DI286" s="617" t="str">
        <f>IF(CX286="","",OFFSET(Biblioteca!$G$2,MATCH(CX286,Biblioteca!$A$3:$A$200,0),)*(1.05^(10-DE286)))</f>
        <v/>
      </c>
      <c r="DJ286" s="618"/>
      <c r="DK286" s="579"/>
    </row>
    <row r="287" ht="14.25" hidden="1" customHeight="1">
      <c r="A287" s="492" t="str">
        <f>"S "&amp;$AD252&amp;" - "&amp;TEXT(C262,"dd/mm")</f>
        <v>S 6 - 16/02</v>
      </c>
      <c r="B287" s="537"/>
      <c r="C287" s="669"/>
      <c r="D287" s="669"/>
      <c r="E287" s="669"/>
      <c r="F287" s="669"/>
      <c r="G287" s="669"/>
      <c r="H287" s="669"/>
      <c r="I287" s="669"/>
      <c r="J287" s="505"/>
      <c r="K287" s="608">
        <f t="shared" si="167"/>
        <v>1</v>
      </c>
      <c r="L287" s="619"/>
      <c r="Q287" s="620"/>
      <c r="R287" s="618"/>
      <c r="S287" s="618"/>
      <c r="T287" s="618"/>
      <c r="U287" s="618"/>
      <c r="V287" s="618"/>
      <c r="W287" s="617" t="str">
        <f>IF(L287="","",OFFSET(Biblioteca!$G$2,MATCH(L287,Biblioteca!$A$3:$A$200,0),)*(1.05^(10-S287)))</f>
        <v/>
      </c>
      <c r="X287" s="618"/>
      <c r="Y287" s="579"/>
      <c r="Z287" s="608">
        <f t="shared" si="168"/>
        <v>1</v>
      </c>
      <c r="AA287" s="619"/>
      <c r="AF287" s="620"/>
      <c r="AG287" s="618"/>
      <c r="AH287" s="618"/>
      <c r="AI287" s="618"/>
      <c r="AJ287" s="618"/>
      <c r="AK287" s="618"/>
      <c r="AL287" s="617" t="str">
        <f>IF(AA287="","",OFFSET(Biblioteca!$G$2,MATCH(AA287,Biblioteca!$A$3:$A$200,0),)*(1.05^(10-AH287)))</f>
        <v/>
      </c>
      <c r="AM287" s="618"/>
      <c r="AN287" s="579"/>
      <c r="AO287" s="608">
        <f t="shared" si="169"/>
        <v>1</v>
      </c>
      <c r="AP287" s="619"/>
      <c r="AU287" s="620"/>
      <c r="AV287" s="618"/>
      <c r="AW287" s="618"/>
      <c r="AX287" s="618"/>
      <c r="AY287" s="618"/>
      <c r="AZ287" s="618"/>
      <c r="BA287" s="617" t="str">
        <f>IF(AP287="","",OFFSET(Biblioteca!$G$2,MATCH(AP287,Biblioteca!$A$3:$A$200,0),)*(1.05^(10-AW287)))</f>
        <v/>
      </c>
      <c r="BB287" s="618"/>
      <c r="BC287" s="579"/>
      <c r="BD287" s="608">
        <f t="shared" si="170"/>
        <v>1</v>
      </c>
      <c r="BE287" s="619"/>
      <c r="BJ287" s="620"/>
      <c r="BK287" s="618"/>
      <c r="BL287" s="618"/>
      <c r="BM287" s="618"/>
      <c r="BN287" s="618"/>
      <c r="BO287" s="618"/>
      <c r="BP287" s="617" t="str">
        <f>IF(BE287="","",OFFSET(Biblioteca!$G$2,MATCH(BE287,Biblioteca!$A$3:$A$200,0),)*(1.05^(10-BL287)))</f>
        <v/>
      </c>
      <c r="BQ287" s="618"/>
      <c r="BR287" s="579"/>
      <c r="BS287" s="608">
        <f t="shared" si="171"/>
        <v>1</v>
      </c>
      <c r="BT287" s="619"/>
      <c r="BY287" s="620"/>
      <c r="BZ287" s="618"/>
      <c r="CA287" s="618"/>
      <c r="CB287" s="618"/>
      <c r="CC287" s="618"/>
      <c r="CD287" s="618"/>
      <c r="CE287" s="617" t="str">
        <f>IF(BT287="","",OFFSET(Biblioteca!$G$2,MATCH(BT287,Biblioteca!$A$3:$A$200,0),)*(1.05^(10-CA287)))</f>
        <v/>
      </c>
      <c r="CF287" s="618"/>
      <c r="CG287" s="579"/>
      <c r="CH287" s="608">
        <f t="shared" si="172"/>
        <v>1</v>
      </c>
      <c r="CI287" s="619"/>
      <c r="CN287" s="620"/>
      <c r="CO287" s="618"/>
      <c r="CP287" s="618"/>
      <c r="CQ287" s="618"/>
      <c r="CR287" s="618"/>
      <c r="CS287" s="618"/>
      <c r="CT287" s="617" t="str">
        <f>IF(CI287="","",OFFSET(Biblioteca!$G$2,MATCH(CI287,Biblioteca!$A$3:$A$200,0),)*(1.05^(10-CP287)))</f>
        <v/>
      </c>
      <c r="CU287" s="618"/>
      <c r="CV287" s="579"/>
      <c r="CW287" s="608">
        <f t="shared" si="173"/>
        <v>1</v>
      </c>
      <c r="CX287" s="619"/>
      <c r="DC287" s="620"/>
      <c r="DD287" s="618"/>
      <c r="DE287" s="618"/>
      <c r="DF287" s="618"/>
      <c r="DG287" s="618"/>
      <c r="DH287" s="618"/>
      <c r="DI287" s="617" t="str">
        <f>IF(CX287="","",OFFSET(Biblioteca!$G$2,MATCH(CX287,Biblioteca!$A$3:$A$200,0),)*(1.05^(10-DE287)))</f>
        <v/>
      </c>
      <c r="DJ287" s="618"/>
      <c r="DK287" s="579"/>
    </row>
    <row r="288" ht="14.25" hidden="1" customHeight="1">
      <c r="A288" s="492" t="str">
        <f>"S "&amp;$AD252&amp;" - "&amp;TEXT(C262,"dd/mm")</f>
        <v>S 6 - 16/02</v>
      </c>
      <c r="B288" s="537"/>
      <c r="C288" s="669"/>
      <c r="D288" s="669"/>
      <c r="E288" s="669"/>
      <c r="F288" s="669"/>
      <c r="G288" s="669"/>
      <c r="H288" s="669"/>
      <c r="I288" s="669"/>
      <c r="J288" s="505"/>
      <c r="K288" s="608">
        <f t="shared" si="167"/>
        <v>1</v>
      </c>
      <c r="L288" s="619"/>
      <c r="Q288" s="620"/>
      <c r="R288" s="618"/>
      <c r="S288" s="618"/>
      <c r="T288" s="618"/>
      <c r="U288" s="618"/>
      <c r="V288" s="618"/>
      <c r="W288" s="617" t="str">
        <f>IF(L288="","",OFFSET(Biblioteca!$G$2,MATCH(L288,Biblioteca!$A$3:$A$200,0),)*(1.05^(10-S288)))</f>
        <v/>
      </c>
      <c r="X288" s="618"/>
      <c r="Y288" s="579"/>
      <c r="Z288" s="608">
        <f t="shared" si="168"/>
        <v>1</v>
      </c>
      <c r="AA288" s="619"/>
      <c r="AF288" s="620"/>
      <c r="AG288" s="618"/>
      <c r="AH288" s="618"/>
      <c r="AI288" s="618"/>
      <c r="AJ288" s="618"/>
      <c r="AK288" s="618"/>
      <c r="AL288" s="617" t="str">
        <f>IF(AA288="","",OFFSET(Biblioteca!$G$2,MATCH(AA288,Biblioteca!$A$3:$A$200,0),)*(1.05^(10-AH288)))</f>
        <v/>
      </c>
      <c r="AM288" s="618"/>
      <c r="AN288" s="579"/>
      <c r="AO288" s="608">
        <f t="shared" si="169"/>
        <v>1</v>
      </c>
      <c r="AP288" s="619"/>
      <c r="AU288" s="620"/>
      <c r="AV288" s="618"/>
      <c r="AW288" s="618"/>
      <c r="AX288" s="618"/>
      <c r="AY288" s="618"/>
      <c r="AZ288" s="618"/>
      <c r="BA288" s="617" t="str">
        <f>IF(AP288="","",OFFSET(Biblioteca!$G$2,MATCH(AP288,Biblioteca!$A$3:$A$200,0),)*(1.05^(10-AW288)))</f>
        <v/>
      </c>
      <c r="BB288" s="618"/>
      <c r="BC288" s="579"/>
      <c r="BD288" s="608">
        <f t="shared" si="170"/>
        <v>1</v>
      </c>
      <c r="BE288" s="619"/>
      <c r="BJ288" s="620"/>
      <c r="BK288" s="618"/>
      <c r="BL288" s="618"/>
      <c r="BM288" s="618"/>
      <c r="BN288" s="618"/>
      <c r="BO288" s="618"/>
      <c r="BP288" s="617" t="str">
        <f>IF(BE288="","",OFFSET(Biblioteca!$G$2,MATCH(BE288,Biblioteca!$A$3:$A$200,0),)*(1.05^(10-BL288)))</f>
        <v/>
      </c>
      <c r="BQ288" s="618"/>
      <c r="BR288" s="579"/>
      <c r="BS288" s="608">
        <f t="shared" si="171"/>
        <v>1</v>
      </c>
      <c r="BT288" s="619"/>
      <c r="BY288" s="620"/>
      <c r="BZ288" s="618"/>
      <c r="CA288" s="618"/>
      <c r="CB288" s="618"/>
      <c r="CC288" s="618"/>
      <c r="CD288" s="618"/>
      <c r="CE288" s="617" t="str">
        <f>IF(BT288="","",OFFSET(Biblioteca!$G$2,MATCH(BT288,Biblioteca!$A$3:$A$200,0),)*(1.05^(10-CA288)))</f>
        <v/>
      </c>
      <c r="CF288" s="618"/>
      <c r="CG288" s="579"/>
      <c r="CH288" s="608">
        <f t="shared" si="172"/>
        <v>1</v>
      </c>
      <c r="CI288" s="619"/>
      <c r="CN288" s="620"/>
      <c r="CO288" s="618"/>
      <c r="CP288" s="618"/>
      <c r="CQ288" s="618"/>
      <c r="CR288" s="618"/>
      <c r="CS288" s="618"/>
      <c r="CT288" s="617" t="str">
        <f>IF(CI288="","",OFFSET(Biblioteca!$G$2,MATCH(CI288,Biblioteca!$A$3:$A$200,0),)*(1.05^(10-CP288)))</f>
        <v/>
      </c>
      <c r="CU288" s="618"/>
      <c r="CV288" s="579"/>
      <c r="CW288" s="608">
        <f t="shared" si="173"/>
        <v>1</v>
      </c>
      <c r="CX288" s="619"/>
      <c r="DC288" s="620"/>
      <c r="DD288" s="618"/>
      <c r="DE288" s="618"/>
      <c r="DF288" s="618"/>
      <c r="DG288" s="618"/>
      <c r="DH288" s="618"/>
      <c r="DI288" s="617" t="str">
        <f>IF(CX288="","",OFFSET(Biblioteca!$G$2,MATCH(CX288,Biblioteca!$A$3:$A$200,0),)*(1.05^(10-DE288)))</f>
        <v/>
      </c>
      <c r="DJ288" s="618"/>
      <c r="DK288" s="579"/>
    </row>
    <row r="289" ht="14.25" hidden="1" customHeight="1">
      <c r="A289" s="492" t="str">
        <f>"S "&amp;$AD252&amp;" - "&amp;TEXT(C262,"dd/mm")</f>
        <v>S 6 - 16/02</v>
      </c>
      <c r="B289" s="537"/>
      <c r="C289" s="669"/>
      <c r="D289" s="669"/>
      <c r="E289" s="669"/>
      <c r="F289" s="669"/>
      <c r="G289" s="669"/>
      <c r="H289" s="669"/>
      <c r="I289" s="669"/>
      <c r="J289" s="505"/>
      <c r="K289" s="608">
        <f t="shared" si="167"/>
        <v>1</v>
      </c>
      <c r="L289" s="619"/>
      <c r="Q289" s="620"/>
      <c r="R289" s="618"/>
      <c r="S289" s="618"/>
      <c r="T289" s="618"/>
      <c r="U289" s="618"/>
      <c r="V289" s="618"/>
      <c r="W289" s="617" t="str">
        <f>IF(L289="","",OFFSET(Biblioteca!$G$2,MATCH(L289,Biblioteca!$A$3:$A$200,0),)*(1.05^(10-S289)))</f>
        <v/>
      </c>
      <c r="X289" s="618"/>
      <c r="Y289" s="670"/>
      <c r="Z289" s="608">
        <f t="shared" si="168"/>
        <v>1</v>
      </c>
      <c r="AA289" s="619"/>
      <c r="AF289" s="620"/>
      <c r="AG289" s="618"/>
      <c r="AH289" s="618"/>
      <c r="AI289" s="618"/>
      <c r="AJ289" s="618"/>
      <c r="AK289" s="618"/>
      <c r="AL289" s="617" t="str">
        <f>IF(AA289="","",OFFSET(Biblioteca!$G$2,MATCH(AA289,Biblioteca!$A$3:$A$200,0),)*(1.05^(10-AH289)))</f>
        <v/>
      </c>
      <c r="AM289" s="618"/>
      <c r="AN289" s="670"/>
      <c r="AO289" s="608">
        <f t="shared" si="169"/>
        <v>1</v>
      </c>
      <c r="AP289" s="619"/>
      <c r="AU289" s="620"/>
      <c r="AV289" s="618"/>
      <c r="AW289" s="618"/>
      <c r="AX289" s="618"/>
      <c r="AY289" s="618"/>
      <c r="AZ289" s="618"/>
      <c r="BA289" s="617" t="str">
        <f>IF(AP289="","",OFFSET(Biblioteca!$G$2,MATCH(AP289,Biblioteca!$A$3:$A$200,0),)*(1.05^(10-AW289)))</f>
        <v/>
      </c>
      <c r="BB289" s="618"/>
      <c r="BC289" s="670"/>
      <c r="BD289" s="608">
        <f t="shared" si="170"/>
        <v>1</v>
      </c>
      <c r="BE289" s="619"/>
      <c r="BJ289" s="620"/>
      <c r="BK289" s="618"/>
      <c r="BL289" s="618"/>
      <c r="BM289" s="618"/>
      <c r="BN289" s="618"/>
      <c r="BO289" s="618"/>
      <c r="BP289" s="617" t="str">
        <f>IF(BE289="","",OFFSET(Biblioteca!$G$2,MATCH(BE289,Biblioteca!$A$3:$A$200,0),)*(1.05^(10-BL289)))</f>
        <v/>
      </c>
      <c r="BQ289" s="618"/>
      <c r="BR289" s="670"/>
      <c r="BS289" s="608">
        <f t="shared" si="171"/>
        <v>1</v>
      </c>
      <c r="BT289" s="619"/>
      <c r="BY289" s="620"/>
      <c r="BZ289" s="618"/>
      <c r="CA289" s="618"/>
      <c r="CB289" s="618"/>
      <c r="CC289" s="618"/>
      <c r="CD289" s="618"/>
      <c r="CE289" s="617" t="str">
        <f>IF(BT289="","",OFFSET(Biblioteca!$G$2,MATCH(BT289,Biblioteca!$A$3:$A$200,0),)*(1.05^(10-CA289)))</f>
        <v/>
      </c>
      <c r="CF289" s="618"/>
      <c r="CG289" s="670"/>
      <c r="CH289" s="608">
        <f t="shared" si="172"/>
        <v>1</v>
      </c>
      <c r="CI289" s="619"/>
      <c r="CN289" s="620"/>
      <c r="CO289" s="618"/>
      <c r="CP289" s="618"/>
      <c r="CQ289" s="618"/>
      <c r="CR289" s="618"/>
      <c r="CS289" s="618"/>
      <c r="CT289" s="617" t="str">
        <f>IF(CI289="","",OFFSET(Biblioteca!$G$2,MATCH(CI289,Biblioteca!$A$3:$A$200,0),)*(1.05^(10-CP289)))</f>
        <v/>
      </c>
      <c r="CU289" s="618"/>
      <c r="CV289" s="670"/>
      <c r="CW289" s="608">
        <f t="shared" si="173"/>
        <v>1</v>
      </c>
      <c r="CX289" s="619"/>
      <c r="DC289" s="620"/>
      <c r="DD289" s="618"/>
      <c r="DE289" s="618"/>
      <c r="DF289" s="618"/>
      <c r="DG289" s="618"/>
      <c r="DH289" s="618"/>
      <c r="DI289" s="617" t="str">
        <f>IF(CX289="","",OFFSET(Biblioteca!$G$2,MATCH(CX289,Biblioteca!$A$3:$A$200,0),)*(1.05^(10-DE289)))</f>
        <v/>
      </c>
      <c r="DJ289" s="618"/>
      <c r="DK289" s="670"/>
    </row>
    <row r="290" ht="14.25" hidden="1" customHeight="1">
      <c r="A290" s="492" t="str">
        <f>"S "&amp;$AD252&amp;" - "&amp;TEXT(C262,"dd/mm")</f>
        <v>S 6 - 16/02</v>
      </c>
      <c r="B290" s="537"/>
      <c r="C290" s="669"/>
      <c r="D290" s="669"/>
      <c r="E290" s="669"/>
      <c r="F290" s="669"/>
      <c r="G290" s="669"/>
      <c r="H290" s="669"/>
      <c r="I290" s="669"/>
      <c r="J290" s="505"/>
      <c r="K290" s="608">
        <f t="shared" si="167"/>
        <v>1</v>
      </c>
      <c r="L290" s="619"/>
      <c r="Q290" s="620"/>
      <c r="R290" s="618"/>
      <c r="S290" s="618"/>
      <c r="T290" s="618"/>
      <c r="U290" s="618"/>
      <c r="V290" s="618"/>
      <c r="W290" s="617" t="str">
        <f>IF(L290="","",OFFSET(Biblioteca!$G$2,MATCH(L290,Biblioteca!$A$3:$A$200,0),)*(1.05^(10-S290)))</f>
        <v/>
      </c>
      <c r="X290" s="618"/>
      <c r="Y290" s="670"/>
      <c r="Z290" s="608">
        <f t="shared" si="168"/>
        <v>1</v>
      </c>
      <c r="AA290" s="619"/>
      <c r="AF290" s="620"/>
      <c r="AG290" s="618"/>
      <c r="AH290" s="618"/>
      <c r="AI290" s="618"/>
      <c r="AJ290" s="618"/>
      <c r="AK290" s="618"/>
      <c r="AL290" s="617" t="str">
        <f>IF(AA290="","",OFFSET(Biblioteca!$G$2,MATCH(AA290,Biblioteca!$A$3:$A$200,0),)*(1.05^(10-AH290)))</f>
        <v/>
      </c>
      <c r="AM290" s="618"/>
      <c r="AN290" s="670"/>
      <c r="AO290" s="608">
        <f t="shared" si="169"/>
        <v>1</v>
      </c>
      <c r="AP290" s="619"/>
      <c r="AU290" s="620"/>
      <c r="AV290" s="618"/>
      <c r="AW290" s="618"/>
      <c r="AX290" s="618"/>
      <c r="AY290" s="618"/>
      <c r="AZ290" s="618"/>
      <c r="BA290" s="617" t="str">
        <f>IF(AP290="","",OFFSET(Biblioteca!$G$2,MATCH(AP290,Biblioteca!$A$3:$A$200,0),)*(1.05^(10-AW290)))</f>
        <v/>
      </c>
      <c r="BB290" s="618"/>
      <c r="BC290" s="670"/>
      <c r="BD290" s="608">
        <f t="shared" si="170"/>
        <v>1</v>
      </c>
      <c r="BE290" s="619"/>
      <c r="BJ290" s="620"/>
      <c r="BK290" s="618"/>
      <c r="BL290" s="618"/>
      <c r="BM290" s="618"/>
      <c r="BN290" s="618"/>
      <c r="BO290" s="618"/>
      <c r="BP290" s="617" t="str">
        <f>IF(BE290="","",OFFSET(Biblioteca!$G$2,MATCH(BE290,Biblioteca!$A$3:$A$200,0),)*(1.05^(10-BL290)))</f>
        <v/>
      </c>
      <c r="BQ290" s="618"/>
      <c r="BR290" s="670"/>
      <c r="BS290" s="608">
        <f t="shared" si="171"/>
        <v>1</v>
      </c>
      <c r="BT290" s="619"/>
      <c r="BY290" s="620"/>
      <c r="BZ290" s="618"/>
      <c r="CA290" s="618"/>
      <c r="CB290" s="618"/>
      <c r="CC290" s="618"/>
      <c r="CD290" s="618"/>
      <c r="CE290" s="617" t="str">
        <f>IF(BT290="","",OFFSET(Biblioteca!$G$2,MATCH(BT290,Biblioteca!$A$3:$A$200,0),)*(1.05^(10-CA290)))</f>
        <v/>
      </c>
      <c r="CF290" s="618"/>
      <c r="CG290" s="670"/>
      <c r="CH290" s="608">
        <f t="shared" si="172"/>
        <v>1</v>
      </c>
      <c r="CI290" s="619"/>
      <c r="CN290" s="620"/>
      <c r="CO290" s="618"/>
      <c r="CP290" s="618"/>
      <c r="CQ290" s="618"/>
      <c r="CR290" s="618"/>
      <c r="CS290" s="618"/>
      <c r="CT290" s="617" t="str">
        <f>IF(CI290="","",OFFSET(Biblioteca!$G$2,MATCH(CI290,Biblioteca!$A$3:$A$200,0),)*(1.05^(10-CP290)))</f>
        <v/>
      </c>
      <c r="CU290" s="618"/>
      <c r="CV290" s="670"/>
      <c r="CW290" s="608">
        <f t="shared" si="173"/>
        <v>1</v>
      </c>
      <c r="CX290" s="619"/>
      <c r="DC290" s="620"/>
      <c r="DD290" s="618"/>
      <c r="DE290" s="618"/>
      <c r="DF290" s="618"/>
      <c r="DG290" s="618"/>
      <c r="DH290" s="618"/>
      <c r="DI290" s="617" t="str">
        <f>IF(CX290="","",OFFSET(Biblioteca!$G$2,MATCH(CX290,Biblioteca!$A$3:$A$200,0),)*(1.05^(10-DE290)))</f>
        <v/>
      </c>
      <c r="DJ290" s="618"/>
      <c r="DK290" s="670"/>
    </row>
    <row r="291" ht="14.25" hidden="1" customHeight="1">
      <c r="A291" s="492" t="str">
        <f>"S "&amp;$AD252&amp;" - "&amp;TEXT(C262,"dd/mm")</f>
        <v>S 6 - 16/02</v>
      </c>
      <c r="B291" s="537"/>
      <c r="C291" s="669"/>
      <c r="D291" s="669"/>
      <c r="E291" s="669"/>
      <c r="F291" s="669"/>
      <c r="G291" s="669"/>
      <c r="H291" s="669"/>
      <c r="I291" s="669"/>
      <c r="J291" s="505"/>
      <c r="K291" s="581"/>
      <c r="L291" s="581"/>
      <c r="M291" s="581"/>
      <c r="N291" s="581"/>
      <c r="O291" s="581"/>
      <c r="P291" s="627" t="s">
        <v>48</v>
      </c>
      <c r="Q291" s="627"/>
      <c r="R291" s="627"/>
      <c r="S291" s="627"/>
      <c r="T291" s="627"/>
      <c r="U291" s="627"/>
      <c r="V291" s="627"/>
      <c r="W291" s="627"/>
      <c r="X291" s="627"/>
      <c r="Y291" s="627"/>
      <c r="Z291" s="581"/>
      <c r="AA291" s="581"/>
      <c r="AB291" s="581"/>
      <c r="AC291" s="581"/>
      <c r="AD291" s="581"/>
      <c r="AE291" s="627" t="s">
        <v>48</v>
      </c>
      <c r="AF291" s="627"/>
      <c r="AG291" s="627"/>
      <c r="AH291" s="627"/>
      <c r="AI291" s="627"/>
      <c r="AJ291" s="627"/>
      <c r="AK291" s="627"/>
      <c r="AL291" s="627"/>
      <c r="AM291" s="627"/>
      <c r="AN291" s="670"/>
      <c r="AO291" s="581"/>
      <c r="AP291" s="581"/>
      <c r="AQ291" s="581"/>
      <c r="AR291" s="581"/>
      <c r="AS291" s="581"/>
      <c r="AT291" s="627" t="s">
        <v>48</v>
      </c>
      <c r="AU291" s="627"/>
      <c r="AV291" s="627"/>
      <c r="AW291" s="627"/>
      <c r="AX291" s="627"/>
      <c r="AY291" s="627"/>
      <c r="AZ291" s="627"/>
      <c r="BA291" s="627"/>
      <c r="BB291" s="627"/>
      <c r="BC291" s="671"/>
      <c r="BD291" s="581"/>
      <c r="BE291" s="581"/>
      <c r="BF291" s="581"/>
      <c r="BG291" s="581"/>
      <c r="BH291" s="581"/>
      <c r="BI291" s="627" t="s">
        <v>48</v>
      </c>
      <c r="BJ291" s="627"/>
      <c r="BK291" s="627"/>
      <c r="BL291" s="627"/>
      <c r="BM291" s="627"/>
      <c r="BN291" s="627"/>
      <c r="BO291" s="627"/>
      <c r="BP291" s="627"/>
      <c r="BQ291" s="627"/>
      <c r="BR291" s="671"/>
      <c r="BS291" s="581"/>
      <c r="BT291" s="581"/>
      <c r="BU291" s="581"/>
      <c r="BV291" s="581"/>
      <c r="BW291" s="581"/>
      <c r="BX291" s="627" t="s">
        <v>48</v>
      </c>
      <c r="BY291" s="627"/>
      <c r="BZ291" s="627"/>
      <c r="CA291" s="627"/>
      <c r="CB291" s="627"/>
      <c r="CC291" s="627"/>
      <c r="CD291" s="627"/>
      <c r="CE291" s="627"/>
      <c r="CF291" s="627"/>
      <c r="CG291" s="671"/>
      <c r="CH291" s="581"/>
      <c r="CI291" s="581"/>
      <c r="CJ291" s="581"/>
      <c r="CK291" s="581"/>
      <c r="CL291" s="581"/>
      <c r="CM291" s="627" t="s">
        <v>48</v>
      </c>
      <c r="CN291" s="627"/>
      <c r="CO291" s="627"/>
      <c r="CP291" s="627"/>
      <c r="CQ291" s="627"/>
      <c r="CR291" s="627"/>
      <c r="CS291" s="627"/>
      <c r="CT291" s="627"/>
      <c r="CU291" s="627"/>
      <c r="CV291" s="671"/>
      <c r="CW291" s="581"/>
      <c r="CX291" s="581"/>
      <c r="CY291" s="581"/>
      <c r="CZ291" s="581"/>
      <c r="DA291" s="581"/>
      <c r="DB291" s="627" t="s">
        <v>48</v>
      </c>
      <c r="DC291" s="627"/>
      <c r="DD291" s="627"/>
      <c r="DE291" s="627"/>
      <c r="DF291" s="627"/>
      <c r="DG291" s="627"/>
      <c r="DH291" s="627"/>
      <c r="DI291" s="627"/>
      <c r="DJ291" s="627"/>
      <c r="DK291" s="670"/>
    </row>
    <row r="292" ht="14.25" hidden="1" customHeight="1">
      <c r="A292" s="492" t="str">
        <f>"S "&amp;$AD252&amp;" - "&amp;TEXT(C262,"dd/mm")</f>
        <v>S 6 - 16/02</v>
      </c>
      <c r="B292" s="673"/>
      <c r="C292" s="672"/>
      <c r="D292" s="672"/>
      <c r="E292" s="672"/>
      <c r="F292" s="672"/>
      <c r="G292" s="672"/>
      <c r="H292" s="672"/>
      <c r="I292" s="672"/>
      <c r="J292" s="505"/>
      <c r="K292" s="608">
        <v>1.0</v>
      </c>
      <c r="L292" s="619"/>
      <c r="Q292" s="620"/>
      <c r="R292" s="618"/>
      <c r="S292" s="618"/>
      <c r="T292" s="618"/>
      <c r="U292" s="618"/>
      <c r="V292" s="618"/>
      <c r="W292" s="617" t="str">
        <f>IF(L292="","",OFFSET(Biblioteca!$G$2,MATCH(L292,Biblioteca!$A$3:$A$200,0),)*(1.05^(10-S292)))</f>
        <v/>
      </c>
      <c r="X292" s="618"/>
      <c r="Y292" s="670"/>
      <c r="Z292" s="608">
        <v>1.0</v>
      </c>
      <c r="AA292" s="619"/>
      <c r="AF292" s="620"/>
      <c r="AG292" s="618"/>
      <c r="AH292" s="618"/>
      <c r="AI292" s="618"/>
      <c r="AJ292" s="618"/>
      <c r="AK292" s="618"/>
      <c r="AL292" s="617" t="str">
        <f>IF(AA292="","",OFFSET(Biblioteca!$G$2,MATCH(AA292,Biblioteca!$A$3:$A$200,0),)*(1.05^(10-AH292)))</f>
        <v/>
      </c>
      <c r="AM292" s="618"/>
      <c r="AN292" s="670"/>
      <c r="AO292" s="608">
        <v>1.0</v>
      </c>
      <c r="AP292" s="619"/>
      <c r="AU292" s="620"/>
      <c r="AV292" s="618"/>
      <c r="AW292" s="618"/>
      <c r="AX292" s="618"/>
      <c r="AY292" s="618"/>
      <c r="AZ292" s="618"/>
      <c r="BA292" s="617" t="str">
        <f>IF(AP292="","",OFFSET(Biblioteca!$G$2,MATCH(AP292,Biblioteca!$A$3:$A$200,0),)*(1.05^(10-AW292)))</f>
        <v/>
      </c>
      <c r="BB292" s="618"/>
      <c r="BC292" s="670"/>
      <c r="BD292" s="608">
        <v>1.0</v>
      </c>
      <c r="BE292" s="619"/>
      <c r="BJ292" s="620"/>
      <c r="BK292" s="618"/>
      <c r="BL292" s="618"/>
      <c r="BM292" s="618"/>
      <c r="BN292" s="618"/>
      <c r="BO292" s="618"/>
      <c r="BP292" s="617" t="str">
        <f>IF(BE292="","",OFFSET(Biblioteca!$G$2,MATCH(BE292,Biblioteca!$A$3:$A$200,0),)*(1.05^(10-BL292)))</f>
        <v/>
      </c>
      <c r="BQ292" s="618"/>
      <c r="BR292" s="670"/>
      <c r="BS292" s="608">
        <v>1.0</v>
      </c>
      <c r="BT292" s="619"/>
      <c r="BY292" s="620"/>
      <c r="BZ292" s="618"/>
      <c r="CA292" s="618"/>
      <c r="CB292" s="618"/>
      <c r="CC292" s="618"/>
      <c r="CD292" s="618"/>
      <c r="CE292" s="617" t="str">
        <f>IF(BT292="","",OFFSET(Biblioteca!$G$2,MATCH(BT292,Biblioteca!$A$3:$A$200,0),)*(1.05^(10-CA292)))</f>
        <v/>
      </c>
      <c r="CF292" s="618"/>
      <c r="CG292" s="670"/>
      <c r="CH292" s="608">
        <v>1.0</v>
      </c>
      <c r="CI292" s="619"/>
      <c r="CN292" s="620"/>
      <c r="CO292" s="618"/>
      <c r="CP292" s="618"/>
      <c r="CQ292" s="618"/>
      <c r="CR292" s="618"/>
      <c r="CS292" s="618"/>
      <c r="CT292" s="617" t="str">
        <f>IF(CI292="","",OFFSET(Biblioteca!$G$2,MATCH(CI292,Biblioteca!$A$3:$A$200,0),)*(1.05^(10-CP292)))</f>
        <v/>
      </c>
      <c r="CU292" s="618"/>
      <c r="CV292" s="670"/>
      <c r="CW292" s="608">
        <v>1.0</v>
      </c>
      <c r="CX292" s="619"/>
      <c r="DC292" s="620"/>
      <c r="DD292" s="618"/>
      <c r="DE292" s="618"/>
      <c r="DF292" s="618"/>
      <c r="DG292" s="618"/>
      <c r="DH292" s="618"/>
      <c r="DI292" s="617" t="str">
        <f>IF(CX292="","",OFFSET(Biblioteca!$G$2,MATCH(CX292,Biblioteca!$A$3:$A$200,0),)*(1.05^(10-DE292)))</f>
        <v/>
      </c>
      <c r="DJ292" s="618"/>
      <c r="DK292" s="670"/>
    </row>
    <row r="293" ht="14.25" hidden="1" customHeight="1">
      <c r="A293" s="492" t="str">
        <f>"S "&amp;$AD252&amp;" - "&amp;TEXT(C262,"dd/mm")</f>
        <v>S 6 - 16/02</v>
      </c>
      <c r="B293" s="673">
        <f>MAX(C293:I293)</f>
        <v>0</v>
      </c>
      <c r="C293" s="674">
        <f>IF(C264=0,0,1)</f>
        <v>0</v>
      </c>
      <c r="D293" s="674">
        <f>IF(D264=0,0,C293+1)</f>
        <v>0</v>
      </c>
      <c r="E293" s="674">
        <f>IF(E264=0,0,MAX(C293:D293)+1)</f>
        <v>0</v>
      </c>
      <c r="F293" s="674">
        <f>IF(F264=0,0,MAX(C293:E293)+1)</f>
        <v>0</v>
      </c>
      <c r="G293" s="674">
        <f>IF(G264=0,0,MAX(C293:F293)+1)</f>
        <v>0</v>
      </c>
      <c r="H293" s="674">
        <f>IF(H264=0,0,MAX(C293:G293)+1)</f>
        <v>0</v>
      </c>
      <c r="I293" s="674">
        <f>IF(I264=0,0,MAX(C293:H293)+1)</f>
        <v>0</v>
      </c>
      <c r="J293" s="505"/>
      <c r="K293" s="608">
        <f t="shared" ref="K293:K294" si="177">IF(T292="",K292,K292+1)</f>
        <v>1</v>
      </c>
      <c r="L293" s="619"/>
      <c r="Q293" s="620"/>
      <c r="R293" s="618"/>
      <c r="S293" s="618"/>
      <c r="T293" s="618"/>
      <c r="U293" s="618"/>
      <c r="V293" s="618"/>
      <c r="W293" s="617" t="str">
        <f>IF(L293="","",OFFSET(Biblioteca!$G$2,MATCH(L293,Biblioteca!$A$3:$A$200,0),)*(1.05^(10-S293)))</f>
        <v/>
      </c>
      <c r="X293" s="618"/>
      <c r="Y293" s="670"/>
      <c r="Z293" s="608">
        <f t="shared" ref="Z293:Z294" si="178">IF(AI292="",Z292,Z292+1)</f>
        <v>1</v>
      </c>
      <c r="AA293" s="619"/>
      <c r="AF293" s="620"/>
      <c r="AG293" s="618"/>
      <c r="AH293" s="618"/>
      <c r="AI293" s="618"/>
      <c r="AJ293" s="618"/>
      <c r="AK293" s="618"/>
      <c r="AL293" s="617" t="str">
        <f>IF(AA293="","",OFFSET(Biblioteca!$G$2,MATCH(AA293,Biblioteca!$A$3:$A$200,0),)*(1.05^(10-AH293)))</f>
        <v/>
      </c>
      <c r="AM293" s="618"/>
      <c r="AN293" s="670"/>
      <c r="AO293" s="608">
        <f t="shared" ref="AO293:AO294" si="179">IF(AX292="",AO292,AO292+1)</f>
        <v>1</v>
      </c>
      <c r="AP293" s="619"/>
      <c r="AU293" s="620"/>
      <c r="AV293" s="618"/>
      <c r="AW293" s="618"/>
      <c r="AX293" s="618"/>
      <c r="AY293" s="618"/>
      <c r="AZ293" s="618"/>
      <c r="BA293" s="617" t="str">
        <f>IF(AP293="","",OFFSET(Biblioteca!$G$2,MATCH(AP293,Biblioteca!$A$3:$A$200,0),)*(1.05^(10-AW293)))</f>
        <v/>
      </c>
      <c r="BB293" s="618"/>
      <c r="BC293" s="670"/>
      <c r="BD293" s="608">
        <f t="shared" ref="BD293:BD294" si="180">IF(BM292="",BD292,BD292+1)</f>
        <v>1</v>
      </c>
      <c r="BE293" s="619"/>
      <c r="BJ293" s="620"/>
      <c r="BK293" s="618"/>
      <c r="BL293" s="618"/>
      <c r="BM293" s="618"/>
      <c r="BN293" s="618"/>
      <c r="BO293" s="618"/>
      <c r="BP293" s="617" t="str">
        <f>IF(BE293="","",OFFSET(Biblioteca!$G$2,MATCH(BE293,Biblioteca!$A$3:$A$200,0),)*(1.05^(10-BL293)))</f>
        <v/>
      </c>
      <c r="BQ293" s="618"/>
      <c r="BR293" s="670"/>
      <c r="BS293" s="608">
        <f t="shared" ref="BS293:BS294" si="181">IF(CB292="",BS292,BS292+1)</f>
        <v>1</v>
      </c>
      <c r="BT293" s="619"/>
      <c r="BY293" s="620"/>
      <c r="BZ293" s="618"/>
      <c r="CA293" s="618"/>
      <c r="CB293" s="618"/>
      <c r="CC293" s="618"/>
      <c r="CD293" s="618"/>
      <c r="CE293" s="617" t="str">
        <f>IF(BT293="","",OFFSET(Biblioteca!$G$2,MATCH(BT293,Biblioteca!$A$3:$A$200,0),)*(1.05^(10-CA293)))</f>
        <v/>
      </c>
      <c r="CF293" s="618"/>
      <c r="CG293" s="670"/>
      <c r="CH293" s="608">
        <f t="shared" ref="CH293:CH294" si="182">IF(CQ292="",CH292,CH292+1)</f>
        <v>1</v>
      </c>
      <c r="CI293" s="619"/>
      <c r="CN293" s="620"/>
      <c r="CO293" s="618"/>
      <c r="CP293" s="618"/>
      <c r="CQ293" s="618"/>
      <c r="CR293" s="618"/>
      <c r="CS293" s="618"/>
      <c r="CT293" s="617" t="str">
        <f>IF(CI293="","",OFFSET(Biblioteca!$G$2,MATCH(CI293,Biblioteca!$A$3:$A$200,0),)*(1.05^(10-CP293)))</f>
        <v/>
      </c>
      <c r="CU293" s="618"/>
      <c r="CV293" s="670"/>
      <c r="CW293" s="608">
        <f t="shared" ref="CW293:CW294" si="183">IF(DF292="",CW292,CW292+1)</f>
        <v>1</v>
      </c>
      <c r="CX293" s="619"/>
      <c r="DC293" s="620"/>
      <c r="DD293" s="618"/>
      <c r="DE293" s="618"/>
      <c r="DF293" s="618"/>
      <c r="DG293" s="618"/>
      <c r="DH293" s="618"/>
      <c r="DI293" s="617" t="str">
        <f>IF(CX293="","",OFFSET(Biblioteca!$G$2,MATCH(CX293,Biblioteca!$A$3:$A$200,0),)*(1.05^(10-DE293)))</f>
        <v/>
      </c>
      <c r="DJ293" s="618"/>
      <c r="DK293" s="670"/>
    </row>
    <row r="294" ht="14.25" hidden="1" customHeight="1">
      <c r="A294" s="492" t="str">
        <f>"S "&amp;$AD252&amp;" - "&amp;TEXT(C262,"dd/mm")</f>
        <v>S 6 - 16/02</v>
      </c>
      <c r="B294" s="673"/>
      <c r="C294" s="675">
        <f t="shared" ref="C294:I294" si="176">C262</f>
        <v>46069</v>
      </c>
      <c r="D294" s="675">
        <f t="shared" si="176"/>
        <v>46070</v>
      </c>
      <c r="E294" s="675">
        <f t="shared" si="176"/>
        <v>46071</v>
      </c>
      <c r="F294" s="675">
        <f t="shared" si="176"/>
        <v>46072</v>
      </c>
      <c r="G294" s="675">
        <f t="shared" si="176"/>
        <v>46073</v>
      </c>
      <c r="H294" s="675">
        <f t="shared" si="176"/>
        <v>46074</v>
      </c>
      <c r="I294" s="675">
        <f t="shared" si="176"/>
        <v>46075</v>
      </c>
      <c r="J294" s="505"/>
      <c r="K294" s="608">
        <f t="shared" si="177"/>
        <v>1</v>
      </c>
      <c r="L294" s="619"/>
      <c r="Q294" s="620"/>
      <c r="R294" s="618"/>
      <c r="S294" s="618"/>
      <c r="T294" s="618"/>
      <c r="U294" s="618"/>
      <c r="V294" s="618"/>
      <c r="W294" s="617" t="str">
        <f>IF(L294="","",OFFSET(Biblioteca!$G$2,MATCH(L294,Biblioteca!$A$3:$A$200,0),)*(1.05^(10-S294)))</f>
        <v/>
      </c>
      <c r="X294" s="618"/>
      <c r="Y294" s="670"/>
      <c r="Z294" s="608">
        <f t="shared" si="178"/>
        <v>1</v>
      </c>
      <c r="AA294" s="619"/>
      <c r="AF294" s="620"/>
      <c r="AG294" s="618"/>
      <c r="AH294" s="618"/>
      <c r="AI294" s="618"/>
      <c r="AJ294" s="618"/>
      <c r="AK294" s="618"/>
      <c r="AL294" s="617" t="str">
        <f>IF(AA294="","",OFFSET(Biblioteca!$G$2,MATCH(AA294,Biblioteca!$A$3:$A$200,0),)*(1.05^(10-AH294)))</f>
        <v/>
      </c>
      <c r="AM294" s="618"/>
      <c r="AN294" s="670"/>
      <c r="AO294" s="608">
        <f t="shared" si="179"/>
        <v>1</v>
      </c>
      <c r="AP294" s="619"/>
      <c r="AU294" s="620"/>
      <c r="AV294" s="618"/>
      <c r="AW294" s="618"/>
      <c r="AX294" s="618"/>
      <c r="AY294" s="618"/>
      <c r="AZ294" s="618"/>
      <c r="BA294" s="617" t="str">
        <f>IF(AP294="","",OFFSET(Biblioteca!$G$2,MATCH(AP294,Biblioteca!$A$3:$A$200,0),)*(1.05^(10-AW294)))</f>
        <v/>
      </c>
      <c r="BB294" s="618"/>
      <c r="BC294" s="670"/>
      <c r="BD294" s="608">
        <f t="shared" si="180"/>
        <v>1</v>
      </c>
      <c r="BE294" s="619"/>
      <c r="BJ294" s="620"/>
      <c r="BK294" s="618"/>
      <c r="BL294" s="618"/>
      <c r="BM294" s="618"/>
      <c r="BN294" s="618"/>
      <c r="BO294" s="618"/>
      <c r="BP294" s="617" t="str">
        <f>IF(BE294="","",OFFSET(Biblioteca!$G$2,MATCH(BE294,Biblioteca!$A$3:$A$200,0),)*(1.05^(10-BL294)))</f>
        <v/>
      </c>
      <c r="BQ294" s="618"/>
      <c r="BR294" s="670"/>
      <c r="BS294" s="608">
        <f t="shared" si="181"/>
        <v>1</v>
      </c>
      <c r="BT294" s="619"/>
      <c r="BY294" s="620"/>
      <c r="BZ294" s="618"/>
      <c r="CA294" s="618"/>
      <c r="CB294" s="618"/>
      <c r="CC294" s="618"/>
      <c r="CD294" s="618"/>
      <c r="CE294" s="617" t="str">
        <f>IF(BT294="","",OFFSET(Biblioteca!$G$2,MATCH(BT294,Biblioteca!$A$3:$A$200,0),)*(1.05^(10-CA294)))</f>
        <v/>
      </c>
      <c r="CF294" s="618"/>
      <c r="CG294" s="670"/>
      <c r="CH294" s="608">
        <f t="shared" si="182"/>
        <v>1</v>
      </c>
      <c r="CI294" s="619"/>
      <c r="CN294" s="620"/>
      <c r="CO294" s="618"/>
      <c r="CP294" s="618"/>
      <c r="CQ294" s="618"/>
      <c r="CR294" s="618"/>
      <c r="CS294" s="618"/>
      <c r="CT294" s="617" t="str">
        <f>IF(CI294="","",OFFSET(Biblioteca!$G$2,MATCH(CI294,Biblioteca!$A$3:$A$200,0),)*(1.05^(10-CP294)))</f>
        <v/>
      </c>
      <c r="CU294" s="618"/>
      <c r="CV294" s="670"/>
      <c r="CW294" s="608">
        <f t="shared" si="183"/>
        <v>1</v>
      </c>
      <c r="CX294" s="619"/>
      <c r="DC294" s="620"/>
      <c r="DD294" s="618"/>
      <c r="DE294" s="618"/>
      <c r="DF294" s="618"/>
      <c r="DG294" s="618"/>
      <c r="DH294" s="618"/>
      <c r="DI294" s="617" t="str">
        <f>IF(CX294="","",OFFSET(Biblioteca!$G$2,MATCH(CX294,Biblioteca!$A$3:$A$200,0),)*(1.05^(10-DE294)))</f>
        <v/>
      </c>
      <c r="DJ294" s="618"/>
      <c r="DK294" s="670"/>
    </row>
    <row r="295" ht="14.25" hidden="1" customHeight="1">
      <c r="A295" s="492" t="str">
        <f>"S "&amp;$AD252&amp;" - "&amp;TEXT(C262,"dd/mm")</f>
        <v>S 6 - 16/02</v>
      </c>
      <c r="B295" s="673"/>
      <c r="C295" s="672" t="str">
        <f>OFFSET($B294,0,MATCH(1,$C293:$I293,0))</f>
        <v>#N/A</v>
      </c>
      <c r="D295" s="672" t="str">
        <f>OFFSET($B294,0,MATCH(2,$C293:$I293,0))</f>
        <v>#N/A</v>
      </c>
      <c r="E295" s="672" t="str">
        <f>OFFSET($B294,0,MATCH(3,$C293:$I293,0))</f>
        <v>#N/A</v>
      </c>
      <c r="F295" s="672" t="str">
        <f>OFFSET($B294,0,MATCH(4,$C293:$I293,0))</f>
        <v>#N/A</v>
      </c>
      <c r="G295" s="672" t="str">
        <f>OFFSET($B294,0,MATCH(5,$C293:$I293,0))</f>
        <v>#N/A</v>
      </c>
      <c r="H295" s="672" t="str">
        <f>OFFSET($B294,0,MATCH(6,$C293:$I293,0))</f>
        <v>#N/A</v>
      </c>
      <c r="I295" s="672" t="str">
        <f>OFFSET($B294,0,MATCH(7,$C293:$I293,0))</f>
        <v>#N/A</v>
      </c>
      <c r="J295" s="505"/>
      <c r="K295" s="581"/>
      <c r="L295" s="582"/>
      <c r="M295" s="582"/>
      <c r="N295" s="582"/>
      <c r="O295" s="582"/>
      <c r="P295" s="582" t="s">
        <v>174</v>
      </c>
      <c r="Q295" s="582"/>
      <c r="R295" s="582"/>
      <c r="S295" s="582"/>
      <c r="T295" s="582"/>
      <c r="U295" s="582"/>
      <c r="V295" s="582"/>
      <c r="W295" s="582"/>
      <c r="X295" s="582"/>
      <c r="Y295" s="670"/>
      <c r="Z295" s="581"/>
      <c r="AA295" s="582"/>
      <c r="AB295" s="582"/>
      <c r="AC295" s="582"/>
      <c r="AD295" s="582"/>
      <c r="AE295" s="582" t="s">
        <v>174</v>
      </c>
      <c r="AF295" s="582"/>
      <c r="AG295" s="582"/>
      <c r="AH295" s="582"/>
      <c r="AI295" s="582"/>
      <c r="AJ295" s="582"/>
      <c r="AK295" s="582"/>
      <c r="AL295" s="582"/>
      <c r="AM295" s="582"/>
      <c r="AN295" s="670"/>
      <c r="AO295" s="581"/>
      <c r="AP295" s="582"/>
      <c r="AQ295" s="582"/>
      <c r="AR295" s="582"/>
      <c r="AS295" s="582"/>
      <c r="AT295" s="582" t="s">
        <v>174</v>
      </c>
      <c r="AU295" s="582"/>
      <c r="AV295" s="582"/>
      <c r="AW295" s="582"/>
      <c r="AX295" s="582"/>
      <c r="AY295" s="582"/>
      <c r="AZ295" s="582"/>
      <c r="BA295" s="582"/>
      <c r="BB295" s="582"/>
      <c r="BC295" s="671"/>
      <c r="BD295" s="581"/>
      <c r="BE295" s="582"/>
      <c r="BF295" s="582"/>
      <c r="BG295" s="582"/>
      <c r="BH295" s="582"/>
      <c r="BI295" s="582" t="s">
        <v>174</v>
      </c>
      <c r="BJ295" s="582"/>
      <c r="BK295" s="582"/>
      <c r="BL295" s="582"/>
      <c r="BM295" s="582"/>
      <c r="BN295" s="582"/>
      <c r="BO295" s="582"/>
      <c r="BP295" s="582"/>
      <c r="BQ295" s="582"/>
      <c r="BR295" s="671"/>
      <c r="BS295" s="581"/>
      <c r="BT295" s="582"/>
      <c r="BU295" s="582"/>
      <c r="BV295" s="582"/>
      <c r="BW295" s="582"/>
      <c r="BX295" s="582" t="s">
        <v>174</v>
      </c>
      <c r="BY295" s="582"/>
      <c r="BZ295" s="582"/>
      <c r="CA295" s="582"/>
      <c r="CB295" s="582"/>
      <c r="CC295" s="582"/>
      <c r="CD295" s="582"/>
      <c r="CE295" s="582"/>
      <c r="CF295" s="582"/>
      <c r="CG295" s="671"/>
      <c r="CH295" s="581"/>
      <c r="CI295" s="582"/>
      <c r="CJ295" s="582"/>
      <c r="CK295" s="582"/>
      <c r="CL295" s="582"/>
      <c r="CM295" s="582" t="s">
        <v>174</v>
      </c>
      <c r="CN295" s="582"/>
      <c r="CO295" s="582"/>
      <c r="CP295" s="582"/>
      <c r="CQ295" s="582"/>
      <c r="CR295" s="582"/>
      <c r="CS295" s="582"/>
      <c r="CT295" s="582"/>
      <c r="CU295" s="582"/>
      <c r="CV295" s="671"/>
      <c r="CW295" s="581"/>
      <c r="CX295" s="582"/>
      <c r="CY295" s="582"/>
      <c r="CZ295" s="582"/>
      <c r="DA295" s="582"/>
      <c r="DB295" s="582" t="s">
        <v>174</v>
      </c>
      <c r="DC295" s="582"/>
      <c r="DD295" s="582"/>
      <c r="DE295" s="582"/>
      <c r="DF295" s="582"/>
      <c r="DG295" s="582"/>
      <c r="DH295" s="582"/>
      <c r="DI295" s="582"/>
      <c r="DJ295" s="582"/>
      <c r="DK295" s="670"/>
    </row>
    <row r="296" ht="14.25" hidden="1" customHeight="1">
      <c r="A296" s="492" t="str">
        <f>"S "&amp;$AD252&amp;" - "&amp;TEXT(C262,"dd/mm")</f>
        <v>S 6 - 16/02</v>
      </c>
      <c r="B296" s="666" t="s">
        <v>267</v>
      </c>
      <c r="C296" s="672">
        <f t="shared" ref="C296:I296" si="184">(C273/60)*C272*C271</f>
        <v>0</v>
      </c>
      <c r="D296" s="672">
        <f t="shared" si="184"/>
        <v>0</v>
      </c>
      <c r="E296" s="672">
        <f t="shared" si="184"/>
        <v>0</v>
      </c>
      <c r="F296" s="672">
        <f t="shared" si="184"/>
        <v>0</v>
      </c>
      <c r="G296" s="672">
        <f t="shared" si="184"/>
        <v>0</v>
      </c>
      <c r="H296" s="672">
        <f t="shared" si="184"/>
        <v>0</v>
      </c>
      <c r="I296" s="672">
        <f t="shared" si="184"/>
        <v>0</v>
      </c>
      <c r="J296" s="505"/>
      <c r="K296" s="498"/>
      <c r="T296" s="677" t="s">
        <v>311</v>
      </c>
      <c r="X296" s="678"/>
      <c r="Y296" s="670"/>
      <c r="Z296" s="498"/>
      <c r="AI296" s="677" t="s">
        <v>311</v>
      </c>
      <c r="AM296" s="678"/>
      <c r="AN296" s="670"/>
      <c r="AO296" s="498"/>
      <c r="AX296" s="677" t="s">
        <v>311</v>
      </c>
      <c r="BB296" s="678"/>
      <c r="BC296" s="670"/>
      <c r="BD296" s="498"/>
      <c r="BM296" s="677" t="s">
        <v>311</v>
      </c>
      <c r="BQ296" s="678"/>
      <c r="BR296" s="670"/>
      <c r="BS296" s="498"/>
      <c r="CB296" s="677" t="s">
        <v>311</v>
      </c>
      <c r="CF296" s="678"/>
      <c r="CG296" s="670"/>
      <c r="CH296" s="498"/>
      <c r="CQ296" s="677" t="s">
        <v>311</v>
      </c>
      <c r="CU296" s="678"/>
      <c r="CV296" s="670"/>
      <c r="CW296" s="498"/>
      <c r="DF296" s="677" t="s">
        <v>311</v>
      </c>
      <c r="DJ296" s="678"/>
      <c r="DK296" s="670"/>
    </row>
    <row r="297" ht="14.25" hidden="1" customHeight="1">
      <c r="A297" s="492" t="str">
        <f>"S "&amp;$AD252&amp;" - "&amp;TEXT(C262,"dd/mm")</f>
        <v>S 6 - 16/02</v>
      </c>
      <c r="B297" s="666" t="s">
        <v>272</v>
      </c>
      <c r="C297" s="672">
        <f t="shared" ref="C297:I297" si="185">(C274/60)*C272*C271</f>
        <v>0</v>
      </c>
      <c r="D297" s="672">
        <f t="shared" si="185"/>
        <v>0</v>
      </c>
      <c r="E297" s="672">
        <f t="shared" si="185"/>
        <v>0</v>
      </c>
      <c r="F297" s="672">
        <f t="shared" si="185"/>
        <v>0</v>
      </c>
      <c r="G297" s="672">
        <f t="shared" si="185"/>
        <v>0</v>
      </c>
      <c r="H297" s="672">
        <f t="shared" si="185"/>
        <v>0</v>
      </c>
      <c r="I297" s="672">
        <f t="shared" si="185"/>
        <v>0</v>
      </c>
      <c r="J297" s="505"/>
      <c r="K297" s="498"/>
      <c r="Y297" s="670"/>
      <c r="Z297" s="498"/>
      <c r="AN297" s="670"/>
      <c r="AO297" s="498"/>
      <c r="BC297" s="670"/>
      <c r="BD297" s="498"/>
      <c r="BR297" s="670"/>
      <c r="BS297" s="498"/>
      <c r="CG297" s="670"/>
      <c r="CH297" s="498"/>
      <c r="CV297" s="670"/>
      <c r="CW297" s="498"/>
      <c r="DK297" s="670"/>
    </row>
    <row r="298" ht="14.25" hidden="1" customHeight="1">
      <c r="A298" s="492" t="str">
        <f>"S "&amp;$AD252&amp;" - "&amp;TEXT(C262,"dd/mm")</f>
        <v>S 6 - 16/02</v>
      </c>
      <c r="B298" s="673"/>
      <c r="C298" s="672"/>
      <c r="D298" s="672"/>
      <c r="E298" s="672"/>
      <c r="F298" s="672"/>
      <c r="G298" s="672"/>
      <c r="H298" s="672"/>
      <c r="I298" s="672"/>
      <c r="J298" s="505"/>
      <c r="K298" s="498"/>
      <c r="Y298" s="670"/>
      <c r="Z298" s="498"/>
      <c r="AN298" s="670"/>
      <c r="AO298" s="498"/>
      <c r="BC298" s="670"/>
      <c r="BD298" s="498"/>
      <c r="BR298" s="670"/>
      <c r="BS298" s="498"/>
      <c r="CG298" s="670"/>
      <c r="CH298" s="498"/>
      <c r="CV298" s="670"/>
      <c r="CW298" s="498"/>
      <c r="DK298" s="670"/>
    </row>
    <row r="299" ht="14.25" hidden="1" customHeight="1">
      <c r="A299" s="492" t="str">
        <f>"S "&amp;$AD252&amp;" - "&amp;TEXT(C262,"dd/mm")</f>
        <v>S 6 - 16/02</v>
      </c>
      <c r="B299" s="537"/>
      <c r="C299" s="498"/>
      <c r="D299" s="498"/>
      <c r="E299" s="498"/>
      <c r="F299" s="498"/>
      <c r="G299" s="498"/>
      <c r="H299" s="498"/>
      <c r="I299" s="498"/>
      <c r="J299" s="505"/>
      <c r="K299" s="498"/>
      <c r="Y299" s="670"/>
      <c r="Z299" s="498"/>
      <c r="AN299" s="670"/>
      <c r="AO299" s="498"/>
      <c r="BC299" s="670"/>
      <c r="BD299" s="498"/>
      <c r="BR299" s="670"/>
      <c r="BS299" s="498"/>
      <c r="CG299" s="670"/>
      <c r="CH299" s="498"/>
      <c r="CV299" s="670"/>
      <c r="CW299" s="498"/>
      <c r="DK299" s="670"/>
    </row>
    <row r="300" ht="14.25" hidden="1" customHeight="1">
      <c r="A300" s="492" t="str">
        <f>"S "&amp;$AD252&amp;" - "&amp;TEXT(C262,"dd/mm")</f>
        <v>S 6 - 16/02</v>
      </c>
      <c r="B300" s="537"/>
      <c r="C300" s="498"/>
      <c r="D300" s="498"/>
      <c r="E300" s="498"/>
      <c r="F300" s="498"/>
      <c r="G300" s="498"/>
      <c r="H300" s="498"/>
      <c r="I300" s="498"/>
      <c r="J300" s="679"/>
      <c r="K300" s="498"/>
      <c r="Y300" s="670"/>
      <c r="Z300" s="498"/>
      <c r="AN300" s="670"/>
      <c r="AO300" s="498"/>
      <c r="BC300" s="670"/>
      <c r="BD300" s="498"/>
      <c r="BR300" s="670"/>
      <c r="BS300" s="498"/>
      <c r="CG300" s="670"/>
      <c r="CH300" s="498"/>
      <c r="CV300" s="670"/>
      <c r="CW300" s="498"/>
      <c r="DK300" s="670"/>
    </row>
    <row r="301" ht="14.25" hidden="1" customHeight="1">
      <c r="A301" s="680" t="str">
        <f>"S "&amp;$F$2&amp;" - "&amp;TEXT($C$12,"dd/mm")</f>
        <v>S 29 - 12/01</v>
      </c>
      <c r="B301" s="681"/>
      <c r="C301" s="682"/>
      <c r="D301" s="681"/>
      <c r="E301" s="681"/>
      <c r="F301" s="682"/>
      <c r="G301" s="681"/>
      <c r="H301" s="681"/>
      <c r="I301" s="681"/>
      <c r="J301" s="683"/>
      <c r="K301" s="681"/>
      <c r="L301" s="681"/>
      <c r="M301" s="681"/>
      <c r="N301" s="681"/>
      <c r="O301" s="681"/>
      <c r="P301" s="681"/>
      <c r="Q301" s="684"/>
      <c r="R301" s="685"/>
      <c r="S301" s="685"/>
      <c r="T301" s="685"/>
      <c r="U301" s="685"/>
      <c r="V301" s="685"/>
      <c r="W301" s="685"/>
      <c r="X301" s="684"/>
      <c r="Y301" s="686"/>
      <c r="Z301" s="686"/>
      <c r="AA301" s="671"/>
      <c r="AB301" s="671"/>
      <c r="AC301" s="671"/>
      <c r="AD301" s="671"/>
      <c r="AE301" s="686"/>
      <c r="AF301" s="671"/>
      <c r="AG301" s="671"/>
      <c r="AH301" s="671"/>
      <c r="AI301" s="671"/>
      <c r="AJ301" s="671"/>
      <c r="AK301" s="671"/>
      <c r="AL301" s="686"/>
      <c r="AM301" s="687"/>
      <c r="AN301" s="686"/>
      <c r="AO301" s="686"/>
      <c r="AP301" s="671"/>
      <c r="AQ301" s="671"/>
      <c r="AR301" s="671"/>
      <c r="AS301" s="671"/>
      <c r="AT301" s="686"/>
      <c r="AU301" s="671"/>
      <c r="AV301" s="671"/>
      <c r="AW301" s="671"/>
      <c r="AX301" s="671"/>
      <c r="AY301" s="671"/>
      <c r="AZ301" s="686"/>
      <c r="BA301" s="686"/>
      <c r="BB301" s="687"/>
      <c r="BC301" s="686"/>
      <c r="BD301" s="686"/>
      <c r="BE301" s="671"/>
      <c r="BF301" s="671"/>
      <c r="BG301" s="671"/>
      <c r="BH301" s="671"/>
      <c r="BI301" s="686"/>
      <c r="BJ301" s="671"/>
      <c r="BK301" s="671"/>
      <c r="BL301" s="671"/>
      <c r="BM301" s="671"/>
      <c r="BN301" s="671"/>
      <c r="BO301" s="686"/>
      <c r="BP301" s="686"/>
      <c r="BQ301" s="687"/>
      <c r="BR301" s="686"/>
      <c r="BS301" s="686"/>
      <c r="BT301" s="671"/>
      <c r="BU301" s="671"/>
      <c r="BV301" s="671"/>
      <c r="BW301" s="671"/>
      <c r="BX301" s="686"/>
      <c r="BY301" s="671"/>
      <c r="BZ301" s="671"/>
      <c r="CA301" s="671"/>
      <c r="CB301" s="671"/>
      <c r="CC301" s="671"/>
      <c r="CD301" s="686"/>
      <c r="CE301" s="686"/>
      <c r="CF301" s="687"/>
      <c r="CG301" s="686"/>
      <c r="CH301" s="686"/>
      <c r="CI301" s="671"/>
      <c r="CJ301" s="671"/>
      <c r="CK301" s="671"/>
      <c r="CL301" s="671"/>
      <c r="CM301" s="686"/>
      <c r="CN301" s="671"/>
      <c r="CO301" s="671"/>
      <c r="CP301" s="671"/>
      <c r="CQ301" s="671"/>
      <c r="CR301" s="671"/>
      <c r="CS301" s="686"/>
      <c r="CT301" s="686"/>
      <c r="CU301" s="687"/>
      <c r="CV301" s="686"/>
      <c r="CW301" s="686"/>
      <c r="CX301" s="671"/>
      <c r="CY301" s="671"/>
      <c r="CZ301" s="671"/>
      <c r="DA301" s="671"/>
      <c r="DB301" s="686"/>
      <c r="DC301" s="671"/>
      <c r="DD301" s="671"/>
      <c r="DE301" s="671"/>
      <c r="DF301" s="671"/>
      <c r="DG301" s="671"/>
      <c r="DH301" s="686"/>
      <c r="DI301" s="686"/>
      <c r="DJ301" s="687"/>
      <c r="DK301" s="686"/>
    </row>
  </sheetData>
  <autoFilter ref="$A$1:$I$301">
    <sortState ref="A1:I301">
      <sortCondition ref="A1:A301"/>
    </sortState>
  </autoFilter>
  <mergeCells count="2260">
    <mergeCell ref="AA132:AE132"/>
    <mergeCell ref="AA133:AE133"/>
    <mergeCell ref="AA125:AE125"/>
    <mergeCell ref="AA126:AE126"/>
    <mergeCell ref="AA127:AE127"/>
    <mergeCell ref="AA128:AE128"/>
    <mergeCell ref="AA129:AE129"/>
    <mergeCell ref="AA130:AE130"/>
    <mergeCell ref="AA131:AE131"/>
    <mergeCell ref="L134:P134"/>
    <mergeCell ref="L135:P135"/>
    <mergeCell ref="L131:P131"/>
    <mergeCell ref="L132:P132"/>
    <mergeCell ref="C133:H133"/>
    <mergeCell ref="L133:P133"/>
    <mergeCell ref="C134:H134"/>
    <mergeCell ref="AA134:AE134"/>
    <mergeCell ref="AA135:AE135"/>
    <mergeCell ref="C135:H135"/>
    <mergeCell ref="C136:H136"/>
    <mergeCell ref="L136:P136"/>
    <mergeCell ref="AA136:AE136"/>
    <mergeCell ref="L137:P137"/>
    <mergeCell ref="AA137:AE137"/>
    <mergeCell ref="AA138:AE138"/>
    <mergeCell ref="AA143:AE143"/>
    <mergeCell ref="AA144:AE144"/>
    <mergeCell ref="L138:P138"/>
    <mergeCell ref="L139:P139"/>
    <mergeCell ref="L140:P140"/>
    <mergeCell ref="L142:P142"/>
    <mergeCell ref="AA142:AE142"/>
    <mergeCell ref="L143:P143"/>
    <mergeCell ref="L144:P144"/>
    <mergeCell ref="Z149:AM149"/>
    <mergeCell ref="Z150:AM150"/>
    <mergeCell ref="K146:S146"/>
    <mergeCell ref="T146:W146"/>
    <mergeCell ref="Z146:AH146"/>
    <mergeCell ref="AI146:AL146"/>
    <mergeCell ref="K147:X147"/>
    <mergeCell ref="Z147:AM147"/>
    <mergeCell ref="Z148:AM148"/>
    <mergeCell ref="R152:W152"/>
    <mergeCell ref="AB152:AC152"/>
    <mergeCell ref="AF152:AK152"/>
    <mergeCell ref="K148:X148"/>
    <mergeCell ref="K149:X149"/>
    <mergeCell ref="K150:X150"/>
    <mergeCell ref="D152:E152"/>
    <mergeCell ref="G152:H152"/>
    <mergeCell ref="K152:L152"/>
    <mergeCell ref="N152:P152"/>
    <mergeCell ref="K106:L106"/>
    <mergeCell ref="M106:O106"/>
    <mergeCell ref="K108:X108"/>
    <mergeCell ref="K109:X109"/>
    <mergeCell ref="C110:E110"/>
    <mergeCell ref="F110:H110"/>
    <mergeCell ref="K110:M110"/>
    <mergeCell ref="S110:U110"/>
    <mergeCell ref="V110:X110"/>
    <mergeCell ref="K112:X112"/>
    <mergeCell ref="Z112:AM112"/>
    <mergeCell ref="K113:X113"/>
    <mergeCell ref="Z113:AM113"/>
    <mergeCell ref="AA114:AE114"/>
    <mergeCell ref="AA118:AE118"/>
    <mergeCell ref="AA119:AE119"/>
    <mergeCell ref="L114:P114"/>
    <mergeCell ref="L116:P116"/>
    <mergeCell ref="AA116:AE116"/>
    <mergeCell ref="L117:P117"/>
    <mergeCell ref="AA117:AE117"/>
    <mergeCell ref="L118:P118"/>
    <mergeCell ref="L119:P119"/>
    <mergeCell ref="L121:P121"/>
    <mergeCell ref="AA121:AE121"/>
    <mergeCell ref="L122:P122"/>
    <mergeCell ref="AA122:AE122"/>
    <mergeCell ref="L123:P123"/>
    <mergeCell ref="AA123:AE123"/>
    <mergeCell ref="AA124:AE124"/>
    <mergeCell ref="L124:P124"/>
    <mergeCell ref="L125:P125"/>
    <mergeCell ref="L126:P126"/>
    <mergeCell ref="L127:P127"/>
    <mergeCell ref="L128:P128"/>
    <mergeCell ref="L129:P129"/>
    <mergeCell ref="L130:P130"/>
    <mergeCell ref="AA139:AE139"/>
    <mergeCell ref="AA140:AE140"/>
    <mergeCell ref="AQ152:AR152"/>
    <mergeCell ref="AQ153:AR153"/>
    <mergeCell ref="AW153:AX153"/>
    <mergeCell ref="AY153:AZ153"/>
    <mergeCell ref="AW154:AX154"/>
    <mergeCell ref="AY154:AZ154"/>
    <mergeCell ref="AW155:AX155"/>
    <mergeCell ref="AY155:AZ155"/>
    <mergeCell ref="AW156:AZ157"/>
    <mergeCell ref="AP117:AT117"/>
    <mergeCell ref="AP118:AT118"/>
    <mergeCell ref="AP119:AT119"/>
    <mergeCell ref="AP121:AT121"/>
    <mergeCell ref="AP122:AT122"/>
    <mergeCell ref="AP123:AT123"/>
    <mergeCell ref="AP124:AT124"/>
    <mergeCell ref="AP125:AT125"/>
    <mergeCell ref="AP126:AT126"/>
    <mergeCell ref="AP127:AT127"/>
    <mergeCell ref="AP128:AT128"/>
    <mergeCell ref="AP129:AT129"/>
    <mergeCell ref="AP130:AT130"/>
    <mergeCell ref="AP131:AT131"/>
    <mergeCell ref="AP132:AT132"/>
    <mergeCell ref="AP133:AT133"/>
    <mergeCell ref="AP134:AT134"/>
    <mergeCell ref="AP135:AT135"/>
    <mergeCell ref="AP136:AT136"/>
    <mergeCell ref="AP137:AT137"/>
    <mergeCell ref="AP138:AT138"/>
    <mergeCell ref="AP139:AT139"/>
    <mergeCell ref="AP140:AT140"/>
    <mergeCell ref="AP142:AT142"/>
    <mergeCell ref="AP143:AT143"/>
    <mergeCell ref="AP144:AT144"/>
    <mergeCell ref="AO146:AW146"/>
    <mergeCell ref="AX146:BA146"/>
    <mergeCell ref="AH154:AI154"/>
    <mergeCell ref="AJ154:AK154"/>
    <mergeCell ref="AH155:AI155"/>
    <mergeCell ref="AJ155:AK155"/>
    <mergeCell ref="AH156:AK157"/>
    <mergeCell ref="Z158:AM158"/>
    <mergeCell ref="Z159:AM159"/>
    <mergeCell ref="AO147:BB147"/>
    <mergeCell ref="AO148:BB148"/>
    <mergeCell ref="AO149:BB149"/>
    <mergeCell ref="AO150:BB150"/>
    <mergeCell ref="AU152:AZ152"/>
    <mergeCell ref="AH153:AI153"/>
    <mergeCell ref="AJ153:AK153"/>
    <mergeCell ref="AO158:BB158"/>
    <mergeCell ref="AO159:BB159"/>
    <mergeCell ref="AA38:AE38"/>
    <mergeCell ref="AA39:AE39"/>
    <mergeCell ref="AA40:AE40"/>
    <mergeCell ref="AP33:AT33"/>
    <mergeCell ref="AP34:AT34"/>
    <mergeCell ref="AP35:AT35"/>
    <mergeCell ref="AP36:AT36"/>
    <mergeCell ref="AA37:AE37"/>
    <mergeCell ref="AP37:AT37"/>
    <mergeCell ref="AP38:AT38"/>
    <mergeCell ref="L22:P22"/>
    <mergeCell ref="L23:P23"/>
    <mergeCell ref="AA23:AE23"/>
    <mergeCell ref="AP23:AT23"/>
    <mergeCell ref="L24:P24"/>
    <mergeCell ref="AP24:AT24"/>
    <mergeCell ref="AP25:AT25"/>
    <mergeCell ref="AP26:AT26"/>
    <mergeCell ref="AP27:AT27"/>
    <mergeCell ref="AP28:AT28"/>
    <mergeCell ref="AP29:AT29"/>
    <mergeCell ref="AP30:AT30"/>
    <mergeCell ref="AP31:AT31"/>
    <mergeCell ref="AP32:AT32"/>
    <mergeCell ref="C34:H34"/>
    <mergeCell ref="C35:H35"/>
    <mergeCell ref="C36:H36"/>
    <mergeCell ref="AA31:AE31"/>
    <mergeCell ref="AA32:AE32"/>
    <mergeCell ref="C33:H33"/>
    <mergeCell ref="L33:P33"/>
    <mergeCell ref="AA33:AE33"/>
    <mergeCell ref="L34:P34"/>
    <mergeCell ref="AA34:AE34"/>
    <mergeCell ref="L25:P25"/>
    <mergeCell ref="L26:P26"/>
    <mergeCell ref="L27:P27"/>
    <mergeCell ref="L28:P28"/>
    <mergeCell ref="L29:P29"/>
    <mergeCell ref="L30:P30"/>
    <mergeCell ref="L31:P31"/>
    <mergeCell ref="L32:P32"/>
    <mergeCell ref="L35:P35"/>
    <mergeCell ref="L36:P36"/>
    <mergeCell ref="L37:P37"/>
    <mergeCell ref="L38:P38"/>
    <mergeCell ref="L39:P39"/>
    <mergeCell ref="L40:P40"/>
    <mergeCell ref="Z47:AM47"/>
    <mergeCell ref="Z48:AM48"/>
    <mergeCell ref="Z49:AM49"/>
    <mergeCell ref="AP39:AT39"/>
    <mergeCell ref="AP40:AT40"/>
    <mergeCell ref="AA42:AE42"/>
    <mergeCell ref="AP42:AT42"/>
    <mergeCell ref="AA43:AE43"/>
    <mergeCell ref="AP43:AT43"/>
    <mergeCell ref="AP44:AT44"/>
    <mergeCell ref="AA44:AE44"/>
    <mergeCell ref="Z46:AH46"/>
    <mergeCell ref="AI46:AL46"/>
    <mergeCell ref="AO46:AW46"/>
    <mergeCell ref="AX46:BA46"/>
    <mergeCell ref="AO47:BB47"/>
    <mergeCell ref="AO48:BB48"/>
    <mergeCell ref="AO49:BB49"/>
    <mergeCell ref="Z50:AM50"/>
    <mergeCell ref="AO50:BB50"/>
    <mergeCell ref="AF52:AK52"/>
    <mergeCell ref="AQ52:AR52"/>
    <mergeCell ref="AU52:AZ52"/>
    <mergeCell ref="BF52:BG52"/>
    <mergeCell ref="AW54:AX54"/>
    <mergeCell ref="AY54:AZ54"/>
    <mergeCell ref="AW55:AX55"/>
    <mergeCell ref="AY55:AZ55"/>
    <mergeCell ref="AW56:AZ57"/>
    <mergeCell ref="AO58:BB58"/>
    <mergeCell ref="AO59:BB59"/>
    <mergeCell ref="AH53:AI53"/>
    <mergeCell ref="AJ53:AK53"/>
    <mergeCell ref="AQ53:AR53"/>
    <mergeCell ref="AW53:AX53"/>
    <mergeCell ref="AY53:AZ53"/>
    <mergeCell ref="AH54:AI54"/>
    <mergeCell ref="AJ54:AK54"/>
    <mergeCell ref="BD60:BF60"/>
    <mergeCell ref="BH60:BI60"/>
    <mergeCell ref="BJ60:BK60"/>
    <mergeCell ref="AH60:AJ60"/>
    <mergeCell ref="AK60:AM60"/>
    <mergeCell ref="AO60:AQ60"/>
    <mergeCell ref="AS60:AT60"/>
    <mergeCell ref="AU60:AV60"/>
    <mergeCell ref="AW60:AY60"/>
    <mergeCell ref="AZ60:BB60"/>
    <mergeCell ref="L42:P42"/>
    <mergeCell ref="L43:P43"/>
    <mergeCell ref="L44:P44"/>
    <mergeCell ref="K46:S46"/>
    <mergeCell ref="T46:W46"/>
    <mergeCell ref="K47:X47"/>
    <mergeCell ref="K48:X48"/>
    <mergeCell ref="K49:X49"/>
    <mergeCell ref="K50:X50"/>
    <mergeCell ref="D52:E52"/>
    <mergeCell ref="K52:L52"/>
    <mergeCell ref="N52:P52"/>
    <mergeCell ref="AB52:AC52"/>
    <mergeCell ref="K53:X53"/>
    <mergeCell ref="F60:H60"/>
    <mergeCell ref="K60:M60"/>
    <mergeCell ref="O60:P60"/>
    <mergeCell ref="Q60:R60"/>
    <mergeCell ref="S60:U60"/>
    <mergeCell ref="V60:X60"/>
    <mergeCell ref="Z60:AB60"/>
    <mergeCell ref="G52:H52"/>
    <mergeCell ref="B53:I53"/>
    <mergeCell ref="K54:L54"/>
    <mergeCell ref="K55:L55"/>
    <mergeCell ref="K56:L56"/>
    <mergeCell ref="M56:O56"/>
    <mergeCell ref="C60:E60"/>
    <mergeCell ref="R52:W52"/>
    <mergeCell ref="S54:W54"/>
    <mergeCell ref="S55:W55"/>
    <mergeCell ref="S56:W56"/>
    <mergeCell ref="K58:X58"/>
    <mergeCell ref="K59:X59"/>
    <mergeCell ref="K62:X62"/>
    <mergeCell ref="K63:X63"/>
    <mergeCell ref="L64:P64"/>
    <mergeCell ref="L66:P66"/>
    <mergeCell ref="L67:P67"/>
    <mergeCell ref="L68:P68"/>
    <mergeCell ref="L69:P69"/>
    <mergeCell ref="L71:P71"/>
    <mergeCell ref="L72:P72"/>
    <mergeCell ref="L73:P73"/>
    <mergeCell ref="L74:P74"/>
    <mergeCell ref="L75:P75"/>
    <mergeCell ref="L76:P76"/>
    <mergeCell ref="L77:P77"/>
    <mergeCell ref="L78:P78"/>
    <mergeCell ref="BE126:BI126"/>
    <mergeCell ref="BE127:BI127"/>
    <mergeCell ref="BE128:BI128"/>
    <mergeCell ref="BE129:BI129"/>
    <mergeCell ref="BE130:BI130"/>
    <mergeCell ref="BE131:BI131"/>
    <mergeCell ref="BE132:BI132"/>
    <mergeCell ref="BE140:BI140"/>
    <mergeCell ref="BE142:BI142"/>
    <mergeCell ref="BE143:BI143"/>
    <mergeCell ref="BE144:BI144"/>
    <mergeCell ref="BD146:BL146"/>
    <mergeCell ref="BF152:BG152"/>
    <mergeCell ref="BE133:BI133"/>
    <mergeCell ref="BE134:BI134"/>
    <mergeCell ref="BE135:BI135"/>
    <mergeCell ref="BE136:BI136"/>
    <mergeCell ref="BE137:BI137"/>
    <mergeCell ref="BE138:BI138"/>
    <mergeCell ref="BE139:BI139"/>
    <mergeCell ref="BE83:BI83"/>
    <mergeCell ref="BE84:BI84"/>
    <mergeCell ref="BE85:BI85"/>
    <mergeCell ref="BE86:BI86"/>
    <mergeCell ref="BE87:BI87"/>
    <mergeCell ref="BE88:BI88"/>
    <mergeCell ref="BE89:BI89"/>
    <mergeCell ref="BE90:BI90"/>
    <mergeCell ref="BE92:BI92"/>
    <mergeCell ref="BD96:BL96"/>
    <mergeCell ref="AO99:BB99"/>
    <mergeCell ref="AO100:BB100"/>
    <mergeCell ref="AU102:AZ102"/>
    <mergeCell ref="BF102:BG102"/>
    <mergeCell ref="AQ102:AR102"/>
    <mergeCell ref="AQ103:AR103"/>
    <mergeCell ref="AW103:AX103"/>
    <mergeCell ref="AY103:AZ103"/>
    <mergeCell ref="AW104:AX104"/>
    <mergeCell ref="AY104:AZ104"/>
    <mergeCell ref="AW105:AX105"/>
    <mergeCell ref="AW110:AY110"/>
    <mergeCell ref="AZ110:BB110"/>
    <mergeCell ref="BD110:BF110"/>
    <mergeCell ref="BH110:BI110"/>
    <mergeCell ref="BJ110:BK110"/>
    <mergeCell ref="AY105:AZ105"/>
    <mergeCell ref="AW106:AZ107"/>
    <mergeCell ref="AO108:BB108"/>
    <mergeCell ref="AO109:BB109"/>
    <mergeCell ref="AO110:AQ110"/>
    <mergeCell ref="AS110:AT110"/>
    <mergeCell ref="AU110:AV110"/>
    <mergeCell ref="AO112:BB112"/>
    <mergeCell ref="AO113:BB113"/>
    <mergeCell ref="AP114:AT114"/>
    <mergeCell ref="BE114:BI114"/>
    <mergeCell ref="AP116:AT116"/>
    <mergeCell ref="BE116:BI116"/>
    <mergeCell ref="BE117:BI117"/>
    <mergeCell ref="BE118:BI118"/>
    <mergeCell ref="BE119:BI119"/>
    <mergeCell ref="BE121:BI121"/>
    <mergeCell ref="BE122:BI122"/>
    <mergeCell ref="BE123:BI123"/>
    <mergeCell ref="BE124:BI124"/>
    <mergeCell ref="BE125:BI125"/>
    <mergeCell ref="C84:H84"/>
    <mergeCell ref="C85:H85"/>
    <mergeCell ref="C86:H86"/>
    <mergeCell ref="D102:E102"/>
    <mergeCell ref="G102:H102"/>
    <mergeCell ref="B103:I103"/>
    <mergeCell ref="B153:I153"/>
    <mergeCell ref="L79:P79"/>
    <mergeCell ref="L80:P80"/>
    <mergeCell ref="L81:P81"/>
    <mergeCell ref="L82:P82"/>
    <mergeCell ref="C83:H83"/>
    <mergeCell ref="L83:P83"/>
    <mergeCell ref="L84:P84"/>
    <mergeCell ref="L85:P85"/>
    <mergeCell ref="L86:P86"/>
    <mergeCell ref="L87:P87"/>
    <mergeCell ref="L88:P88"/>
    <mergeCell ref="L89:P89"/>
    <mergeCell ref="L90:P90"/>
    <mergeCell ref="L92:P92"/>
    <mergeCell ref="L93:P93"/>
    <mergeCell ref="L94:P94"/>
    <mergeCell ref="K96:S96"/>
    <mergeCell ref="T96:W96"/>
    <mergeCell ref="K97:X97"/>
    <mergeCell ref="K98:X98"/>
    <mergeCell ref="K99:X99"/>
    <mergeCell ref="S104:W104"/>
    <mergeCell ref="S105:W105"/>
    <mergeCell ref="S106:W106"/>
    <mergeCell ref="K100:X100"/>
    <mergeCell ref="K102:L102"/>
    <mergeCell ref="N102:P102"/>
    <mergeCell ref="R102:W102"/>
    <mergeCell ref="K103:X103"/>
    <mergeCell ref="K104:L104"/>
    <mergeCell ref="K105:L105"/>
    <mergeCell ref="O110:P110"/>
    <mergeCell ref="Q110:R110"/>
    <mergeCell ref="K153:X153"/>
    <mergeCell ref="K154:L154"/>
    <mergeCell ref="S154:W154"/>
    <mergeCell ref="K155:L155"/>
    <mergeCell ref="S155:W155"/>
    <mergeCell ref="AP217:AT217"/>
    <mergeCell ref="AP218:AT218"/>
    <mergeCell ref="AP219:AT219"/>
    <mergeCell ref="AP221:AT221"/>
    <mergeCell ref="AP222:AT222"/>
    <mergeCell ref="AP223:AT223"/>
    <mergeCell ref="AP224:AT224"/>
    <mergeCell ref="AP225:AT225"/>
    <mergeCell ref="AP226:AT226"/>
    <mergeCell ref="AP227:AT227"/>
    <mergeCell ref="AP228:AT228"/>
    <mergeCell ref="AP229:AT229"/>
    <mergeCell ref="AP230:AT230"/>
    <mergeCell ref="AP231:AT231"/>
    <mergeCell ref="AP239:AT239"/>
    <mergeCell ref="AP240:AT240"/>
    <mergeCell ref="AP242:AT242"/>
    <mergeCell ref="AP243:AT243"/>
    <mergeCell ref="AP244:AT244"/>
    <mergeCell ref="AO246:AW246"/>
    <mergeCell ref="AP232:AT232"/>
    <mergeCell ref="AP233:AT233"/>
    <mergeCell ref="AP234:AT234"/>
    <mergeCell ref="AP235:AT235"/>
    <mergeCell ref="AP236:AT236"/>
    <mergeCell ref="AP237:AT237"/>
    <mergeCell ref="AP238:AT238"/>
    <mergeCell ref="BE185:BI185"/>
    <mergeCell ref="BE186:BI186"/>
    <mergeCell ref="BE187:BI187"/>
    <mergeCell ref="BE188:BI188"/>
    <mergeCell ref="BE189:BI189"/>
    <mergeCell ref="BE190:BI190"/>
    <mergeCell ref="BE192:BI192"/>
    <mergeCell ref="BE193:BI193"/>
    <mergeCell ref="BE194:BI194"/>
    <mergeCell ref="AX196:BA196"/>
    <mergeCell ref="BD196:BL196"/>
    <mergeCell ref="AO197:BB197"/>
    <mergeCell ref="AO198:BB198"/>
    <mergeCell ref="AO199:BB199"/>
    <mergeCell ref="AO200:BB200"/>
    <mergeCell ref="AQ202:AR202"/>
    <mergeCell ref="AU202:AZ202"/>
    <mergeCell ref="BF202:BG202"/>
    <mergeCell ref="AQ203:AR203"/>
    <mergeCell ref="AW203:AX203"/>
    <mergeCell ref="AY203:AZ203"/>
    <mergeCell ref="AO210:AQ210"/>
    <mergeCell ref="AS210:AT210"/>
    <mergeCell ref="AU210:AV210"/>
    <mergeCell ref="AW210:AY210"/>
    <mergeCell ref="AZ210:BB210"/>
    <mergeCell ref="BD210:BF210"/>
    <mergeCell ref="BH210:BI210"/>
    <mergeCell ref="BJ210:BK210"/>
    <mergeCell ref="AW204:AX204"/>
    <mergeCell ref="AY204:AZ204"/>
    <mergeCell ref="AW205:AX205"/>
    <mergeCell ref="AY205:AZ205"/>
    <mergeCell ref="AW206:AZ207"/>
    <mergeCell ref="AO208:BB208"/>
    <mergeCell ref="AO209:BB209"/>
    <mergeCell ref="AO212:BB212"/>
    <mergeCell ref="AO213:BB213"/>
    <mergeCell ref="AP214:AT214"/>
    <mergeCell ref="BE214:BI214"/>
    <mergeCell ref="AP216:AT216"/>
    <mergeCell ref="BE216:BI216"/>
    <mergeCell ref="BE217:BI217"/>
    <mergeCell ref="BE218:BI218"/>
    <mergeCell ref="BE219:BI219"/>
    <mergeCell ref="BE221:BI221"/>
    <mergeCell ref="BE222:BI222"/>
    <mergeCell ref="BE223:BI223"/>
    <mergeCell ref="BE224:BI224"/>
    <mergeCell ref="BE225:BI225"/>
    <mergeCell ref="AP267:AT267"/>
    <mergeCell ref="AP268:AT268"/>
    <mergeCell ref="AP269:AT269"/>
    <mergeCell ref="AP271:AT271"/>
    <mergeCell ref="AP272:AT272"/>
    <mergeCell ref="AP273:AT273"/>
    <mergeCell ref="AP274:AT274"/>
    <mergeCell ref="AP275:AT275"/>
    <mergeCell ref="AP276:AT276"/>
    <mergeCell ref="AP277:AT277"/>
    <mergeCell ref="AP278:AT278"/>
    <mergeCell ref="AP279:AT279"/>
    <mergeCell ref="AP280:AT280"/>
    <mergeCell ref="AP281:AT281"/>
    <mergeCell ref="AP282:AT282"/>
    <mergeCell ref="AP283:AT283"/>
    <mergeCell ref="AP284:AT284"/>
    <mergeCell ref="AP285:AT285"/>
    <mergeCell ref="AP286:AT286"/>
    <mergeCell ref="AP287:AT287"/>
    <mergeCell ref="AP288:AT288"/>
    <mergeCell ref="AO297:BB297"/>
    <mergeCell ref="AO298:BB298"/>
    <mergeCell ref="AO299:BB299"/>
    <mergeCell ref="AO300:BB300"/>
    <mergeCell ref="AP289:AT289"/>
    <mergeCell ref="AP290:AT290"/>
    <mergeCell ref="AP292:AT292"/>
    <mergeCell ref="AP293:AT293"/>
    <mergeCell ref="AP294:AT294"/>
    <mergeCell ref="AO296:AW296"/>
    <mergeCell ref="AX296:BA296"/>
    <mergeCell ref="BE276:BI276"/>
    <mergeCell ref="BE277:BI277"/>
    <mergeCell ref="BE278:BI278"/>
    <mergeCell ref="BE279:BI279"/>
    <mergeCell ref="BE280:BI280"/>
    <mergeCell ref="BE281:BI281"/>
    <mergeCell ref="BE282:BI282"/>
    <mergeCell ref="BE290:BI290"/>
    <mergeCell ref="BE292:BI292"/>
    <mergeCell ref="BE293:BI293"/>
    <mergeCell ref="BE294:BI294"/>
    <mergeCell ref="BD296:BL296"/>
    <mergeCell ref="BE283:BI283"/>
    <mergeCell ref="BE284:BI284"/>
    <mergeCell ref="BE285:BI285"/>
    <mergeCell ref="BE286:BI286"/>
    <mergeCell ref="BE287:BI287"/>
    <mergeCell ref="BE288:BI288"/>
    <mergeCell ref="BE289:BI289"/>
    <mergeCell ref="BE235:BI235"/>
    <mergeCell ref="BE236:BI236"/>
    <mergeCell ref="BE237:BI237"/>
    <mergeCell ref="BE238:BI238"/>
    <mergeCell ref="BE239:BI239"/>
    <mergeCell ref="BE240:BI240"/>
    <mergeCell ref="BE242:BI242"/>
    <mergeCell ref="BE243:BI243"/>
    <mergeCell ref="BE244:BI244"/>
    <mergeCell ref="AX246:BA246"/>
    <mergeCell ref="BD246:BL246"/>
    <mergeCell ref="AO247:BB247"/>
    <mergeCell ref="AO248:BB248"/>
    <mergeCell ref="AO249:BB249"/>
    <mergeCell ref="AO250:BB250"/>
    <mergeCell ref="AQ252:AR252"/>
    <mergeCell ref="AU252:AZ252"/>
    <mergeCell ref="BF252:BG252"/>
    <mergeCell ref="AQ253:AR253"/>
    <mergeCell ref="AW253:AX253"/>
    <mergeCell ref="AY253:AZ253"/>
    <mergeCell ref="AO260:AQ260"/>
    <mergeCell ref="AS260:AT260"/>
    <mergeCell ref="AU260:AV260"/>
    <mergeCell ref="AW260:AY260"/>
    <mergeCell ref="AZ260:BB260"/>
    <mergeCell ref="BD260:BF260"/>
    <mergeCell ref="BH260:BI260"/>
    <mergeCell ref="BJ260:BK260"/>
    <mergeCell ref="AW254:AX254"/>
    <mergeCell ref="AY254:AZ254"/>
    <mergeCell ref="AW255:AX255"/>
    <mergeCell ref="AY255:AZ255"/>
    <mergeCell ref="AW256:AZ257"/>
    <mergeCell ref="AO258:BB258"/>
    <mergeCell ref="AO259:BB259"/>
    <mergeCell ref="AO262:BB262"/>
    <mergeCell ref="AO263:BB263"/>
    <mergeCell ref="AP264:AT264"/>
    <mergeCell ref="BE264:BI264"/>
    <mergeCell ref="AP266:AT266"/>
    <mergeCell ref="BE266:BI266"/>
    <mergeCell ref="BE267:BI267"/>
    <mergeCell ref="BE268:BI268"/>
    <mergeCell ref="BE269:BI269"/>
    <mergeCell ref="BE271:BI271"/>
    <mergeCell ref="BE272:BI272"/>
    <mergeCell ref="BE273:BI273"/>
    <mergeCell ref="BE274:BI274"/>
    <mergeCell ref="BE275:BI275"/>
    <mergeCell ref="K160:M160"/>
    <mergeCell ref="O160:P160"/>
    <mergeCell ref="K162:X162"/>
    <mergeCell ref="Z162:AM162"/>
    <mergeCell ref="AO162:BB162"/>
    <mergeCell ref="Z163:AM163"/>
    <mergeCell ref="AO163:BB163"/>
    <mergeCell ref="K163:X163"/>
    <mergeCell ref="L164:P164"/>
    <mergeCell ref="AA164:AE164"/>
    <mergeCell ref="AP164:AT164"/>
    <mergeCell ref="L166:P166"/>
    <mergeCell ref="AP166:AT166"/>
    <mergeCell ref="AP167:AT167"/>
    <mergeCell ref="AA174:AE174"/>
    <mergeCell ref="AA175:AE175"/>
    <mergeCell ref="AA166:AE166"/>
    <mergeCell ref="AA167:AE167"/>
    <mergeCell ref="AA168:AE168"/>
    <mergeCell ref="AA169:AE169"/>
    <mergeCell ref="AA171:AE171"/>
    <mergeCell ref="AA172:AE172"/>
    <mergeCell ref="AA173:AE173"/>
    <mergeCell ref="AP168:AT168"/>
    <mergeCell ref="AP169:AT169"/>
    <mergeCell ref="AP171:AT171"/>
    <mergeCell ref="AP172:AT172"/>
    <mergeCell ref="AP173:AT173"/>
    <mergeCell ref="AP174:AT174"/>
    <mergeCell ref="AP175:AT175"/>
    <mergeCell ref="AP190:AT190"/>
    <mergeCell ref="AP192:AT192"/>
    <mergeCell ref="AP193:AT193"/>
    <mergeCell ref="AP194:AT194"/>
    <mergeCell ref="AO196:AW196"/>
    <mergeCell ref="AP176:AT176"/>
    <mergeCell ref="AP177:AT177"/>
    <mergeCell ref="AP185:AT185"/>
    <mergeCell ref="AP186:AT186"/>
    <mergeCell ref="AP187:AT187"/>
    <mergeCell ref="AP188:AT188"/>
    <mergeCell ref="AP189:AT189"/>
    <mergeCell ref="L177:P177"/>
    <mergeCell ref="L178:P178"/>
    <mergeCell ref="AP178:AT178"/>
    <mergeCell ref="AP179:AT179"/>
    <mergeCell ref="AP180:AT180"/>
    <mergeCell ref="L181:P181"/>
    <mergeCell ref="AA181:AE181"/>
    <mergeCell ref="AP181:AT181"/>
    <mergeCell ref="L182:P182"/>
    <mergeCell ref="AA182:AE182"/>
    <mergeCell ref="AP182:AT182"/>
    <mergeCell ref="L175:P175"/>
    <mergeCell ref="L176:P176"/>
    <mergeCell ref="AA176:AE176"/>
    <mergeCell ref="AA177:AE177"/>
    <mergeCell ref="AA178:AE178"/>
    <mergeCell ref="L179:P179"/>
    <mergeCell ref="L180:P180"/>
    <mergeCell ref="K156:L156"/>
    <mergeCell ref="M156:O156"/>
    <mergeCell ref="S156:W156"/>
    <mergeCell ref="K158:X158"/>
    <mergeCell ref="K159:X159"/>
    <mergeCell ref="C160:E160"/>
    <mergeCell ref="F160:H160"/>
    <mergeCell ref="V160:X160"/>
    <mergeCell ref="AO160:AQ160"/>
    <mergeCell ref="AS160:AT160"/>
    <mergeCell ref="AU160:AV160"/>
    <mergeCell ref="AW160:AY160"/>
    <mergeCell ref="AZ160:BB160"/>
    <mergeCell ref="BD160:BF160"/>
    <mergeCell ref="BH160:BI160"/>
    <mergeCell ref="BJ160:BK160"/>
    <mergeCell ref="Q160:R160"/>
    <mergeCell ref="S160:U160"/>
    <mergeCell ref="Z160:AB160"/>
    <mergeCell ref="AD160:AE160"/>
    <mergeCell ref="AF160:AG160"/>
    <mergeCell ref="AH160:AJ160"/>
    <mergeCell ref="AK160:AM160"/>
    <mergeCell ref="BE164:BI164"/>
    <mergeCell ref="BE166:BI166"/>
    <mergeCell ref="BE167:BI167"/>
    <mergeCell ref="BE168:BI168"/>
    <mergeCell ref="BE169:BI169"/>
    <mergeCell ref="BE171:BI171"/>
    <mergeCell ref="BE172:BI172"/>
    <mergeCell ref="L167:P167"/>
    <mergeCell ref="L168:P168"/>
    <mergeCell ref="L169:P169"/>
    <mergeCell ref="L171:P171"/>
    <mergeCell ref="L172:P172"/>
    <mergeCell ref="L173:P173"/>
    <mergeCell ref="L174:P174"/>
    <mergeCell ref="BE173:BI173"/>
    <mergeCell ref="BE174:BI174"/>
    <mergeCell ref="BE175:BI175"/>
    <mergeCell ref="BE176:BI176"/>
    <mergeCell ref="BE177:BI177"/>
    <mergeCell ref="BE178:BI178"/>
    <mergeCell ref="BE179:BI179"/>
    <mergeCell ref="BE180:BI180"/>
    <mergeCell ref="BE181:BI181"/>
    <mergeCell ref="BE182:BI182"/>
    <mergeCell ref="AP183:AT183"/>
    <mergeCell ref="BE183:BI183"/>
    <mergeCell ref="AP184:AT184"/>
    <mergeCell ref="BE184:BI184"/>
    <mergeCell ref="N202:P202"/>
    <mergeCell ref="R202:W202"/>
    <mergeCell ref="AB202:AC202"/>
    <mergeCell ref="AF202:AK202"/>
    <mergeCell ref="B203:I203"/>
    <mergeCell ref="K203:X203"/>
    <mergeCell ref="AH203:AI203"/>
    <mergeCell ref="AJ203:AK203"/>
    <mergeCell ref="S204:W204"/>
    <mergeCell ref="AH204:AI204"/>
    <mergeCell ref="AJ204:AK204"/>
    <mergeCell ref="BE233:BI233"/>
    <mergeCell ref="BE234:BI234"/>
    <mergeCell ref="BE226:BI226"/>
    <mergeCell ref="BE227:BI227"/>
    <mergeCell ref="BE228:BI228"/>
    <mergeCell ref="BE229:BI229"/>
    <mergeCell ref="BE230:BI230"/>
    <mergeCell ref="BE231:BI231"/>
    <mergeCell ref="BE232:BI232"/>
    <mergeCell ref="Z247:AM247"/>
    <mergeCell ref="Z248:AM248"/>
    <mergeCell ref="L244:P244"/>
    <mergeCell ref="K246:S246"/>
    <mergeCell ref="T246:W246"/>
    <mergeCell ref="Z246:AH246"/>
    <mergeCell ref="AI246:AL246"/>
    <mergeCell ref="K247:X247"/>
    <mergeCell ref="K248:X248"/>
    <mergeCell ref="D252:E252"/>
    <mergeCell ref="G252:H252"/>
    <mergeCell ref="K252:L252"/>
    <mergeCell ref="N252:P252"/>
    <mergeCell ref="R252:W252"/>
    <mergeCell ref="AB252:AC252"/>
    <mergeCell ref="AF252:AK252"/>
    <mergeCell ref="B253:I253"/>
    <mergeCell ref="K253:X253"/>
    <mergeCell ref="AH253:AI253"/>
    <mergeCell ref="AJ253:AK253"/>
    <mergeCell ref="S254:W254"/>
    <mergeCell ref="AH254:AI254"/>
    <mergeCell ref="AJ254:AK254"/>
    <mergeCell ref="AJ255:AK255"/>
    <mergeCell ref="AH256:AK257"/>
    <mergeCell ref="K254:L254"/>
    <mergeCell ref="K255:L255"/>
    <mergeCell ref="S255:W255"/>
    <mergeCell ref="AH255:AI255"/>
    <mergeCell ref="K256:L256"/>
    <mergeCell ref="M256:O256"/>
    <mergeCell ref="S256:W256"/>
    <mergeCell ref="O260:P260"/>
    <mergeCell ref="Q260:R260"/>
    <mergeCell ref="AF260:AG260"/>
    <mergeCell ref="AH260:AJ260"/>
    <mergeCell ref="K258:X258"/>
    <mergeCell ref="Z258:AM258"/>
    <mergeCell ref="K259:X259"/>
    <mergeCell ref="Z259:AM259"/>
    <mergeCell ref="C260:E260"/>
    <mergeCell ref="F260:H260"/>
    <mergeCell ref="K260:M260"/>
    <mergeCell ref="AK260:AM260"/>
    <mergeCell ref="S260:U260"/>
    <mergeCell ref="V260:X260"/>
    <mergeCell ref="K262:X262"/>
    <mergeCell ref="K263:X263"/>
    <mergeCell ref="L264:P264"/>
    <mergeCell ref="L266:P266"/>
    <mergeCell ref="L267:P267"/>
    <mergeCell ref="Z260:AB260"/>
    <mergeCell ref="AD260:AE260"/>
    <mergeCell ref="Z262:AM262"/>
    <mergeCell ref="Z263:AM263"/>
    <mergeCell ref="AA264:AE264"/>
    <mergeCell ref="AA266:AE266"/>
    <mergeCell ref="AA267:AE267"/>
    <mergeCell ref="L268:P268"/>
    <mergeCell ref="L269:P269"/>
    <mergeCell ref="L271:P271"/>
    <mergeCell ref="L272:P272"/>
    <mergeCell ref="L273:P273"/>
    <mergeCell ref="L274:P274"/>
    <mergeCell ref="L275:P275"/>
    <mergeCell ref="AA276:AE276"/>
    <mergeCell ref="AA277:AE277"/>
    <mergeCell ref="AA278:AE278"/>
    <mergeCell ref="AA279:AE279"/>
    <mergeCell ref="AA280:AE280"/>
    <mergeCell ref="AA281:AE281"/>
    <mergeCell ref="AA282:AE282"/>
    <mergeCell ref="AA268:AE268"/>
    <mergeCell ref="AA269:AE269"/>
    <mergeCell ref="AA271:AE271"/>
    <mergeCell ref="AA272:AE272"/>
    <mergeCell ref="AA273:AE273"/>
    <mergeCell ref="AA274:AE274"/>
    <mergeCell ref="AA275:AE275"/>
    <mergeCell ref="AJ205:AK205"/>
    <mergeCell ref="AH206:AK207"/>
    <mergeCell ref="K204:L204"/>
    <mergeCell ref="K205:L205"/>
    <mergeCell ref="S205:W205"/>
    <mergeCell ref="AH205:AI205"/>
    <mergeCell ref="K206:L206"/>
    <mergeCell ref="M206:O206"/>
    <mergeCell ref="S206:W206"/>
    <mergeCell ref="S210:U210"/>
    <mergeCell ref="V210:X210"/>
    <mergeCell ref="Z210:AB210"/>
    <mergeCell ref="AD210:AE210"/>
    <mergeCell ref="AF210:AG210"/>
    <mergeCell ref="AH210:AJ210"/>
    <mergeCell ref="K208:X208"/>
    <mergeCell ref="Z208:AM208"/>
    <mergeCell ref="K209:X209"/>
    <mergeCell ref="Z209:AM209"/>
    <mergeCell ref="C210:E210"/>
    <mergeCell ref="F210:H210"/>
    <mergeCell ref="K210:M210"/>
    <mergeCell ref="AK210:AM210"/>
    <mergeCell ref="AA179:AE179"/>
    <mergeCell ref="AA180:AE180"/>
    <mergeCell ref="C183:H183"/>
    <mergeCell ref="L183:P183"/>
    <mergeCell ref="AA183:AE183"/>
    <mergeCell ref="L184:P184"/>
    <mergeCell ref="AA184:AE184"/>
    <mergeCell ref="C184:H184"/>
    <mergeCell ref="C185:H185"/>
    <mergeCell ref="L185:P185"/>
    <mergeCell ref="C186:H186"/>
    <mergeCell ref="L186:P186"/>
    <mergeCell ref="L187:P187"/>
    <mergeCell ref="L188:P188"/>
    <mergeCell ref="AA193:AE193"/>
    <mergeCell ref="AA194:AE194"/>
    <mergeCell ref="Z196:AH196"/>
    <mergeCell ref="AI196:AL196"/>
    <mergeCell ref="Z197:AM197"/>
    <mergeCell ref="Z198:AM198"/>
    <mergeCell ref="Z199:AM199"/>
    <mergeCell ref="Z200:AM200"/>
    <mergeCell ref="AA185:AE185"/>
    <mergeCell ref="AA186:AE186"/>
    <mergeCell ref="AA187:AE187"/>
    <mergeCell ref="AA188:AE188"/>
    <mergeCell ref="AA189:AE189"/>
    <mergeCell ref="AA190:AE190"/>
    <mergeCell ref="AA192:AE192"/>
    <mergeCell ref="L189:P189"/>
    <mergeCell ref="L190:P190"/>
    <mergeCell ref="L192:P192"/>
    <mergeCell ref="L193:P193"/>
    <mergeCell ref="L194:P194"/>
    <mergeCell ref="K196:S196"/>
    <mergeCell ref="T196:W196"/>
    <mergeCell ref="K197:X197"/>
    <mergeCell ref="K198:X198"/>
    <mergeCell ref="K199:X199"/>
    <mergeCell ref="K200:X200"/>
    <mergeCell ref="D202:E202"/>
    <mergeCell ref="G202:H202"/>
    <mergeCell ref="K202:L202"/>
    <mergeCell ref="O210:P210"/>
    <mergeCell ref="Q210:R210"/>
    <mergeCell ref="K212:X212"/>
    <mergeCell ref="Z212:AM212"/>
    <mergeCell ref="K213:X213"/>
    <mergeCell ref="Z213:AM213"/>
    <mergeCell ref="AA214:AE214"/>
    <mergeCell ref="C235:H235"/>
    <mergeCell ref="C236:H236"/>
    <mergeCell ref="L231:P231"/>
    <mergeCell ref="L232:P232"/>
    <mergeCell ref="C233:H233"/>
    <mergeCell ref="L233:P233"/>
    <mergeCell ref="C234:H234"/>
    <mergeCell ref="L234:P234"/>
    <mergeCell ref="L235:P235"/>
    <mergeCell ref="L224:P224"/>
    <mergeCell ref="L225:P225"/>
    <mergeCell ref="L226:P226"/>
    <mergeCell ref="L227:P227"/>
    <mergeCell ref="L228:P228"/>
    <mergeCell ref="L229:P229"/>
    <mergeCell ref="L230:P230"/>
    <mergeCell ref="L236:P236"/>
    <mergeCell ref="L237:P237"/>
    <mergeCell ref="L238:P238"/>
    <mergeCell ref="L239:P239"/>
    <mergeCell ref="L240:P240"/>
    <mergeCell ref="L242:P242"/>
    <mergeCell ref="L243:P243"/>
    <mergeCell ref="AA218:AE218"/>
    <mergeCell ref="AA219:AE219"/>
    <mergeCell ref="L214:P214"/>
    <mergeCell ref="L216:P216"/>
    <mergeCell ref="AA216:AE216"/>
    <mergeCell ref="L217:P217"/>
    <mergeCell ref="AA217:AE217"/>
    <mergeCell ref="L218:P218"/>
    <mergeCell ref="L219:P219"/>
    <mergeCell ref="L221:P221"/>
    <mergeCell ref="AA221:AE221"/>
    <mergeCell ref="L222:P222"/>
    <mergeCell ref="AA222:AE222"/>
    <mergeCell ref="L223:P223"/>
    <mergeCell ref="AA223:AE223"/>
    <mergeCell ref="AA224:AE224"/>
    <mergeCell ref="AA225:AE225"/>
    <mergeCell ref="AA226:AE226"/>
    <mergeCell ref="AA227:AE227"/>
    <mergeCell ref="AA228:AE228"/>
    <mergeCell ref="AA229:AE229"/>
    <mergeCell ref="AA230:AE230"/>
    <mergeCell ref="AA231:AE231"/>
    <mergeCell ref="AA239:AE239"/>
    <mergeCell ref="AA240:AE240"/>
    <mergeCell ref="AA242:AE242"/>
    <mergeCell ref="AA243:AE243"/>
    <mergeCell ref="AA244:AE244"/>
    <mergeCell ref="AA232:AE232"/>
    <mergeCell ref="AA233:AE233"/>
    <mergeCell ref="AA234:AE234"/>
    <mergeCell ref="AA235:AE235"/>
    <mergeCell ref="AA236:AE236"/>
    <mergeCell ref="AA237:AE237"/>
    <mergeCell ref="AA238:AE238"/>
    <mergeCell ref="K249:X249"/>
    <mergeCell ref="Z249:AM249"/>
    <mergeCell ref="K250:X250"/>
    <mergeCell ref="Z250:AM250"/>
    <mergeCell ref="K298:X298"/>
    <mergeCell ref="K299:X299"/>
    <mergeCell ref="K300:X300"/>
    <mergeCell ref="K296:S296"/>
    <mergeCell ref="T296:W296"/>
    <mergeCell ref="Z296:AH296"/>
    <mergeCell ref="AI296:AL296"/>
    <mergeCell ref="K297:X297"/>
    <mergeCell ref="Z297:AM297"/>
    <mergeCell ref="Z298:AM298"/>
    <mergeCell ref="L282:P282"/>
    <mergeCell ref="L283:P283"/>
    <mergeCell ref="AA283:AE283"/>
    <mergeCell ref="C284:H284"/>
    <mergeCell ref="L284:P284"/>
    <mergeCell ref="AA284:AE284"/>
    <mergeCell ref="L276:P276"/>
    <mergeCell ref="L277:P277"/>
    <mergeCell ref="L278:P278"/>
    <mergeCell ref="L279:P279"/>
    <mergeCell ref="L280:P280"/>
    <mergeCell ref="L281:P281"/>
    <mergeCell ref="C283:H283"/>
    <mergeCell ref="AA288:AE288"/>
    <mergeCell ref="AA289:AE289"/>
    <mergeCell ref="AA290:AE290"/>
    <mergeCell ref="AA292:AE292"/>
    <mergeCell ref="AA293:AE293"/>
    <mergeCell ref="AA294:AE294"/>
    <mergeCell ref="C285:H285"/>
    <mergeCell ref="L285:P285"/>
    <mergeCell ref="AA285:AE285"/>
    <mergeCell ref="C286:H286"/>
    <mergeCell ref="L286:P286"/>
    <mergeCell ref="AA286:AE286"/>
    <mergeCell ref="AA287:AE287"/>
    <mergeCell ref="L287:P287"/>
    <mergeCell ref="L288:P288"/>
    <mergeCell ref="L289:P289"/>
    <mergeCell ref="L290:P290"/>
    <mergeCell ref="L292:P292"/>
    <mergeCell ref="L293:P293"/>
    <mergeCell ref="L294:P294"/>
    <mergeCell ref="Z299:AM299"/>
    <mergeCell ref="Z300:AM300"/>
    <mergeCell ref="BM96:BP96"/>
    <mergeCell ref="BS96:CA96"/>
    <mergeCell ref="CB96:CE96"/>
    <mergeCell ref="CH96:CP96"/>
    <mergeCell ref="CQ96:CT96"/>
    <mergeCell ref="CW96:DE96"/>
    <mergeCell ref="DF96:DI96"/>
    <mergeCell ref="BD97:BQ97"/>
    <mergeCell ref="BS97:CF97"/>
    <mergeCell ref="CH97:CU97"/>
    <mergeCell ref="CW97:DJ97"/>
    <mergeCell ref="BS98:CF98"/>
    <mergeCell ref="CH98:CU98"/>
    <mergeCell ref="CW98:DJ98"/>
    <mergeCell ref="CW99:DJ99"/>
    <mergeCell ref="CW100:DJ100"/>
    <mergeCell ref="BD98:BQ98"/>
    <mergeCell ref="BD99:BQ99"/>
    <mergeCell ref="BS99:CF99"/>
    <mergeCell ref="CH99:CU99"/>
    <mergeCell ref="BD100:BQ100"/>
    <mergeCell ref="BS100:CF100"/>
    <mergeCell ref="CH100:CU100"/>
    <mergeCell ref="BJ102:BO102"/>
    <mergeCell ref="BU102:BV102"/>
    <mergeCell ref="BY102:CD102"/>
    <mergeCell ref="CJ102:CK102"/>
    <mergeCell ref="CN102:CS102"/>
    <mergeCell ref="CY102:CZ102"/>
    <mergeCell ref="DC102:DH102"/>
    <mergeCell ref="DE104:DF104"/>
    <mergeCell ref="DG104:DH104"/>
    <mergeCell ref="DE105:DF105"/>
    <mergeCell ref="DG105:DH105"/>
    <mergeCell ref="DE106:DH107"/>
    <mergeCell ref="BD108:BQ108"/>
    <mergeCell ref="BS108:CF108"/>
    <mergeCell ref="CH108:CU108"/>
    <mergeCell ref="CW108:DJ108"/>
    <mergeCell ref="BS109:CF109"/>
    <mergeCell ref="CH109:CU109"/>
    <mergeCell ref="CW109:DJ109"/>
    <mergeCell ref="DA110:DB110"/>
    <mergeCell ref="DC110:DD110"/>
    <mergeCell ref="DE110:DG110"/>
    <mergeCell ref="DH110:DJ110"/>
    <mergeCell ref="CD110:CF110"/>
    <mergeCell ref="CH110:CJ110"/>
    <mergeCell ref="CL110:CM110"/>
    <mergeCell ref="CN110:CO110"/>
    <mergeCell ref="CP110:CR110"/>
    <mergeCell ref="CS110:CU110"/>
    <mergeCell ref="CW110:CY110"/>
    <mergeCell ref="BD109:BQ109"/>
    <mergeCell ref="BL110:BN110"/>
    <mergeCell ref="BO110:BQ110"/>
    <mergeCell ref="BS110:BU110"/>
    <mergeCell ref="BW110:BX110"/>
    <mergeCell ref="BY110:BZ110"/>
    <mergeCell ref="CA110:CC110"/>
    <mergeCell ref="BD112:BQ112"/>
    <mergeCell ref="BS112:CF112"/>
    <mergeCell ref="CH112:CU112"/>
    <mergeCell ref="CW112:DJ112"/>
    <mergeCell ref="BD113:BQ113"/>
    <mergeCell ref="CH113:CU113"/>
    <mergeCell ref="CW113:DJ113"/>
    <mergeCell ref="BT117:BX117"/>
    <mergeCell ref="BT118:BX118"/>
    <mergeCell ref="BT119:BX119"/>
    <mergeCell ref="BT121:BX121"/>
    <mergeCell ref="BT122:BX122"/>
    <mergeCell ref="BT123:BX123"/>
    <mergeCell ref="BT124:BX124"/>
    <mergeCell ref="BT125:BX125"/>
    <mergeCell ref="CX118:DB118"/>
    <mergeCell ref="CX119:DB119"/>
    <mergeCell ref="CX121:DB121"/>
    <mergeCell ref="CX122:DB122"/>
    <mergeCell ref="CX123:DB123"/>
    <mergeCell ref="CX124:DB124"/>
    <mergeCell ref="CX125:DB125"/>
    <mergeCell ref="BS113:CF113"/>
    <mergeCell ref="BT114:BX114"/>
    <mergeCell ref="CI114:CM114"/>
    <mergeCell ref="CX114:DB114"/>
    <mergeCell ref="BT116:BX116"/>
    <mergeCell ref="CX116:DB116"/>
    <mergeCell ref="CX117:DB117"/>
    <mergeCell ref="BS60:BU60"/>
    <mergeCell ref="BW60:BX60"/>
    <mergeCell ref="BD62:BQ62"/>
    <mergeCell ref="BS62:CF62"/>
    <mergeCell ref="CW62:DJ62"/>
    <mergeCell ref="BD63:BQ63"/>
    <mergeCell ref="BS63:CF63"/>
    <mergeCell ref="CW63:DJ63"/>
    <mergeCell ref="CH62:CU62"/>
    <mergeCell ref="CH63:CU63"/>
    <mergeCell ref="BT64:BX64"/>
    <mergeCell ref="CI64:CM64"/>
    <mergeCell ref="CX64:DB64"/>
    <mergeCell ref="CI66:CM66"/>
    <mergeCell ref="CX66:DB66"/>
    <mergeCell ref="CI87:CM87"/>
    <mergeCell ref="CI88:CM88"/>
    <mergeCell ref="BT85:BX85"/>
    <mergeCell ref="BT86:BX86"/>
    <mergeCell ref="CI86:CM86"/>
    <mergeCell ref="CX86:DB86"/>
    <mergeCell ref="BT87:BX87"/>
    <mergeCell ref="CX87:DB87"/>
    <mergeCell ref="CX88:DB88"/>
    <mergeCell ref="CI90:CM90"/>
    <mergeCell ref="CI92:CM92"/>
    <mergeCell ref="BT88:BX88"/>
    <mergeCell ref="BT89:BX89"/>
    <mergeCell ref="CI89:CM89"/>
    <mergeCell ref="CX89:DB89"/>
    <mergeCell ref="BT90:BX90"/>
    <mergeCell ref="CX90:DB90"/>
    <mergeCell ref="CX92:DB92"/>
    <mergeCell ref="BS49:CF49"/>
    <mergeCell ref="BS50:CF50"/>
    <mergeCell ref="BY52:CD52"/>
    <mergeCell ref="CJ52:CK52"/>
    <mergeCell ref="CN52:CS52"/>
    <mergeCell ref="CY52:CZ52"/>
    <mergeCell ref="DC52:DH52"/>
    <mergeCell ref="BD46:BL46"/>
    <mergeCell ref="BM46:BP46"/>
    <mergeCell ref="BS46:CA46"/>
    <mergeCell ref="CB46:CE46"/>
    <mergeCell ref="BD47:BQ47"/>
    <mergeCell ref="BS47:CF47"/>
    <mergeCell ref="BS48:CF48"/>
    <mergeCell ref="CA53:CB53"/>
    <mergeCell ref="CC53:CD53"/>
    <mergeCell ref="CP53:CQ53"/>
    <mergeCell ref="CR53:CS53"/>
    <mergeCell ref="DE53:DF53"/>
    <mergeCell ref="DG53:DH53"/>
    <mergeCell ref="BL54:BM54"/>
    <mergeCell ref="BN54:BO54"/>
    <mergeCell ref="CA54:CB54"/>
    <mergeCell ref="CC54:CD54"/>
    <mergeCell ref="CP54:CQ54"/>
    <mergeCell ref="CR54:CS54"/>
    <mergeCell ref="DE54:DF54"/>
    <mergeCell ref="DG54:DH54"/>
    <mergeCell ref="BL55:BM55"/>
    <mergeCell ref="BN55:BO55"/>
    <mergeCell ref="CA55:CB55"/>
    <mergeCell ref="CC55:CD55"/>
    <mergeCell ref="CP55:CQ55"/>
    <mergeCell ref="CR55:CS55"/>
    <mergeCell ref="DE55:DF55"/>
    <mergeCell ref="DG55:DH55"/>
    <mergeCell ref="BD48:BQ48"/>
    <mergeCell ref="BD49:BQ49"/>
    <mergeCell ref="BD50:BQ50"/>
    <mergeCell ref="BJ52:BO52"/>
    <mergeCell ref="BU52:BV52"/>
    <mergeCell ref="BL53:BM53"/>
    <mergeCell ref="BN53:BO53"/>
    <mergeCell ref="BT92:BX92"/>
    <mergeCell ref="BT93:BX93"/>
    <mergeCell ref="CI93:CM93"/>
    <mergeCell ref="CX93:DB93"/>
    <mergeCell ref="BT94:BX94"/>
    <mergeCell ref="CI94:CM94"/>
    <mergeCell ref="CX94:DB94"/>
    <mergeCell ref="BN103:BO103"/>
    <mergeCell ref="CA103:CB103"/>
    <mergeCell ref="CC103:CD103"/>
    <mergeCell ref="CP103:CQ103"/>
    <mergeCell ref="CR103:CS103"/>
    <mergeCell ref="DE103:DF103"/>
    <mergeCell ref="DG103:DH103"/>
    <mergeCell ref="BL103:BM103"/>
    <mergeCell ref="BL104:BM104"/>
    <mergeCell ref="BN104:BO104"/>
    <mergeCell ref="CA104:CB104"/>
    <mergeCell ref="CC104:CD104"/>
    <mergeCell ref="CP104:CQ104"/>
    <mergeCell ref="CR104:CS104"/>
    <mergeCell ref="CR105:CS105"/>
    <mergeCell ref="CP106:CS107"/>
    <mergeCell ref="BL105:BM105"/>
    <mergeCell ref="BN105:BO105"/>
    <mergeCell ref="CA105:CB105"/>
    <mergeCell ref="CC105:CD105"/>
    <mergeCell ref="CP105:CQ105"/>
    <mergeCell ref="BL106:BO107"/>
    <mergeCell ref="CA106:CD107"/>
    <mergeCell ref="CI136:CM136"/>
    <mergeCell ref="CI137:CM137"/>
    <mergeCell ref="CI138:CM138"/>
    <mergeCell ref="CI139:CM139"/>
    <mergeCell ref="CI140:CM140"/>
    <mergeCell ref="CI142:CM142"/>
    <mergeCell ref="CI143:CM143"/>
    <mergeCell ref="CI144:CM144"/>
    <mergeCell ref="CH146:CP146"/>
    <mergeCell ref="CW146:DE146"/>
    <mergeCell ref="DF146:DI146"/>
    <mergeCell ref="BS147:CF147"/>
    <mergeCell ref="CH147:CU147"/>
    <mergeCell ref="CW147:DJ147"/>
    <mergeCell ref="CW148:DJ148"/>
    <mergeCell ref="CW149:DJ149"/>
    <mergeCell ref="CW150:DJ150"/>
    <mergeCell ref="DC152:DH152"/>
    <mergeCell ref="DE153:DF153"/>
    <mergeCell ref="DG153:DH153"/>
    <mergeCell ref="BD147:BQ147"/>
    <mergeCell ref="BD148:BQ148"/>
    <mergeCell ref="BS148:CF148"/>
    <mergeCell ref="CH148:CU148"/>
    <mergeCell ref="BD149:BQ149"/>
    <mergeCell ref="CH149:CU149"/>
    <mergeCell ref="BD150:BQ150"/>
    <mergeCell ref="CH150:CU150"/>
    <mergeCell ref="BS149:CF149"/>
    <mergeCell ref="BS150:CF150"/>
    <mergeCell ref="BU152:BV152"/>
    <mergeCell ref="BY152:CD152"/>
    <mergeCell ref="CJ152:CK152"/>
    <mergeCell ref="CN152:CS152"/>
    <mergeCell ref="CY152:CZ152"/>
    <mergeCell ref="BJ152:BO152"/>
    <mergeCell ref="BL153:BM153"/>
    <mergeCell ref="BN153:BO153"/>
    <mergeCell ref="CA153:CB153"/>
    <mergeCell ref="CC153:CD153"/>
    <mergeCell ref="CP153:CQ153"/>
    <mergeCell ref="CR153:CS153"/>
    <mergeCell ref="DE155:DF155"/>
    <mergeCell ref="DG155:DH155"/>
    <mergeCell ref="BD158:BQ158"/>
    <mergeCell ref="BS158:CF158"/>
    <mergeCell ref="CH158:CU158"/>
    <mergeCell ref="CW158:DJ158"/>
    <mergeCell ref="BS159:CF159"/>
    <mergeCell ref="CH159:CU159"/>
    <mergeCell ref="CW159:DJ159"/>
    <mergeCell ref="BD159:BQ159"/>
    <mergeCell ref="BL160:BN160"/>
    <mergeCell ref="BO160:BQ160"/>
    <mergeCell ref="BS160:BU160"/>
    <mergeCell ref="BW160:BX160"/>
    <mergeCell ref="BY160:BZ160"/>
    <mergeCell ref="CA160:CC160"/>
    <mergeCell ref="BN154:BO154"/>
    <mergeCell ref="CA154:CB154"/>
    <mergeCell ref="CC154:CD154"/>
    <mergeCell ref="CP154:CQ154"/>
    <mergeCell ref="CR154:CS154"/>
    <mergeCell ref="DE154:DF154"/>
    <mergeCell ref="DG154:DH154"/>
    <mergeCell ref="CC155:CD155"/>
    <mergeCell ref="CA156:CD157"/>
    <mergeCell ref="CP156:CS157"/>
    <mergeCell ref="DE156:DH157"/>
    <mergeCell ref="BL154:BM154"/>
    <mergeCell ref="BL155:BM155"/>
    <mergeCell ref="BN155:BO155"/>
    <mergeCell ref="CA155:CB155"/>
    <mergeCell ref="CP155:CQ155"/>
    <mergeCell ref="CR155:CS155"/>
    <mergeCell ref="BL156:BO157"/>
    <mergeCell ref="DA160:DB160"/>
    <mergeCell ref="DC160:DD160"/>
    <mergeCell ref="DE160:DG160"/>
    <mergeCell ref="DH160:DJ160"/>
    <mergeCell ref="CD160:CF160"/>
    <mergeCell ref="CH160:CJ160"/>
    <mergeCell ref="CL160:CM160"/>
    <mergeCell ref="CN160:CO160"/>
    <mergeCell ref="CP160:CR160"/>
    <mergeCell ref="CS160:CU160"/>
    <mergeCell ref="CW160:CY160"/>
    <mergeCell ref="BD162:BQ162"/>
    <mergeCell ref="BS162:CF162"/>
    <mergeCell ref="CH162:CU162"/>
    <mergeCell ref="CW162:DJ162"/>
    <mergeCell ref="BD163:BQ163"/>
    <mergeCell ref="CH163:CU163"/>
    <mergeCell ref="CW163:DJ163"/>
    <mergeCell ref="CI188:CM188"/>
    <mergeCell ref="CI189:CM189"/>
    <mergeCell ref="CI190:CM190"/>
    <mergeCell ref="CI192:CM192"/>
    <mergeCell ref="CI193:CM193"/>
    <mergeCell ref="CI194:CM194"/>
    <mergeCell ref="CJ202:CK202"/>
    <mergeCell ref="CI181:CM181"/>
    <mergeCell ref="CI182:CM182"/>
    <mergeCell ref="CI183:CM183"/>
    <mergeCell ref="CI184:CM184"/>
    <mergeCell ref="CI185:CM185"/>
    <mergeCell ref="CI186:CM186"/>
    <mergeCell ref="CI187:CM187"/>
    <mergeCell ref="BS163:CF163"/>
    <mergeCell ref="BT164:BX164"/>
    <mergeCell ref="CI164:CM164"/>
    <mergeCell ref="CX164:DB164"/>
    <mergeCell ref="BT166:BX166"/>
    <mergeCell ref="CX166:DB166"/>
    <mergeCell ref="CX167:DB167"/>
    <mergeCell ref="CI166:CM166"/>
    <mergeCell ref="CI167:CM167"/>
    <mergeCell ref="CI168:CM168"/>
    <mergeCell ref="CI169:CM169"/>
    <mergeCell ref="CI171:CM171"/>
    <mergeCell ref="CI172:CM172"/>
    <mergeCell ref="CI173:CM173"/>
    <mergeCell ref="BT167:BX167"/>
    <mergeCell ref="BT168:BX168"/>
    <mergeCell ref="BT169:BX169"/>
    <mergeCell ref="BT171:BX171"/>
    <mergeCell ref="BT172:BX172"/>
    <mergeCell ref="BT173:BX173"/>
    <mergeCell ref="BT174:BX174"/>
    <mergeCell ref="CX168:DB168"/>
    <mergeCell ref="CX169:DB169"/>
    <mergeCell ref="CX171:DB171"/>
    <mergeCell ref="CX172:DB172"/>
    <mergeCell ref="CX173:DB173"/>
    <mergeCell ref="CX174:DB174"/>
    <mergeCell ref="CX175:DB175"/>
    <mergeCell ref="CI174:CM174"/>
    <mergeCell ref="CI175:CM175"/>
    <mergeCell ref="CI176:CM176"/>
    <mergeCell ref="CI177:CM177"/>
    <mergeCell ref="CI178:CM178"/>
    <mergeCell ref="CI179:CM179"/>
    <mergeCell ref="CI180:CM180"/>
    <mergeCell ref="CX176:DB176"/>
    <mergeCell ref="CX177:DB177"/>
    <mergeCell ref="CX178:DB178"/>
    <mergeCell ref="CX179:DB179"/>
    <mergeCell ref="CX180:DB180"/>
    <mergeCell ref="CX181:DB181"/>
    <mergeCell ref="CX182:DB182"/>
    <mergeCell ref="CX183:DB183"/>
    <mergeCell ref="CX184:DB184"/>
    <mergeCell ref="CX185:DB185"/>
    <mergeCell ref="CX186:DB186"/>
    <mergeCell ref="CX187:DB187"/>
    <mergeCell ref="CX188:DB188"/>
    <mergeCell ref="CX189:DB189"/>
    <mergeCell ref="BD212:BQ212"/>
    <mergeCell ref="BD213:BQ213"/>
    <mergeCell ref="BL204:BM204"/>
    <mergeCell ref="BL205:BM205"/>
    <mergeCell ref="BN205:BO205"/>
    <mergeCell ref="BL206:BO207"/>
    <mergeCell ref="BD208:BQ208"/>
    <mergeCell ref="BD209:BQ209"/>
    <mergeCell ref="BL210:BN210"/>
    <mergeCell ref="BT175:BX175"/>
    <mergeCell ref="BT176:BX176"/>
    <mergeCell ref="BT177:BX177"/>
    <mergeCell ref="BT178:BX178"/>
    <mergeCell ref="BT179:BX179"/>
    <mergeCell ref="BT180:BX180"/>
    <mergeCell ref="BT181:BX181"/>
    <mergeCell ref="BT182:BX182"/>
    <mergeCell ref="BT183:BX183"/>
    <mergeCell ref="BT184:BX184"/>
    <mergeCell ref="BT185:BX185"/>
    <mergeCell ref="BT186:BX186"/>
    <mergeCell ref="BT187:BX187"/>
    <mergeCell ref="BT188:BX188"/>
    <mergeCell ref="BT189:BX189"/>
    <mergeCell ref="BT190:BX190"/>
    <mergeCell ref="BT192:BX192"/>
    <mergeCell ref="BT193:BX193"/>
    <mergeCell ref="BT194:BX194"/>
    <mergeCell ref="BM196:BP196"/>
    <mergeCell ref="BS196:CA196"/>
    <mergeCell ref="BD197:BQ197"/>
    <mergeCell ref="BD198:BQ198"/>
    <mergeCell ref="BD199:BQ199"/>
    <mergeCell ref="BD200:BQ200"/>
    <mergeCell ref="BJ202:BO202"/>
    <mergeCell ref="BU202:BV202"/>
    <mergeCell ref="BY202:CD202"/>
    <mergeCell ref="CA205:CB205"/>
    <mergeCell ref="CC205:CD205"/>
    <mergeCell ref="CA206:CD207"/>
    <mergeCell ref="BL203:BM203"/>
    <mergeCell ref="BN203:BO203"/>
    <mergeCell ref="CA203:CB203"/>
    <mergeCell ref="CC203:CD203"/>
    <mergeCell ref="BN204:BO204"/>
    <mergeCell ref="CA204:CB204"/>
    <mergeCell ref="CC204:CD204"/>
    <mergeCell ref="BO210:BQ210"/>
    <mergeCell ref="BS210:BU210"/>
    <mergeCell ref="BW210:BX210"/>
    <mergeCell ref="BY210:BZ210"/>
    <mergeCell ref="CA210:CC210"/>
    <mergeCell ref="CX227:DB227"/>
    <mergeCell ref="CX228:DB228"/>
    <mergeCell ref="CX219:DB219"/>
    <mergeCell ref="CX221:DB221"/>
    <mergeCell ref="CX222:DB222"/>
    <mergeCell ref="CX223:DB223"/>
    <mergeCell ref="CX224:DB224"/>
    <mergeCell ref="CX225:DB225"/>
    <mergeCell ref="CX226:DB226"/>
    <mergeCell ref="CX190:DB190"/>
    <mergeCell ref="CX192:DB192"/>
    <mergeCell ref="CX193:DB193"/>
    <mergeCell ref="CX194:DB194"/>
    <mergeCell ref="CB196:CE196"/>
    <mergeCell ref="CH196:CP196"/>
    <mergeCell ref="CQ196:CT196"/>
    <mergeCell ref="CW196:DE196"/>
    <mergeCell ref="DF196:DI196"/>
    <mergeCell ref="BS197:CF197"/>
    <mergeCell ref="CH197:CU197"/>
    <mergeCell ref="CW197:DJ197"/>
    <mergeCell ref="CH198:CU198"/>
    <mergeCell ref="CW198:DJ198"/>
    <mergeCell ref="BS198:CF198"/>
    <mergeCell ref="BS199:CF199"/>
    <mergeCell ref="CH199:CU199"/>
    <mergeCell ref="CW199:DJ199"/>
    <mergeCell ref="BS200:CF200"/>
    <mergeCell ref="CH200:CU200"/>
    <mergeCell ref="CW200:DJ200"/>
    <mergeCell ref="CN202:CS202"/>
    <mergeCell ref="CY202:CZ202"/>
    <mergeCell ref="DC202:DH202"/>
    <mergeCell ref="CP203:CQ203"/>
    <mergeCell ref="CR203:CS203"/>
    <mergeCell ref="DE203:DF203"/>
    <mergeCell ref="DG203:DH203"/>
    <mergeCell ref="DE206:DH207"/>
    <mergeCell ref="CW208:DJ208"/>
    <mergeCell ref="CW209:DJ209"/>
    <mergeCell ref="CW212:DJ212"/>
    <mergeCell ref="CW213:DJ213"/>
    <mergeCell ref="CX214:DB214"/>
    <mergeCell ref="CP204:CQ204"/>
    <mergeCell ref="CR204:CS204"/>
    <mergeCell ref="DE204:DF204"/>
    <mergeCell ref="DG204:DH204"/>
    <mergeCell ref="CP205:CQ205"/>
    <mergeCell ref="DE205:DF205"/>
    <mergeCell ref="DG205:DH205"/>
    <mergeCell ref="CN210:CO210"/>
    <mergeCell ref="CP210:CR210"/>
    <mergeCell ref="CW210:CY210"/>
    <mergeCell ref="DA210:DB210"/>
    <mergeCell ref="DC210:DD210"/>
    <mergeCell ref="DE210:DG210"/>
    <mergeCell ref="DH210:DJ210"/>
    <mergeCell ref="CI230:CM230"/>
    <mergeCell ref="CI231:CM231"/>
    <mergeCell ref="CI232:CM232"/>
    <mergeCell ref="CI225:CM225"/>
    <mergeCell ref="CI226:CM226"/>
    <mergeCell ref="CI227:CM227"/>
    <mergeCell ref="CI228:CM228"/>
    <mergeCell ref="CI229:CM229"/>
    <mergeCell ref="CX229:DB229"/>
    <mergeCell ref="CX230:DB230"/>
    <mergeCell ref="CI233:CM233"/>
    <mergeCell ref="CI234:CM234"/>
    <mergeCell ref="CI217:CM217"/>
    <mergeCell ref="CI218:CM218"/>
    <mergeCell ref="CI219:CM219"/>
    <mergeCell ref="CI221:CM221"/>
    <mergeCell ref="CI222:CM222"/>
    <mergeCell ref="CI223:CM223"/>
    <mergeCell ref="CI224:CM224"/>
    <mergeCell ref="CX238:DB238"/>
    <mergeCell ref="CX239:DB239"/>
    <mergeCell ref="CX231:DB231"/>
    <mergeCell ref="CX232:DB232"/>
    <mergeCell ref="CX233:DB233"/>
    <mergeCell ref="CX234:DB234"/>
    <mergeCell ref="CX235:DB235"/>
    <mergeCell ref="CX236:DB236"/>
    <mergeCell ref="CX237:DB237"/>
    <mergeCell ref="CR205:CS205"/>
    <mergeCell ref="CP206:CS207"/>
    <mergeCell ref="BS208:CF208"/>
    <mergeCell ref="CH208:CU208"/>
    <mergeCell ref="BS209:CF209"/>
    <mergeCell ref="CH209:CU209"/>
    <mergeCell ref="CD210:CF210"/>
    <mergeCell ref="CS210:CU210"/>
    <mergeCell ref="CH210:CJ210"/>
    <mergeCell ref="CL210:CM210"/>
    <mergeCell ref="BS212:CF212"/>
    <mergeCell ref="CH212:CU212"/>
    <mergeCell ref="BS213:CF213"/>
    <mergeCell ref="CH213:CU213"/>
    <mergeCell ref="CI214:CM214"/>
    <mergeCell ref="BT214:BX214"/>
    <mergeCell ref="BT216:BX216"/>
    <mergeCell ref="CI216:CM216"/>
    <mergeCell ref="CX216:DB216"/>
    <mergeCell ref="BT217:BX217"/>
    <mergeCell ref="CX217:DB217"/>
    <mergeCell ref="CX218:DB218"/>
    <mergeCell ref="BT218:BX218"/>
    <mergeCell ref="BT219:BX219"/>
    <mergeCell ref="BT221:BX221"/>
    <mergeCell ref="BT222:BX222"/>
    <mergeCell ref="BT223:BX223"/>
    <mergeCell ref="BT224:BX224"/>
    <mergeCell ref="BT225:BX225"/>
    <mergeCell ref="BT236:BX236"/>
    <mergeCell ref="BT237:BX237"/>
    <mergeCell ref="BT238:BX238"/>
    <mergeCell ref="BT239:BX239"/>
    <mergeCell ref="BT240:BX240"/>
    <mergeCell ref="BT242:BX242"/>
    <mergeCell ref="BT243:BX243"/>
    <mergeCell ref="BT244:BX244"/>
    <mergeCell ref="BT226:BX226"/>
    <mergeCell ref="BT227:BX227"/>
    <mergeCell ref="BT228:BX228"/>
    <mergeCell ref="BT229:BX229"/>
    <mergeCell ref="BT230:BX230"/>
    <mergeCell ref="BT231:BX231"/>
    <mergeCell ref="BT232:BX232"/>
    <mergeCell ref="BT233:BX233"/>
    <mergeCell ref="BT234:BX234"/>
    <mergeCell ref="BT235:BX235"/>
    <mergeCell ref="CI235:CM235"/>
    <mergeCell ref="CI236:CM236"/>
    <mergeCell ref="CI237:CM237"/>
    <mergeCell ref="CI238:CM238"/>
    <mergeCell ref="BJ252:BO252"/>
    <mergeCell ref="BU252:BV252"/>
    <mergeCell ref="BY252:CD252"/>
    <mergeCell ref="CJ252:CK252"/>
    <mergeCell ref="CN252:CS252"/>
    <mergeCell ref="CY252:CZ252"/>
    <mergeCell ref="DC252:DH252"/>
    <mergeCell ref="BN253:BO253"/>
    <mergeCell ref="CA253:CB253"/>
    <mergeCell ref="CC253:CD253"/>
    <mergeCell ref="CP253:CQ253"/>
    <mergeCell ref="CR253:CS253"/>
    <mergeCell ref="DE253:DF253"/>
    <mergeCell ref="DG253:DH253"/>
    <mergeCell ref="DE254:DF254"/>
    <mergeCell ref="DG254:DH254"/>
    <mergeCell ref="BL253:BM253"/>
    <mergeCell ref="BL254:BM254"/>
    <mergeCell ref="BN254:BO254"/>
    <mergeCell ref="CA254:CB254"/>
    <mergeCell ref="CC254:CD254"/>
    <mergeCell ref="CP254:CQ254"/>
    <mergeCell ref="CR254:CS254"/>
    <mergeCell ref="AA14:AE14"/>
    <mergeCell ref="AA16:AE16"/>
    <mergeCell ref="L18:P18"/>
    <mergeCell ref="AP18:AT18"/>
    <mergeCell ref="BT18:BX18"/>
    <mergeCell ref="L19:P19"/>
    <mergeCell ref="AP19:AT19"/>
    <mergeCell ref="BT19:BX19"/>
    <mergeCell ref="AA18:AE18"/>
    <mergeCell ref="AA19:AE19"/>
    <mergeCell ref="L21:P21"/>
    <mergeCell ref="AA21:AE21"/>
    <mergeCell ref="AP21:AT21"/>
    <mergeCell ref="AA22:AE22"/>
    <mergeCell ref="AP22:AT22"/>
    <mergeCell ref="AF10:AG10"/>
    <mergeCell ref="AH10:AJ10"/>
    <mergeCell ref="AO10:AQ10"/>
    <mergeCell ref="AS10:AT10"/>
    <mergeCell ref="AU10:AV10"/>
    <mergeCell ref="AW10:AY10"/>
    <mergeCell ref="AZ10:BB10"/>
    <mergeCell ref="AP16:AT16"/>
    <mergeCell ref="BE16:BI16"/>
    <mergeCell ref="BT16:BX16"/>
    <mergeCell ref="CI16:CM16"/>
    <mergeCell ref="CX16:DB16"/>
    <mergeCell ref="L17:P17"/>
    <mergeCell ref="AA17:AE17"/>
    <mergeCell ref="AP17:AT17"/>
    <mergeCell ref="BE17:BI17"/>
    <mergeCell ref="BT17:BX17"/>
    <mergeCell ref="CI17:CM17"/>
    <mergeCell ref="CX17:DB17"/>
    <mergeCell ref="Z10:AB10"/>
    <mergeCell ref="AD10:AE10"/>
    <mergeCell ref="Z12:AM12"/>
    <mergeCell ref="AO12:BB12"/>
    <mergeCell ref="Z13:AM13"/>
    <mergeCell ref="AO13:BB13"/>
    <mergeCell ref="L16:P16"/>
    <mergeCell ref="CI18:CM18"/>
    <mergeCell ref="CX18:DB18"/>
    <mergeCell ref="CI19:CM19"/>
    <mergeCell ref="CX19:DB19"/>
    <mergeCell ref="CI21:CM21"/>
    <mergeCell ref="CX21:DB21"/>
    <mergeCell ref="CX22:DB22"/>
    <mergeCell ref="CI22:CM22"/>
    <mergeCell ref="CI23:CM23"/>
    <mergeCell ref="CI24:CM24"/>
    <mergeCell ref="CI25:CM25"/>
    <mergeCell ref="CI26:CM26"/>
    <mergeCell ref="CI27:CM27"/>
    <mergeCell ref="CI28:CM28"/>
    <mergeCell ref="CI35:CM35"/>
    <mergeCell ref="CX35:DB35"/>
    <mergeCell ref="BJ2:BO2"/>
    <mergeCell ref="BU2:BV2"/>
    <mergeCell ref="BY2:CD2"/>
    <mergeCell ref="CJ2:CK2"/>
    <mergeCell ref="CN2:CS2"/>
    <mergeCell ref="CY2:CZ2"/>
    <mergeCell ref="DC2:DH2"/>
    <mergeCell ref="R1:W1"/>
    <mergeCell ref="R2:W2"/>
    <mergeCell ref="AB2:AC2"/>
    <mergeCell ref="AF2:AK2"/>
    <mergeCell ref="AQ2:AR2"/>
    <mergeCell ref="AU2:AZ2"/>
    <mergeCell ref="BF2:BG2"/>
    <mergeCell ref="BL3:BM3"/>
    <mergeCell ref="BN3:BO3"/>
    <mergeCell ref="CA3:CB3"/>
    <mergeCell ref="CC3:CD3"/>
    <mergeCell ref="CP3:CQ3"/>
    <mergeCell ref="CR3:CS3"/>
    <mergeCell ref="DE3:DF3"/>
    <mergeCell ref="DG3:DH3"/>
    <mergeCell ref="B3:I3"/>
    <mergeCell ref="K3:X3"/>
    <mergeCell ref="AH3:AI3"/>
    <mergeCell ref="AJ3:AK3"/>
    <mergeCell ref="AQ3:AR3"/>
    <mergeCell ref="AW3:AX3"/>
    <mergeCell ref="AY3:AZ3"/>
    <mergeCell ref="BN4:BO4"/>
    <mergeCell ref="CA4:CB4"/>
    <mergeCell ref="CC4:CD4"/>
    <mergeCell ref="CP4:CQ4"/>
    <mergeCell ref="CR4:CS4"/>
    <mergeCell ref="DE4:DF4"/>
    <mergeCell ref="DG4:DH4"/>
    <mergeCell ref="K4:L4"/>
    <mergeCell ref="S4:W4"/>
    <mergeCell ref="AH4:AI4"/>
    <mergeCell ref="AJ4:AK4"/>
    <mergeCell ref="AW4:AX4"/>
    <mergeCell ref="AY4:AZ4"/>
    <mergeCell ref="BL4:BM4"/>
    <mergeCell ref="B1:F1"/>
    <mergeCell ref="G1:H1"/>
    <mergeCell ref="K1:Q1"/>
    <mergeCell ref="D2:E2"/>
    <mergeCell ref="G2:H2"/>
    <mergeCell ref="K2:L2"/>
    <mergeCell ref="N2:P2"/>
    <mergeCell ref="BN5:BO5"/>
    <mergeCell ref="CA5:CB5"/>
    <mergeCell ref="CC5:CD5"/>
    <mergeCell ref="CP5:CQ5"/>
    <mergeCell ref="CR5:CS5"/>
    <mergeCell ref="DE5:DF5"/>
    <mergeCell ref="DG5:DH5"/>
    <mergeCell ref="K5:L5"/>
    <mergeCell ref="S5:W5"/>
    <mergeCell ref="AH5:AI5"/>
    <mergeCell ref="AJ5:AK5"/>
    <mergeCell ref="AW5:AX5"/>
    <mergeCell ref="AY5:AZ5"/>
    <mergeCell ref="BL5:BM5"/>
    <mergeCell ref="CP6:CS7"/>
    <mergeCell ref="DE6:DH7"/>
    <mergeCell ref="K6:L6"/>
    <mergeCell ref="M6:O6"/>
    <mergeCell ref="S6:W6"/>
    <mergeCell ref="AH6:AK7"/>
    <mergeCell ref="AW6:AZ7"/>
    <mergeCell ref="BL6:BO7"/>
    <mergeCell ref="CA6:CD7"/>
    <mergeCell ref="BD8:BQ8"/>
    <mergeCell ref="BD9:BQ9"/>
    <mergeCell ref="CH8:CU8"/>
    <mergeCell ref="CH9:CU9"/>
    <mergeCell ref="K8:X8"/>
    <mergeCell ref="AO8:BB8"/>
    <mergeCell ref="BS8:CF8"/>
    <mergeCell ref="CW8:DJ8"/>
    <mergeCell ref="K9:X9"/>
    <mergeCell ref="AO9:BB9"/>
    <mergeCell ref="BS9:CF9"/>
    <mergeCell ref="CW9:DJ9"/>
    <mergeCell ref="S10:U10"/>
    <mergeCell ref="V10:X10"/>
    <mergeCell ref="K12:X12"/>
    <mergeCell ref="K13:X13"/>
    <mergeCell ref="L14:P14"/>
    <mergeCell ref="Z8:AM8"/>
    <mergeCell ref="Z9:AM9"/>
    <mergeCell ref="C10:E10"/>
    <mergeCell ref="F10:H10"/>
    <mergeCell ref="K10:M10"/>
    <mergeCell ref="O10:P10"/>
    <mergeCell ref="Q10:R10"/>
    <mergeCell ref="AK10:AM10"/>
    <mergeCell ref="CS10:CU10"/>
    <mergeCell ref="CW10:CY10"/>
    <mergeCell ref="DA10:DB10"/>
    <mergeCell ref="DC10:DD10"/>
    <mergeCell ref="DE10:DG10"/>
    <mergeCell ref="DH10:DJ10"/>
    <mergeCell ref="BY10:BZ10"/>
    <mergeCell ref="CA10:CC10"/>
    <mergeCell ref="CD10:CF10"/>
    <mergeCell ref="CH10:CJ10"/>
    <mergeCell ref="CL10:CM10"/>
    <mergeCell ref="CN10:CO10"/>
    <mergeCell ref="CP10:CR10"/>
    <mergeCell ref="BD12:BQ12"/>
    <mergeCell ref="BS12:CF12"/>
    <mergeCell ref="CH12:CU12"/>
    <mergeCell ref="CW12:DJ12"/>
    <mergeCell ref="BD13:BQ13"/>
    <mergeCell ref="BS13:CF13"/>
    <mergeCell ref="CH13:CU13"/>
    <mergeCell ref="CW13:DJ13"/>
    <mergeCell ref="BD10:BF10"/>
    <mergeCell ref="BH10:BI10"/>
    <mergeCell ref="BJ10:BK10"/>
    <mergeCell ref="BL10:BN10"/>
    <mergeCell ref="BO10:BQ10"/>
    <mergeCell ref="BS10:BU10"/>
    <mergeCell ref="BW10:BX10"/>
    <mergeCell ref="AP14:AT14"/>
    <mergeCell ref="BE14:BI14"/>
    <mergeCell ref="BT14:BX14"/>
    <mergeCell ref="CI14:CM14"/>
    <mergeCell ref="CX14:DB14"/>
    <mergeCell ref="CX30:DB30"/>
    <mergeCell ref="CX31:DB31"/>
    <mergeCell ref="CX23:DB23"/>
    <mergeCell ref="CX24:DB24"/>
    <mergeCell ref="CX25:DB25"/>
    <mergeCell ref="CX26:DB26"/>
    <mergeCell ref="CX27:DB27"/>
    <mergeCell ref="CX28:DB28"/>
    <mergeCell ref="CX29:DB29"/>
    <mergeCell ref="CX33:DB33"/>
    <mergeCell ref="CX34:DB34"/>
    <mergeCell ref="CI29:CM29"/>
    <mergeCell ref="CI30:CM30"/>
    <mergeCell ref="CI31:CM31"/>
    <mergeCell ref="CI32:CM32"/>
    <mergeCell ref="CX32:DB32"/>
    <mergeCell ref="CI33:CM33"/>
    <mergeCell ref="CI34:CM34"/>
    <mergeCell ref="CI36:CM36"/>
    <mergeCell ref="CX36:DB36"/>
    <mergeCell ref="CI37:CM37"/>
    <mergeCell ref="CX37:DB37"/>
    <mergeCell ref="CI38:CM38"/>
    <mergeCell ref="CX38:DB38"/>
    <mergeCell ref="CX39:DB39"/>
    <mergeCell ref="CH47:CU47"/>
    <mergeCell ref="CH48:CU48"/>
    <mergeCell ref="CH49:CU49"/>
    <mergeCell ref="CH50:CU50"/>
    <mergeCell ref="CI39:CM39"/>
    <mergeCell ref="CI40:CM40"/>
    <mergeCell ref="CI42:CM42"/>
    <mergeCell ref="CI43:CM43"/>
    <mergeCell ref="CI44:CM44"/>
    <mergeCell ref="CH46:CP46"/>
    <mergeCell ref="CQ46:CT46"/>
    <mergeCell ref="CW48:DJ48"/>
    <mergeCell ref="CW49:DJ49"/>
    <mergeCell ref="CW50:DJ50"/>
    <mergeCell ref="CX40:DB40"/>
    <mergeCell ref="CX42:DB42"/>
    <mergeCell ref="CX43:DB43"/>
    <mergeCell ref="CX44:DB44"/>
    <mergeCell ref="CW46:DE46"/>
    <mergeCell ref="DF46:DI46"/>
    <mergeCell ref="CW47:DJ47"/>
    <mergeCell ref="AA35:AE35"/>
    <mergeCell ref="AA36:AE36"/>
    <mergeCell ref="AA24:AE24"/>
    <mergeCell ref="AA25:AE25"/>
    <mergeCell ref="AA26:AE26"/>
    <mergeCell ref="AA27:AE27"/>
    <mergeCell ref="AA28:AE28"/>
    <mergeCell ref="AA29:AE29"/>
    <mergeCell ref="AA30:AE30"/>
    <mergeCell ref="BE18:BI18"/>
    <mergeCell ref="BE19:BI19"/>
    <mergeCell ref="BE21:BI21"/>
    <mergeCell ref="BT21:BX21"/>
    <mergeCell ref="BE22:BI22"/>
    <mergeCell ref="BT22:BX22"/>
    <mergeCell ref="BT23:BX23"/>
    <mergeCell ref="BE23:BI23"/>
    <mergeCell ref="BE24:BI24"/>
    <mergeCell ref="BE25:BI25"/>
    <mergeCell ref="BE26:BI26"/>
    <mergeCell ref="BE27:BI27"/>
    <mergeCell ref="BE28:BI28"/>
    <mergeCell ref="BE29:BI29"/>
    <mergeCell ref="BT24:BX24"/>
    <mergeCell ref="BT25:BX25"/>
    <mergeCell ref="BT26:BX26"/>
    <mergeCell ref="BT27:BX27"/>
    <mergeCell ref="BT28:BX28"/>
    <mergeCell ref="BT29:BX29"/>
    <mergeCell ref="BT30:BX30"/>
    <mergeCell ref="BE30:BI30"/>
    <mergeCell ref="BE31:BI31"/>
    <mergeCell ref="BE32:BI32"/>
    <mergeCell ref="BE33:BI33"/>
    <mergeCell ref="BE34:BI34"/>
    <mergeCell ref="BE35:BI35"/>
    <mergeCell ref="BE36:BI36"/>
    <mergeCell ref="BT38:BX38"/>
    <mergeCell ref="BT39:BX39"/>
    <mergeCell ref="BT40:BX40"/>
    <mergeCell ref="BT42:BX42"/>
    <mergeCell ref="BT43:BX43"/>
    <mergeCell ref="BT44:BX44"/>
    <mergeCell ref="BT31:BX31"/>
    <mergeCell ref="BT32:BX32"/>
    <mergeCell ref="BT33:BX33"/>
    <mergeCell ref="BT34:BX34"/>
    <mergeCell ref="BT35:BX35"/>
    <mergeCell ref="BT36:BX36"/>
    <mergeCell ref="BT37:BX37"/>
    <mergeCell ref="BE37:BI37"/>
    <mergeCell ref="BE38:BI38"/>
    <mergeCell ref="BE39:BI39"/>
    <mergeCell ref="BE40:BI40"/>
    <mergeCell ref="BE42:BI42"/>
    <mergeCell ref="BE43:BI43"/>
    <mergeCell ref="BE44:BI44"/>
    <mergeCell ref="BL56:BO57"/>
    <mergeCell ref="CA56:CD57"/>
    <mergeCell ref="CP56:CS57"/>
    <mergeCell ref="DE56:DH57"/>
    <mergeCell ref="BS58:CF58"/>
    <mergeCell ref="CH58:CU58"/>
    <mergeCell ref="CW58:DJ58"/>
    <mergeCell ref="BY60:BZ60"/>
    <mergeCell ref="CA60:CC60"/>
    <mergeCell ref="CD60:CF60"/>
    <mergeCell ref="CH60:CJ60"/>
    <mergeCell ref="CL60:CM60"/>
    <mergeCell ref="CN60:CO60"/>
    <mergeCell ref="CP60:CR60"/>
    <mergeCell ref="CS60:CU60"/>
    <mergeCell ref="CW60:CY60"/>
    <mergeCell ref="DA60:DB60"/>
    <mergeCell ref="DC60:DD60"/>
    <mergeCell ref="DE60:DG60"/>
    <mergeCell ref="BD58:BQ58"/>
    <mergeCell ref="BD59:BQ59"/>
    <mergeCell ref="BS59:CF59"/>
    <mergeCell ref="CH59:CU59"/>
    <mergeCell ref="CW59:DJ59"/>
    <mergeCell ref="BL60:BN60"/>
    <mergeCell ref="BO60:BQ60"/>
    <mergeCell ref="DH60:DJ60"/>
    <mergeCell ref="CI68:CM68"/>
    <mergeCell ref="CI69:CM69"/>
    <mergeCell ref="BT66:BX66"/>
    <mergeCell ref="BT67:BX67"/>
    <mergeCell ref="CI67:CM67"/>
    <mergeCell ref="CX67:DB67"/>
    <mergeCell ref="BT68:BX68"/>
    <mergeCell ref="CX68:DB68"/>
    <mergeCell ref="CX69:DB69"/>
    <mergeCell ref="CI72:CM72"/>
    <mergeCell ref="CI73:CM73"/>
    <mergeCell ref="BT69:BX69"/>
    <mergeCell ref="BT71:BX71"/>
    <mergeCell ref="CI71:CM71"/>
    <mergeCell ref="CX71:DB71"/>
    <mergeCell ref="BT72:BX72"/>
    <mergeCell ref="CX72:DB72"/>
    <mergeCell ref="CX73:DB73"/>
    <mergeCell ref="CI75:CM75"/>
    <mergeCell ref="CI76:CM76"/>
    <mergeCell ref="BT73:BX73"/>
    <mergeCell ref="BT74:BX74"/>
    <mergeCell ref="CI74:CM74"/>
    <mergeCell ref="CX74:DB74"/>
    <mergeCell ref="BT75:BX75"/>
    <mergeCell ref="CX75:DB75"/>
    <mergeCell ref="CX76:DB76"/>
    <mergeCell ref="CI78:CM78"/>
    <mergeCell ref="CI79:CM79"/>
    <mergeCell ref="BT76:BX76"/>
    <mergeCell ref="BT77:BX77"/>
    <mergeCell ref="CI77:CM77"/>
    <mergeCell ref="CX77:DB77"/>
    <mergeCell ref="BT78:BX78"/>
    <mergeCell ref="CX78:DB78"/>
    <mergeCell ref="CX79:DB79"/>
    <mergeCell ref="CI81:CM81"/>
    <mergeCell ref="CI82:CM82"/>
    <mergeCell ref="BT79:BX79"/>
    <mergeCell ref="BT80:BX80"/>
    <mergeCell ref="CI80:CM80"/>
    <mergeCell ref="CX80:DB80"/>
    <mergeCell ref="BT81:BX81"/>
    <mergeCell ref="CX81:DB81"/>
    <mergeCell ref="CX82:DB82"/>
    <mergeCell ref="CI84:CM84"/>
    <mergeCell ref="CI85:CM85"/>
    <mergeCell ref="BT82:BX82"/>
    <mergeCell ref="BT83:BX83"/>
    <mergeCell ref="CI83:CM83"/>
    <mergeCell ref="CX83:DB83"/>
    <mergeCell ref="BT84:BX84"/>
    <mergeCell ref="CX84:DB84"/>
    <mergeCell ref="CX85:DB85"/>
    <mergeCell ref="AO97:BB97"/>
    <mergeCell ref="AO98:BB98"/>
    <mergeCell ref="AP89:AT89"/>
    <mergeCell ref="AP90:AT90"/>
    <mergeCell ref="AP92:AT92"/>
    <mergeCell ref="AP93:AT93"/>
    <mergeCell ref="AP94:AT94"/>
    <mergeCell ref="AO96:AW96"/>
    <mergeCell ref="AX96:BA96"/>
    <mergeCell ref="AO62:BB62"/>
    <mergeCell ref="AO63:BB63"/>
    <mergeCell ref="AP64:AT64"/>
    <mergeCell ref="BE64:BI64"/>
    <mergeCell ref="AP66:AT66"/>
    <mergeCell ref="BE66:BI66"/>
    <mergeCell ref="BE67:BI67"/>
    <mergeCell ref="AP67:AT67"/>
    <mergeCell ref="AP68:AT68"/>
    <mergeCell ref="AP69:AT69"/>
    <mergeCell ref="AP71:AT71"/>
    <mergeCell ref="AP72:AT72"/>
    <mergeCell ref="AP73:AT73"/>
    <mergeCell ref="AP74:AT74"/>
    <mergeCell ref="BE68:BI68"/>
    <mergeCell ref="BE69:BI69"/>
    <mergeCell ref="BE71:BI71"/>
    <mergeCell ref="BE72:BI72"/>
    <mergeCell ref="BE73:BI73"/>
    <mergeCell ref="BE74:BI74"/>
    <mergeCell ref="BE75:BI75"/>
    <mergeCell ref="AP75:AT75"/>
    <mergeCell ref="AP76:AT76"/>
    <mergeCell ref="AP77:AT77"/>
    <mergeCell ref="AP78:AT78"/>
    <mergeCell ref="AP79:AT79"/>
    <mergeCell ref="AP80:AT80"/>
    <mergeCell ref="AP81:AT81"/>
    <mergeCell ref="AP82:AT82"/>
    <mergeCell ref="AP83:AT83"/>
    <mergeCell ref="AP84:AT84"/>
    <mergeCell ref="AP85:AT85"/>
    <mergeCell ref="AP86:AT86"/>
    <mergeCell ref="AP87:AT87"/>
    <mergeCell ref="AP88:AT88"/>
    <mergeCell ref="BE93:BI93"/>
    <mergeCell ref="BE94:BI94"/>
    <mergeCell ref="BE76:BI76"/>
    <mergeCell ref="BE77:BI77"/>
    <mergeCell ref="BE78:BI78"/>
    <mergeCell ref="BE79:BI79"/>
    <mergeCell ref="BE80:BI80"/>
    <mergeCell ref="BE81:BI81"/>
    <mergeCell ref="BE82:BI82"/>
    <mergeCell ref="AF110:AG110"/>
    <mergeCell ref="AH110:AJ110"/>
    <mergeCell ref="AH105:AI105"/>
    <mergeCell ref="AJ105:AK105"/>
    <mergeCell ref="AH106:AK107"/>
    <mergeCell ref="Z108:AM108"/>
    <mergeCell ref="Z109:AM109"/>
    <mergeCell ref="Z110:AB110"/>
    <mergeCell ref="AD110:AE110"/>
    <mergeCell ref="AK110:AM110"/>
    <mergeCell ref="AH55:AI55"/>
    <mergeCell ref="AJ55:AK55"/>
    <mergeCell ref="AH56:AK57"/>
    <mergeCell ref="Z58:AM58"/>
    <mergeCell ref="Z59:AM59"/>
    <mergeCell ref="AD60:AE60"/>
    <mergeCell ref="AF60:AG60"/>
    <mergeCell ref="Z62:AM62"/>
    <mergeCell ref="Z63:AM63"/>
    <mergeCell ref="AA64:AE64"/>
    <mergeCell ref="AA66:AE66"/>
    <mergeCell ref="AA67:AE67"/>
    <mergeCell ref="AA68:AE68"/>
    <mergeCell ref="AA69:AE69"/>
    <mergeCell ref="AA71:AE71"/>
    <mergeCell ref="AA72:AE72"/>
    <mergeCell ref="AA73:AE73"/>
    <mergeCell ref="AA74:AE74"/>
    <mergeCell ref="AA75:AE75"/>
    <mergeCell ref="AA76:AE76"/>
    <mergeCell ref="AA77:AE77"/>
    <mergeCell ref="AA78:AE78"/>
    <mergeCell ref="AA79:AE79"/>
    <mergeCell ref="AA80:AE80"/>
    <mergeCell ref="AA81:AE81"/>
    <mergeCell ref="AA82:AE82"/>
    <mergeCell ref="AA83:AE83"/>
    <mergeCell ref="AA84:AE84"/>
    <mergeCell ref="AA85:AE85"/>
    <mergeCell ref="AA86:AE86"/>
    <mergeCell ref="AA87:AE87"/>
    <mergeCell ref="AA88:AE88"/>
    <mergeCell ref="AA89:AE89"/>
    <mergeCell ref="AA90:AE90"/>
    <mergeCell ref="AA92:AE92"/>
    <mergeCell ref="AA93:AE93"/>
    <mergeCell ref="AA94:AE94"/>
    <mergeCell ref="Z96:AH96"/>
    <mergeCell ref="AI96:AL96"/>
    <mergeCell ref="Z97:AM97"/>
    <mergeCell ref="Z98:AM98"/>
    <mergeCell ref="Z99:AM99"/>
    <mergeCell ref="Z100:AM100"/>
    <mergeCell ref="AB102:AC102"/>
    <mergeCell ref="AF102:AK102"/>
    <mergeCell ref="AH103:AI103"/>
    <mergeCell ref="AJ103:AK103"/>
    <mergeCell ref="AH104:AI104"/>
    <mergeCell ref="AJ104:AK104"/>
    <mergeCell ref="CI128:CM128"/>
    <mergeCell ref="CI129:CM129"/>
    <mergeCell ref="CX129:DB129"/>
    <mergeCell ref="CI130:CM130"/>
    <mergeCell ref="CX130:DB130"/>
    <mergeCell ref="CI131:CM131"/>
    <mergeCell ref="CI132:CM132"/>
    <mergeCell ref="CI133:CM133"/>
    <mergeCell ref="CX133:DB133"/>
    <mergeCell ref="CI134:CM134"/>
    <mergeCell ref="CX134:DB134"/>
    <mergeCell ref="CI135:CM135"/>
    <mergeCell ref="CX135:DB135"/>
    <mergeCell ref="CX136:DB136"/>
    <mergeCell ref="CI124:CM124"/>
    <mergeCell ref="CI125:CM125"/>
    <mergeCell ref="BT126:BX126"/>
    <mergeCell ref="CI126:CM126"/>
    <mergeCell ref="CX126:DB126"/>
    <mergeCell ref="CI127:CM127"/>
    <mergeCell ref="CX127:DB127"/>
    <mergeCell ref="CX128:DB128"/>
    <mergeCell ref="CI116:CM116"/>
    <mergeCell ref="CI117:CM117"/>
    <mergeCell ref="CI118:CM118"/>
    <mergeCell ref="CI119:CM119"/>
    <mergeCell ref="CI121:CM121"/>
    <mergeCell ref="CI122:CM122"/>
    <mergeCell ref="CI123:CM123"/>
    <mergeCell ref="CX131:DB131"/>
    <mergeCell ref="CX132:DB132"/>
    <mergeCell ref="BT127:BX127"/>
    <mergeCell ref="BT128:BX128"/>
    <mergeCell ref="BT129:BX129"/>
    <mergeCell ref="BT130:BX130"/>
    <mergeCell ref="BT131:BX131"/>
    <mergeCell ref="BT132:BX132"/>
    <mergeCell ref="BT133:BX133"/>
    <mergeCell ref="CX137:DB137"/>
    <mergeCell ref="CX138:DB138"/>
    <mergeCell ref="CX139:DB139"/>
    <mergeCell ref="CX140:DB140"/>
    <mergeCell ref="CX142:DB142"/>
    <mergeCell ref="CX143:DB143"/>
    <mergeCell ref="CX144:DB144"/>
    <mergeCell ref="BT142:BX142"/>
    <mergeCell ref="BT143:BX143"/>
    <mergeCell ref="BT144:BX144"/>
    <mergeCell ref="BM146:BP146"/>
    <mergeCell ref="BS146:CA146"/>
    <mergeCell ref="CB146:CE146"/>
    <mergeCell ref="CQ146:CT146"/>
    <mergeCell ref="BT134:BX134"/>
    <mergeCell ref="BT135:BX135"/>
    <mergeCell ref="BT136:BX136"/>
    <mergeCell ref="BT137:BX137"/>
    <mergeCell ref="BT138:BX138"/>
    <mergeCell ref="BT139:BX139"/>
    <mergeCell ref="BT140:BX140"/>
    <mergeCell ref="CI239:CM239"/>
    <mergeCell ref="CI240:CM240"/>
    <mergeCell ref="CX240:DB240"/>
    <mergeCell ref="CI242:CM242"/>
    <mergeCell ref="CX242:DB242"/>
    <mergeCell ref="CI243:CM243"/>
    <mergeCell ref="CI244:CM244"/>
    <mergeCell ref="CW246:DE246"/>
    <mergeCell ref="DF246:DI246"/>
    <mergeCell ref="CX243:DB243"/>
    <mergeCell ref="CX244:DB244"/>
    <mergeCell ref="BM246:BP246"/>
    <mergeCell ref="BS246:CA246"/>
    <mergeCell ref="CB246:CE246"/>
    <mergeCell ref="CH246:CP246"/>
    <mergeCell ref="CQ246:CT246"/>
    <mergeCell ref="BD247:BQ247"/>
    <mergeCell ref="BS247:CF247"/>
    <mergeCell ref="CH247:CU247"/>
    <mergeCell ref="CW247:DJ247"/>
    <mergeCell ref="BS248:CF248"/>
    <mergeCell ref="CH248:CU248"/>
    <mergeCell ref="CW248:DJ248"/>
    <mergeCell ref="CW249:DJ249"/>
    <mergeCell ref="CW250:DJ250"/>
    <mergeCell ref="BD248:BQ248"/>
    <mergeCell ref="BD249:BQ249"/>
    <mergeCell ref="BS249:CF249"/>
    <mergeCell ref="CH249:CU249"/>
    <mergeCell ref="BD250:BQ250"/>
    <mergeCell ref="BS250:CF250"/>
    <mergeCell ref="CH250:CU250"/>
    <mergeCell ref="CH258:CU258"/>
    <mergeCell ref="CW258:DJ258"/>
    <mergeCell ref="BL255:BM255"/>
    <mergeCell ref="CA255:CB255"/>
    <mergeCell ref="CC255:CD255"/>
    <mergeCell ref="CP255:CQ255"/>
    <mergeCell ref="CR255:CS255"/>
    <mergeCell ref="DE255:DF255"/>
    <mergeCell ref="DG255:DH255"/>
    <mergeCell ref="CH259:CU259"/>
    <mergeCell ref="CW259:DJ259"/>
    <mergeCell ref="BN255:BO255"/>
    <mergeCell ref="BL256:BO257"/>
    <mergeCell ref="CA256:CD257"/>
    <mergeCell ref="CP256:CS257"/>
    <mergeCell ref="DE256:DH257"/>
    <mergeCell ref="BD258:BQ258"/>
    <mergeCell ref="BD259:BQ259"/>
    <mergeCell ref="CW260:CY260"/>
    <mergeCell ref="DA260:DB260"/>
    <mergeCell ref="DC260:DD260"/>
    <mergeCell ref="DE260:DG260"/>
    <mergeCell ref="DH260:DJ260"/>
    <mergeCell ref="CA260:CC260"/>
    <mergeCell ref="CD260:CF260"/>
    <mergeCell ref="CH260:CJ260"/>
    <mergeCell ref="CL260:CM260"/>
    <mergeCell ref="CN260:CO260"/>
    <mergeCell ref="CP260:CR260"/>
    <mergeCell ref="CS260:CU260"/>
    <mergeCell ref="BS258:CF258"/>
    <mergeCell ref="BS259:CF259"/>
    <mergeCell ref="BL260:BN260"/>
    <mergeCell ref="BO260:BQ260"/>
    <mergeCell ref="BS260:BU260"/>
    <mergeCell ref="BW260:BX260"/>
    <mergeCell ref="BY260:BZ260"/>
    <mergeCell ref="BD262:BQ262"/>
    <mergeCell ref="BS262:CF262"/>
    <mergeCell ref="CH262:CU262"/>
    <mergeCell ref="CW262:DJ262"/>
    <mergeCell ref="BD263:BQ263"/>
    <mergeCell ref="CH263:CU263"/>
    <mergeCell ref="CW263:DJ263"/>
    <mergeCell ref="BT275:BX275"/>
    <mergeCell ref="BT276:BX276"/>
    <mergeCell ref="BT277:BX277"/>
    <mergeCell ref="BT278:BX278"/>
    <mergeCell ref="BT279:BX279"/>
    <mergeCell ref="BT280:BX280"/>
    <mergeCell ref="BT281:BX281"/>
    <mergeCell ref="BT282:BX282"/>
    <mergeCell ref="BT283:BX283"/>
    <mergeCell ref="BT284:BX284"/>
    <mergeCell ref="BT285:BX285"/>
    <mergeCell ref="BT286:BX286"/>
    <mergeCell ref="BT287:BX287"/>
    <mergeCell ref="BT288:BX288"/>
    <mergeCell ref="BD297:BQ297"/>
    <mergeCell ref="BD298:BQ298"/>
    <mergeCell ref="BD299:BQ299"/>
    <mergeCell ref="BD300:BQ300"/>
    <mergeCell ref="BT289:BX289"/>
    <mergeCell ref="BT290:BX290"/>
    <mergeCell ref="BT292:BX292"/>
    <mergeCell ref="BT293:BX293"/>
    <mergeCell ref="BT294:BX294"/>
    <mergeCell ref="BM296:BP296"/>
    <mergeCell ref="BS296:CA296"/>
    <mergeCell ref="CI288:CM288"/>
    <mergeCell ref="CI289:CM289"/>
    <mergeCell ref="CI290:CM290"/>
    <mergeCell ref="CI292:CM292"/>
    <mergeCell ref="CI293:CM293"/>
    <mergeCell ref="CI294:CM294"/>
    <mergeCell ref="CI281:CM281"/>
    <mergeCell ref="CI282:CM282"/>
    <mergeCell ref="CI283:CM283"/>
    <mergeCell ref="CI284:CM284"/>
    <mergeCell ref="CI285:CM285"/>
    <mergeCell ref="CI286:CM286"/>
    <mergeCell ref="CI287:CM287"/>
    <mergeCell ref="CX290:DB290"/>
    <mergeCell ref="CX292:DB292"/>
    <mergeCell ref="CX293:DB293"/>
    <mergeCell ref="CX294:DB294"/>
    <mergeCell ref="CB296:CE296"/>
    <mergeCell ref="CH296:CP296"/>
    <mergeCell ref="CQ296:CT296"/>
    <mergeCell ref="BS298:CF298"/>
    <mergeCell ref="BS299:CF299"/>
    <mergeCell ref="CH299:CU299"/>
    <mergeCell ref="CW299:DJ299"/>
    <mergeCell ref="BS300:CF300"/>
    <mergeCell ref="CH300:CU300"/>
    <mergeCell ref="CW300:DJ300"/>
    <mergeCell ref="CW296:DE296"/>
    <mergeCell ref="DF296:DI296"/>
    <mergeCell ref="BS297:CF297"/>
    <mergeCell ref="CH297:CU297"/>
    <mergeCell ref="CW297:DJ297"/>
    <mergeCell ref="CH298:CU298"/>
    <mergeCell ref="CW298:DJ298"/>
    <mergeCell ref="BS263:CF263"/>
    <mergeCell ref="BT264:BX264"/>
    <mergeCell ref="CI264:CM264"/>
    <mergeCell ref="CX264:DB264"/>
    <mergeCell ref="BT266:BX266"/>
    <mergeCell ref="CX266:DB266"/>
    <mergeCell ref="CX267:DB267"/>
    <mergeCell ref="CI266:CM266"/>
    <mergeCell ref="CI267:CM267"/>
    <mergeCell ref="CI268:CM268"/>
    <mergeCell ref="CI269:CM269"/>
    <mergeCell ref="CI271:CM271"/>
    <mergeCell ref="CI272:CM272"/>
    <mergeCell ref="CI273:CM273"/>
    <mergeCell ref="BT267:BX267"/>
    <mergeCell ref="BT268:BX268"/>
    <mergeCell ref="BT269:BX269"/>
    <mergeCell ref="BT271:BX271"/>
    <mergeCell ref="BT272:BX272"/>
    <mergeCell ref="BT273:BX273"/>
    <mergeCell ref="BT274:BX274"/>
    <mergeCell ref="CX268:DB268"/>
    <mergeCell ref="CX269:DB269"/>
    <mergeCell ref="CX271:DB271"/>
    <mergeCell ref="CX272:DB272"/>
    <mergeCell ref="CX273:DB273"/>
    <mergeCell ref="CX274:DB274"/>
    <mergeCell ref="CX275:DB275"/>
    <mergeCell ref="CI274:CM274"/>
    <mergeCell ref="CI275:CM275"/>
    <mergeCell ref="CI276:CM276"/>
    <mergeCell ref="CI277:CM277"/>
    <mergeCell ref="CI278:CM278"/>
    <mergeCell ref="CI279:CM279"/>
    <mergeCell ref="CI280:CM280"/>
    <mergeCell ref="CX276:DB276"/>
    <mergeCell ref="CX277:DB277"/>
    <mergeCell ref="CX278:DB278"/>
    <mergeCell ref="CX279:DB279"/>
    <mergeCell ref="CX280:DB280"/>
    <mergeCell ref="CX281:DB281"/>
    <mergeCell ref="CX282:DB282"/>
    <mergeCell ref="CX283:DB283"/>
    <mergeCell ref="CX284:DB284"/>
    <mergeCell ref="CX285:DB285"/>
    <mergeCell ref="CX286:DB286"/>
    <mergeCell ref="CX287:DB287"/>
    <mergeCell ref="CX288:DB288"/>
    <mergeCell ref="CX289:DB289"/>
  </mergeCells>
  <conditionalFormatting sqref="K12:DJ300">
    <cfRule type="expression" dxfId="9" priority="1">
      <formula>$R$156=""</formula>
    </cfRule>
  </conditionalFormatting>
  <dataValidations>
    <dataValidation type="list" allowBlank="1" sqref="C16:I16 C66:I66 C116:I116 C166:I166 C216:I216 C266:I266">
      <formula1>"Esteira,Bicicleta,Elíptico,Pista,Rampa,Corda,Natação,Outros"</formula1>
    </dataValidation>
    <dataValidation type="list" allowBlank="1" sqref="L16 BE16 AA16:AA17 BT18 L19 AA19 AP16:AP19 BE19 CI16:CI19 CX16:CX19 L21:L40 AA21:AA40 AP21:AP40 BE21:BE40 BT21:BT40 CI21:CI40 CX21:CX40 L42:L44 AA42:AA44 AP42:AP44 BE42:BE44 BT42:BT44 CI42:CI44 CX42:CX44 L66 BE66 BT66 L69 AA66:AA69 AP66:AP69 BE69 BT69 CI66:CI69 CX66:CX69 L71:L90 AA71:AA90 AP71:AP90 BE71:BE90 BT71:BT90 CI71:CI90 CX71:CX90 L92:L94 AA92:AA94 AP92:AP94 BE92:BE94 BT92:BT94 CI92:CI94 CX92:CX94 L116 BE116 BT116 L119 AA116:AA119 AP116:AP119 BE119 BT119 CI116:CI119 CX116:CX119 L121:L140 AA121:AA140 AP121:AP140 BE121:BE140 BT121:BT140 CI121:CI140 CX121:CX140 L142:L144 AA142:AA144 AP142:AP144 BE142:BE144 BT142:BT144 CI142:CI144 CX142:CX144 L166 BE166 BT166 L169 AA166:AA169 AP166:AP169 BE169 BT169 CI166:CI169 CX166:CX169 L171:L190 AA171:AA190 AP171:AP190 BE171:BE190 BT171:BT190 CI171:CI190 CX171:CX190 L192:L194 AA192:AA194 AP192:AP194 BE192:BE194 BT192:BT194 CI192:CI194 CX192:CX194 L216:L219 AA216:AA219 AP216:AP219 BE216:BE219 BT216:BT219 CI216:CI219 CX216:CX219 L221:L240 AA221:AA240 AP221:AP240 BE221:BE240 BT221:BT240 CI221:CI240 CX221:CX240 L242:L244 AA242:AA244 AP242:AP244 BE242:BE244 BT242:BT244 CI242:CI244 CX242:CX244 L266:L269 AA266:AA269 AP266:AP269 BE266:BE269 BT266:BT269 CI266:CI269 CX266:CX269 L271:L290 AA271:AA290 AP271:AP290 BE271:BE290 BT271:BT290 CI271:CI290 CX271:CX290 L292:L294 AA292:AA294 AP292:AP294 BE292:BE294 BT292:BT294 CI292:CI294 CX292:CX294">
      <formula1>Biblioteca!$A$3:$A$200</formula1>
    </dataValidation>
    <dataValidation type="list" allowBlank="1" sqref="BT16:BT17 L17:L18 AA18 BE17:BE18 BT19 L67:L68 BE67:BE68 BT67:BT68 L117:L118 BE117:BE118 BT117:BT118 L167:L168 BE167:BE168 BT167:BT168">
      <formula1>Biblioteca!$A$3:$A$300</formula1>
    </dataValidation>
    <dataValidation type="list" allowBlank="1" sqref="C17:I17 C67:I67 C117:I117 C167:I167 C217:I217 C267:I267">
      <formula1>"CEXT,CINT,IEXT,IINT,FARTLEK"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3.14"/>
    <col customWidth="1" min="2" max="2" width="84.14"/>
    <col customWidth="1" min="3" max="3" width="22.14"/>
    <col customWidth="1" min="4" max="4" width="19.14"/>
    <col customWidth="1" min="5" max="5" width="25.29"/>
    <col customWidth="1" min="6" max="7" width="10.29"/>
    <col customWidth="1" min="8" max="8" width="50.43"/>
    <col customWidth="1" min="9" max="9" width="0.43"/>
  </cols>
  <sheetData>
    <row r="1">
      <c r="A1" s="713" t="s">
        <v>31</v>
      </c>
      <c r="B1" s="714" t="s">
        <v>335</v>
      </c>
      <c r="C1" s="715" t="s">
        <v>38</v>
      </c>
      <c r="D1" s="715" t="s">
        <v>336</v>
      </c>
      <c r="E1" s="715" t="s">
        <v>337</v>
      </c>
      <c r="F1" s="715" t="s">
        <v>338</v>
      </c>
      <c r="G1" s="715" t="s">
        <v>339</v>
      </c>
      <c r="H1" s="715" t="s">
        <v>151</v>
      </c>
      <c r="I1" s="715" t="s">
        <v>340</v>
      </c>
    </row>
    <row r="2">
      <c r="A2" s="716">
        <v>0.0</v>
      </c>
      <c r="B2" s="717"/>
      <c r="C2" s="715" t="s">
        <v>341</v>
      </c>
      <c r="D2" s="715" t="s">
        <v>341</v>
      </c>
      <c r="E2" s="715" t="s">
        <v>341</v>
      </c>
      <c r="F2" s="715"/>
      <c r="G2" s="715"/>
      <c r="H2" s="715"/>
      <c r="I2" s="715"/>
    </row>
    <row r="3">
      <c r="A3" s="718" t="s">
        <v>329</v>
      </c>
      <c r="B3" s="719" t="s">
        <v>342</v>
      </c>
      <c r="C3" s="720" t="s">
        <v>36</v>
      </c>
      <c r="D3" s="720" t="s">
        <v>343</v>
      </c>
      <c r="E3" s="720" t="s">
        <v>344</v>
      </c>
      <c r="F3" s="721"/>
      <c r="G3" s="722"/>
      <c r="H3" s="723"/>
      <c r="I3" s="723" t="str">
        <f t="shared" ref="I3:I200" si="1">C3&amp;D3&amp;E3</f>
        <v>COR</v>
      </c>
    </row>
    <row r="4">
      <c r="A4" s="718" t="s">
        <v>325</v>
      </c>
      <c r="B4" s="719" t="s">
        <v>345</v>
      </c>
      <c r="C4" s="720" t="s">
        <v>36</v>
      </c>
      <c r="D4" s="720" t="s">
        <v>343</v>
      </c>
      <c r="E4" s="720" t="s">
        <v>344</v>
      </c>
      <c r="F4" s="724"/>
      <c r="G4" s="722"/>
      <c r="H4" s="723"/>
      <c r="I4" s="723" t="str">
        <f t="shared" si="1"/>
        <v>COR</v>
      </c>
    </row>
    <row r="5">
      <c r="A5" s="718" t="s">
        <v>346</v>
      </c>
      <c r="B5" s="719" t="s">
        <v>347</v>
      </c>
      <c r="C5" s="720" t="s">
        <v>36</v>
      </c>
      <c r="D5" s="720" t="s">
        <v>348</v>
      </c>
      <c r="E5" s="720" t="s">
        <v>344</v>
      </c>
      <c r="F5" s="721"/>
      <c r="G5" s="722"/>
      <c r="H5" s="723"/>
      <c r="I5" s="723" t="str">
        <f t="shared" si="1"/>
        <v>CAR</v>
      </c>
    </row>
    <row r="6">
      <c r="A6" s="718" t="s">
        <v>332</v>
      </c>
      <c r="B6" s="719" t="s">
        <v>349</v>
      </c>
      <c r="C6" s="720" t="s">
        <v>36</v>
      </c>
      <c r="D6" s="720" t="s">
        <v>343</v>
      </c>
      <c r="E6" s="720" t="s">
        <v>344</v>
      </c>
      <c r="F6" s="721"/>
      <c r="G6" s="722"/>
      <c r="H6" s="723"/>
      <c r="I6" s="723" t="str">
        <f t="shared" si="1"/>
        <v>COR</v>
      </c>
    </row>
    <row r="7">
      <c r="A7" s="718" t="s">
        <v>321</v>
      </c>
      <c r="B7" s="719" t="s">
        <v>350</v>
      </c>
      <c r="C7" s="720" t="s">
        <v>36</v>
      </c>
      <c r="D7" s="720" t="s">
        <v>343</v>
      </c>
      <c r="E7" s="720" t="s">
        <v>344</v>
      </c>
      <c r="F7" s="721"/>
      <c r="G7" s="722"/>
      <c r="H7" s="723"/>
      <c r="I7" s="723" t="str">
        <f t="shared" si="1"/>
        <v>COR</v>
      </c>
    </row>
    <row r="8">
      <c r="A8" s="718" t="s">
        <v>351</v>
      </c>
      <c r="B8" s="719" t="s">
        <v>352</v>
      </c>
      <c r="C8" s="720" t="s">
        <v>36</v>
      </c>
      <c r="D8" s="720" t="s">
        <v>343</v>
      </c>
      <c r="E8" s="720" t="s">
        <v>344</v>
      </c>
      <c r="F8" s="721"/>
      <c r="G8" s="722"/>
      <c r="H8" s="723"/>
      <c r="I8" s="723" t="str">
        <f t="shared" si="1"/>
        <v>COR</v>
      </c>
    </row>
    <row r="9">
      <c r="A9" s="718" t="s">
        <v>353</v>
      </c>
      <c r="B9" s="719" t="s">
        <v>354</v>
      </c>
      <c r="C9" s="720" t="s">
        <v>36</v>
      </c>
      <c r="D9" s="720" t="s">
        <v>343</v>
      </c>
      <c r="E9" s="720" t="s">
        <v>344</v>
      </c>
      <c r="F9" s="721"/>
      <c r="G9" s="722"/>
      <c r="H9" s="723"/>
      <c r="I9" s="723" t="str">
        <f t="shared" si="1"/>
        <v>COR</v>
      </c>
    </row>
    <row r="10">
      <c r="A10" s="718" t="s">
        <v>291</v>
      </c>
      <c r="B10" s="719" t="s">
        <v>355</v>
      </c>
      <c r="C10" s="720" t="s">
        <v>36</v>
      </c>
      <c r="D10" s="720" t="s">
        <v>343</v>
      </c>
      <c r="E10" s="720" t="s">
        <v>344</v>
      </c>
      <c r="F10" s="721"/>
      <c r="G10" s="722"/>
      <c r="H10" s="723"/>
      <c r="I10" s="723" t="str">
        <f t="shared" si="1"/>
        <v>COR</v>
      </c>
    </row>
    <row r="11">
      <c r="A11" s="718" t="s">
        <v>356</v>
      </c>
      <c r="B11" s="719" t="s">
        <v>357</v>
      </c>
      <c r="C11" s="720" t="s">
        <v>343</v>
      </c>
      <c r="D11" s="720" t="s">
        <v>348</v>
      </c>
      <c r="E11" s="720" t="s">
        <v>344</v>
      </c>
      <c r="F11" s="725">
        <v>9.336158765065845</v>
      </c>
      <c r="G11" s="726">
        <f>IF(OR(C11="O",C11="H"),MAX(IF(ISNA(MATCH(A11,Registro!$L$1:$L$150,0)),0,OFFSET(Registro!$M$1,MATCH(A11,Registro!$L$1:$L$150,0)-1,)),F11*0.95),0)</f>
        <v>8.869350827</v>
      </c>
      <c r="H11" s="723"/>
      <c r="I11" s="723" t="str">
        <f t="shared" si="1"/>
        <v>OAR</v>
      </c>
    </row>
    <row r="12">
      <c r="A12" s="718" t="s">
        <v>358</v>
      </c>
      <c r="B12" s="719" t="s">
        <v>359</v>
      </c>
      <c r="C12" s="720" t="s">
        <v>360</v>
      </c>
      <c r="D12" s="720" t="s">
        <v>343</v>
      </c>
      <c r="E12" s="720" t="s">
        <v>344</v>
      </c>
      <c r="F12" s="725">
        <v>5.414999999999999</v>
      </c>
      <c r="G12" s="726">
        <f>IF(OR(C12="O",C12="H"),MAX(IF(ISNA(MATCH(A12,Registro!$L$1:$L$150,0)),0,OFFSET(Registro!$M$1,MATCH(A12,Registro!$L$1:$L$150,0)-1,)),F12*0.95),0)</f>
        <v>5.14425</v>
      </c>
      <c r="H12" s="723"/>
      <c r="I12" s="723" t="str">
        <f t="shared" si="1"/>
        <v>HOR</v>
      </c>
    </row>
    <row r="13">
      <c r="A13" s="727" t="s">
        <v>327</v>
      </c>
      <c r="B13" s="719" t="s">
        <v>361</v>
      </c>
      <c r="C13" s="720" t="s">
        <v>360</v>
      </c>
      <c r="D13" s="720" t="s">
        <v>348</v>
      </c>
      <c r="E13" s="720" t="s">
        <v>344</v>
      </c>
      <c r="F13" s="725">
        <v>36.01814058956916</v>
      </c>
      <c r="G13" s="726">
        <f>IF(OR(C13="O",C13="H"),MAX(IF(ISNA(MATCH(A13,Registro!$L$1:$L$150,0)),0,OFFSET(Registro!$M$1,MATCH(A13,Registro!$L$1:$L$150,0)-1,)),F13*0.95),0)</f>
        <v>36</v>
      </c>
      <c r="H13" s="723"/>
      <c r="I13" s="723" t="str">
        <f t="shared" si="1"/>
        <v>HAR</v>
      </c>
    </row>
    <row r="14">
      <c r="A14" s="727" t="s">
        <v>259</v>
      </c>
      <c r="B14" s="719" t="s">
        <v>362</v>
      </c>
      <c r="C14" s="720" t="s">
        <v>343</v>
      </c>
      <c r="D14" s="720" t="s">
        <v>343</v>
      </c>
      <c r="E14" s="720" t="s">
        <v>344</v>
      </c>
      <c r="F14" s="725">
        <v>90.0</v>
      </c>
      <c r="G14" s="726">
        <f>IF(OR(C14="O",C14="H"),MAX(IF(ISNA(MATCH(A14,Registro!$L$1:$L$150,0)),0,OFFSET(Registro!$M$1,MATCH(A14,Registro!$L$1:$L$150,0)-1,)),F14*0.95),0)</f>
        <v>90</v>
      </c>
      <c r="H14" s="723"/>
      <c r="I14" s="723" t="str">
        <f t="shared" si="1"/>
        <v>OOR</v>
      </c>
    </row>
    <row r="15">
      <c r="A15" s="718" t="s">
        <v>262</v>
      </c>
      <c r="B15" s="719" t="s">
        <v>363</v>
      </c>
      <c r="C15" s="720" t="s">
        <v>360</v>
      </c>
      <c r="D15" s="720" t="s">
        <v>364</v>
      </c>
      <c r="E15" s="720" t="s">
        <v>344</v>
      </c>
      <c r="F15" s="725">
        <v>40.0</v>
      </c>
      <c r="G15" s="726">
        <f>IF(OR(C15="O",C15="H"),MAX(IF(ISNA(MATCH(A15,Registro!$L$1:$L$150,0)),0,OFFSET(Registro!$M$1,MATCH(A15,Registro!$L$1:$L$150,0)-1,)),F15*0.95),0)</f>
        <v>38</v>
      </c>
      <c r="H15" s="723"/>
      <c r="I15" s="723" t="str">
        <f t="shared" si="1"/>
        <v>HUR</v>
      </c>
    </row>
    <row r="16">
      <c r="A16" s="718" t="s">
        <v>365</v>
      </c>
      <c r="B16" s="718"/>
      <c r="C16" s="720" t="s">
        <v>343</v>
      </c>
      <c r="D16" s="720" t="s">
        <v>343</v>
      </c>
      <c r="E16" s="720" t="s">
        <v>344</v>
      </c>
      <c r="F16" s="725">
        <v>4.838954980273843</v>
      </c>
      <c r="G16" s="726">
        <f>IF(OR(C16="O",C16="H"),MAX(IF(ISNA(MATCH(A16,Registro!$L$1:$L$150,0)),0,OFFSET(Registro!$M$1,MATCH(A16,Registro!$L$1:$L$150,0)-1,)),F16*0.95),0)</f>
        <v>4.597007231</v>
      </c>
      <c r="H16" s="723"/>
      <c r="I16" s="723" t="str">
        <f t="shared" si="1"/>
        <v>OOR</v>
      </c>
    </row>
    <row r="17">
      <c r="A17" s="718" t="s">
        <v>366</v>
      </c>
      <c r="B17" s="719" t="s">
        <v>367</v>
      </c>
      <c r="C17" s="720" t="s">
        <v>36</v>
      </c>
      <c r="D17" s="720" t="s">
        <v>343</v>
      </c>
      <c r="E17" s="720" t="s">
        <v>344</v>
      </c>
      <c r="F17" s="721"/>
      <c r="G17" s="722"/>
      <c r="H17" s="723"/>
      <c r="I17" s="723" t="str">
        <f t="shared" si="1"/>
        <v>COR</v>
      </c>
    </row>
    <row r="18">
      <c r="A18" s="718" t="s">
        <v>368</v>
      </c>
      <c r="B18" s="718"/>
      <c r="C18" s="720" t="s">
        <v>37</v>
      </c>
      <c r="D18" s="720" t="s">
        <v>364</v>
      </c>
      <c r="E18" s="720" t="s">
        <v>344</v>
      </c>
      <c r="F18" s="721"/>
      <c r="G18" s="722"/>
      <c r="H18" s="723"/>
      <c r="I18" s="723" t="str">
        <f t="shared" si="1"/>
        <v>EUR</v>
      </c>
    </row>
    <row r="19">
      <c r="A19" s="718" t="s">
        <v>297</v>
      </c>
      <c r="B19" s="719" t="s">
        <v>369</v>
      </c>
      <c r="C19" s="720" t="s">
        <v>343</v>
      </c>
      <c r="D19" s="720" t="s">
        <v>343</v>
      </c>
      <c r="E19" s="720" t="s">
        <v>344</v>
      </c>
      <c r="F19" s="725">
        <v>7.424889834996733</v>
      </c>
      <c r="G19" s="726">
        <f>IF(OR(C19="O",C19="H"),MAX(IF(ISNA(MATCH(A19,Registro!$L$1:$L$150,0)),0,OFFSET(Registro!$M$1,MATCH(A19,Registro!$L$1:$L$150,0)-1,)),F19*0.95),0)</f>
        <v>7.053645343</v>
      </c>
      <c r="H19" s="723"/>
      <c r="I19" s="723" t="str">
        <f t="shared" si="1"/>
        <v>OOR</v>
      </c>
    </row>
    <row r="20">
      <c r="A20" s="718" t="s">
        <v>282</v>
      </c>
      <c r="B20" s="719" t="s">
        <v>370</v>
      </c>
      <c r="C20" s="720" t="s">
        <v>343</v>
      </c>
      <c r="D20" s="720" t="s">
        <v>343</v>
      </c>
      <c r="E20" s="720" t="s">
        <v>344</v>
      </c>
      <c r="F20" s="725">
        <v>80.0</v>
      </c>
      <c r="G20" s="726">
        <f>IF(OR(C20="O",C20="H"),MAX(IF(ISNA(MATCH(A20,Registro!$L$1:$L$150,0)),0,OFFSET(Registro!$M$1,MATCH(A20,Registro!$L$1:$L$150,0)-1,)),F20*0.95),0)</f>
        <v>78</v>
      </c>
      <c r="H20" s="723"/>
      <c r="I20" s="723" t="str">
        <f t="shared" si="1"/>
        <v>OOR</v>
      </c>
    </row>
    <row r="21" ht="15.75" customHeight="1">
      <c r="A21" s="718" t="s">
        <v>371</v>
      </c>
      <c r="B21" s="728" t="s">
        <v>372</v>
      </c>
      <c r="C21" s="720" t="s">
        <v>36</v>
      </c>
      <c r="D21" s="720" t="s">
        <v>343</v>
      </c>
      <c r="E21" s="720" t="s">
        <v>344</v>
      </c>
      <c r="F21" s="721"/>
      <c r="G21" s="722"/>
      <c r="H21" s="723"/>
      <c r="I21" s="723" t="str">
        <f t="shared" si="1"/>
        <v>COR</v>
      </c>
    </row>
    <row r="22" ht="15.75" customHeight="1">
      <c r="A22" s="718" t="s">
        <v>320</v>
      </c>
      <c r="B22" s="718"/>
      <c r="C22" s="720" t="s">
        <v>37</v>
      </c>
      <c r="D22" s="720" t="s">
        <v>364</v>
      </c>
      <c r="E22" s="720" t="s">
        <v>344</v>
      </c>
      <c r="F22" s="721"/>
      <c r="G22" s="722"/>
      <c r="H22" s="723"/>
      <c r="I22" s="723" t="str">
        <f t="shared" si="1"/>
        <v>EUR</v>
      </c>
    </row>
    <row r="23" ht="15.75" customHeight="1">
      <c r="A23" s="718" t="s">
        <v>233</v>
      </c>
      <c r="B23" s="718"/>
      <c r="C23" s="720" t="s">
        <v>348</v>
      </c>
      <c r="D23" s="720" t="s">
        <v>373</v>
      </c>
      <c r="E23" s="720" t="s">
        <v>373</v>
      </c>
      <c r="F23" s="721"/>
      <c r="G23" s="722"/>
      <c r="H23" s="723"/>
      <c r="I23" s="723" t="str">
        <f t="shared" si="1"/>
        <v>A--</v>
      </c>
    </row>
    <row r="24" ht="15.75" customHeight="1">
      <c r="A24" s="718" t="s">
        <v>269</v>
      </c>
      <c r="B24" s="719" t="s">
        <v>374</v>
      </c>
      <c r="C24" s="720" t="s">
        <v>343</v>
      </c>
      <c r="D24" s="720" t="s">
        <v>343</v>
      </c>
      <c r="E24" s="720" t="s">
        <v>344</v>
      </c>
      <c r="F24" s="725">
        <v>5.144249999999999</v>
      </c>
      <c r="G24" s="726">
        <f>IF(OR(C24="O",C24="H"),MAX(IF(ISNA(MATCH(A24,Registro!$L$1:$L$150,0)),0,OFFSET(Registro!$M$1,MATCH(A24,Registro!$L$1:$L$150,0)-1,)),F24*0.95),0)</f>
        <v>5</v>
      </c>
      <c r="H24" s="723"/>
      <c r="I24" s="723" t="str">
        <f t="shared" si="1"/>
        <v>OOR</v>
      </c>
    </row>
    <row r="25" ht="15.75" customHeight="1">
      <c r="A25" s="718" t="s">
        <v>375</v>
      </c>
      <c r="B25" s="719" t="s">
        <v>376</v>
      </c>
      <c r="C25" s="720" t="s">
        <v>343</v>
      </c>
      <c r="D25" s="720" t="s">
        <v>343</v>
      </c>
      <c r="E25" s="720" t="s">
        <v>344</v>
      </c>
      <c r="F25" s="725">
        <v>0.0</v>
      </c>
      <c r="G25" s="726">
        <f>IF(OR(C25="O",C25="H"),MAX(IF(ISNA(MATCH(A25,Registro!$L$1:$L$150,0)),0,OFFSET(Registro!$M$1,MATCH(A25,Registro!$L$1:$L$150,0)-1,)),F25*0.95),0)</f>
        <v>0</v>
      </c>
      <c r="H25" s="723"/>
      <c r="I25" s="723" t="str">
        <f t="shared" si="1"/>
        <v>OOR</v>
      </c>
    </row>
    <row r="26" ht="15.75" customHeight="1">
      <c r="A26" s="718" t="s">
        <v>271</v>
      </c>
      <c r="B26" s="719" t="s">
        <v>377</v>
      </c>
      <c r="C26" s="720" t="s">
        <v>343</v>
      </c>
      <c r="D26" s="720" t="s">
        <v>343</v>
      </c>
      <c r="E26" s="720" t="s">
        <v>344</v>
      </c>
      <c r="F26" s="725">
        <v>14.849779669993467</v>
      </c>
      <c r="G26" s="726">
        <f>IF(OR(C26="O",C26="H"),MAX(IF(ISNA(MATCH(A26,Registro!$L$1:$L$150,0)),0,OFFSET(Registro!$M$1,MATCH(A26,Registro!$L$1:$L$150,0)-1,)),F26*0.95),0)</f>
        <v>15.435</v>
      </c>
      <c r="H26" s="723"/>
      <c r="I26" s="723" t="str">
        <f t="shared" si="1"/>
        <v>OOR</v>
      </c>
    </row>
    <row r="27" ht="15.75" customHeight="1">
      <c r="A27" s="727" t="s">
        <v>275</v>
      </c>
      <c r="B27" s="719" t="s">
        <v>378</v>
      </c>
      <c r="C27" s="720" t="s">
        <v>343</v>
      </c>
      <c r="D27" s="720" t="s">
        <v>343</v>
      </c>
      <c r="E27" s="720" t="s">
        <v>344</v>
      </c>
      <c r="F27" s="725">
        <v>14.849779669993467</v>
      </c>
      <c r="G27" s="726">
        <f>IF(OR(C27="O",C27="H"),MAX(IF(ISNA(MATCH(A27,Registro!$L$1:$L$150,0)),0,OFFSET(Registro!$M$1,MATCH(A27,Registro!$L$1:$L$150,0)-1,)),F27*0.95),0)</f>
        <v>15.435</v>
      </c>
      <c r="H27" s="723"/>
      <c r="I27" s="723" t="str">
        <f t="shared" si="1"/>
        <v>OOR</v>
      </c>
    </row>
    <row r="28" ht="15.75" customHeight="1">
      <c r="A28" s="718" t="s">
        <v>379</v>
      </c>
      <c r="B28" s="719" t="s">
        <v>380</v>
      </c>
      <c r="C28" s="720" t="s">
        <v>36</v>
      </c>
      <c r="D28" s="720" t="s">
        <v>348</v>
      </c>
      <c r="E28" s="720" t="s">
        <v>344</v>
      </c>
      <c r="F28" s="725">
        <v>0.0</v>
      </c>
      <c r="G28" s="726">
        <f>IF(OR(C28="O",C28="H"),MAX(IF(ISNA(MATCH(A28,Registro!$L$1:$L$150,0)),0,OFFSET(Registro!$M$1,MATCH(A28,Registro!$L$1:$L$150,0)-1,)),F28*0.95),0)</f>
        <v>0</v>
      </c>
      <c r="H28" s="723"/>
      <c r="I28" s="723" t="str">
        <f t="shared" si="1"/>
        <v>CAR</v>
      </c>
    </row>
    <row r="29" ht="15.75" customHeight="1">
      <c r="A29" s="727" t="s">
        <v>295</v>
      </c>
      <c r="B29" s="719" t="s">
        <v>381</v>
      </c>
      <c r="C29" s="720" t="s">
        <v>360</v>
      </c>
      <c r="D29" s="720" t="s">
        <v>343</v>
      </c>
      <c r="E29" s="720" t="s">
        <v>344</v>
      </c>
      <c r="F29" s="725">
        <v>20.0</v>
      </c>
      <c r="G29" s="726">
        <f>IF(OR(C29="O",C29="H"),MAX(IF(ISNA(MATCH(A29,Registro!$L$1:$L$150,0)),0,OFFSET(Registro!$M$1,MATCH(A29,Registro!$L$1:$L$150,0)-1,)),F29*0.95),0)</f>
        <v>19</v>
      </c>
      <c r="H29" s="723"/>
      <c r="I29" s="723" t="str">
        <f t="shared" si="1"/>
        <v>HOR</v>
      </c>
    </row>
    <row r="30" ht="15.75" customHeight="1">
      <c r="A30" s="718" t="s">
        <v>382</v>
      </c>
      <c r="B30" s="719" t="s">
        <v>383</v>
      </c>
      <c r="C30" s="720" t="s">
        <v>360</v>
      </c>
      <c r="D30" s="720" t="s">
        <v>343</v>
      </c>
      <c r="E30" s="720" t="s">
        <v>344</v>
      </c>
      <c r="F30" s="725">
        <v>8.02422824424851</v>
      </c>
      <c r="G30" s="726">
        <f>IF(OR(C30="O",C30="H"),MAX(IF(ISNA(MATCH(A30,Registro!$L$1:$L$150,0)),0,OFFSET(Registro!$M$1,MATCH(A30,Registro!$L$1:$L$150,0)-1,)),F30*0.95),0)</f>
        <v>7.623016832</v>
      </c>
      <c r="H30" s="723"/>
      <c r="I30" s="723" t="str">
        <f t="shared" si="1"/>
        <v>HOR</v>
      </c>
    </row>
    <row r="31" ht="15.75" customHeight="1">
      <c r="A31" s="718" t="s">
        <v>384</v>
      </c>
      <c r="B31" s="719" t="s">
        <v>385</v>
      </c>
      <c r="C31" s="720" t="s">
        <v>343</v>
      </c>
      <c r="D31" s="720" t="s">
        <v>343</v>
      </c>
      <c r="E31" s="720" t="s">
        <v>344</v>
      </c>
      <c r="F31" s="725">
        <v>1.3401926152169101</v>
      </c>
      <c r="G31" s="726">
        <f>IF(OR(C31="O",C31="H"),MAX(IF(ISNA(MATCH(A31,Registro!$L$1:$L$150,0)),0,OFFSET(Registro!$M$1,MATCH(A31,Registro!$L$1:$L$150,0)-1,)),F31*0.95),0)</f>
        <v>1.273182984</v>
      </c>
      <c r="H31" s="723"/>
      <c r="I31" s="723" t="str">
        <f t="shared" si="1"/>
        <v>OOR</v>
      </c>
    </row>
    <row r="32" ht="15.75" customHeight="1">
      <c r="A32" s="718" t="s">
        <v>386</v>
      </c>
      <c r="B32" s="719" t="s">
        <v>387</v>
      </c>
      <c r="C32" s="720" t="s">
        <v>360</v>
      </c>
      <c r="D32" s="720" t="s">
        <v>343</v>
      </c>
      <c r="E32" s="720" t="s">
        <v>344</v>
      </c>
      <c r="F32" s="725">
        <v>6.28425</v>
      </c>
      <c r="G32" s="726">
        <f>IF(OR(C32="O",C32="H"),MAX(IF(ISNA(MATCH(A32,Registro!$L$1:$L$150,0)),0,OFFSET(Registro!$M$1,MATCH(A32,Registro!$L$1:$L$150,0)-1,)),F32*0.95),0)</f>
        <v>5.9700375</v>
      </c>
      <c r="H32" s="723"/>
      <c r="I32" s="723" t="str">
        <f t="shared" si="1"/>
        <v>HOR</v>
      </c>
    </row>
    <row r="33" ht="15.75" customHeight="1">
      <c r="A33" s="718" t="s">
        <v>388</v>
      </c>
      <c r="B33" s="719" t="s">
        <v>389</v>
      </c>
      <c r="C33" s="720" t="s">
        <v>343</v>
      </c>
      <c r="D33" s="720" t="s">
        <v>343</v>
      </c>
      <c r="E33" s="720" t="s">
        <v>344</v>
      </c>
      <c r="F33" s="725">
        <v>4.000500085034013</v>
      </c>
      <c r="G33" s="726">
        <f>IF(OR(C33="O",C33="H"),MAX(IF(ISNA(MATCH(A33,Registro!$L$1:$L$150,0)),0,OFFSET(Registro!$M$1,MATCH(A33,Registro!$L$1:$L$150,0)-1,)),F33*0.95),0)</f>
        <v>3.800475081</v>
      </c>
      <c r="H33" s="723"/>
      <c r="I33" s="723" t="str">
        <f t="shared" si="1"/>
        <v>OOR</v>
      </c>
    </row>
    <row r="34" ht="15.75" customHeight="1">
      <c r="A34" s="718" t="s">
        <v>316</v>
      </c>
      <c r="B34" s="719" t="s">
        <v>390</v>
      </c>
      <c r="C34" s="720" t="s">
        <v>343</v>
      </c>
      <c r="D34" s="720" t="s">
        <v>343</v>
      </c>
      <c r="E34" s="720" t="s">
        <v>344</v>
      </c>
      <c r="F34" s="725">
        <v>18.85275</v>
      </c>
      <c r="G34" s="726">
        <f>IF(OR(C34="O",C34="H"),MAX(IF(ISNA(MATCH(A34,Registro!$L$1:$L$150,0)),0,OFFSET(Registro!$M$1,MATCH(A34,Registro!$L$1:$L$150,0)-1,)),F34*0.95),0)</f>
        <v>20</v>
      </c>
      <c r="H34" s="723"/>
      <c r="I34" s="723" t="str">
        <f t="shared" si="1"/>
        <v>OOR</v>
      </c>
    </row>
    <row r="35" ht="15.75" customHeight="1">
      <c r="A35" s="718" t="s">
        <v>391</v>
      </c>
      <c r="B35" s="719" t="s">
        <v>392</v>
      </c>
      <c r="C35" s="720" t="s">
        <v>36</v>
      </c>
      <c r="D35" s="720" t="s">
        <v>343</v>
      </c>
      <c r="E35" s="720" t="s">
        <v>344</v>
      </c>
      <c r="F35" s="721"/>
      <c r="G35" s="722"/>
      <c r="H35" s="723"/>
      <c r="I35" s="723" t="str">
        <f t="shared" si="1"/>
        <v>COR</v>
      </c>
    </row>
    <row r="36" ht="15.75" customHeight="1">
      <c r="A36" s="718" t="s">
        <v>393</v>
      </c>
      <c r="B36" s="719" t="s">
        <v>394</v>
      </c>
      <c r="C36" s="720" t="s">
        <v>360</v>
      </c>
      <c r="D36" s="720" t="s">
        <v>343</v>
      </c>
      <c r="E36" s="720" t="s">
        <v>344</v>
      </c>
      <c r="F36" s="725">
        <v>0.0</v>
      </c>
      <c r="G36" s="726">
        <f>IF(OR(C36="O",C36="H"),MAX(IF(ISNA(MATCH(A36,Registro!$L$1:$L$150,0)),0,OFFSET(Registro!$M$1,MATCH(A36,Registro!$L$1:$L$150,0)-1,)),F36*0.95),0)</f>
        <v>0</v>
      </c>
      <c r="H36" s="723"/>
      <c r="I36" s="723" t="str">
        <f t="shared" si="1"/>
        <v>HOR</v>
      </c>
    </row>
    <row r="37" ht="15.75" customHeight="1">
      <c r="A37" s="718" t="s">
        <v>395</v>
      </c>
      <c r="B37" s="719" t="s">
        <v>396</v>
      </c>
      <c r="C37" s="720" t="s">
        <v>37</v>
      </c>
      <c r="D37" s="720" t="s">
        <v>364</v>
      </c>
      <c r="E37" s="720" t="s">
        <v>344</v>
      </c>
      <c r="F37" s="721"/>
      <c r="G37" s="722"/>
      <c r="H37" s="723"/>
      <c r="I37" s="723" t="str">
        <f t="shared" si="1"/>
        <v>EUR</v>
      </c>
    </row>
    <row r="38" ht="15.75" customHeight="1">
      <c r="A38" s="718" t="s">
        <v>397</v>
      </c>
      <c r="B38" s="719" t="s">
        <v>398</v>
      </c>
      <c r="C38" s="720" t="s">
        <v>37</v>
      </c>
      <c r="D38" s="720" t="s">
        <v>343</v>
      </c>
      <c r="E38" s="720" t="s">
        <v>344</v>
      </c>
      <c r="F38" s="721"/>
      <c r="G38" s="722"/>
      <c r="H38" s="723"/>
      <c r="I38" s="723" t="str">
        <f t="shared" si="1"/>
        <v>EOR</v>
      </c>
    </row>
    <row r="39" ht="15.75" customHeight="1">
      <c r="A39" s="718" t="s">
        <v>399</v>
      </c>
      <c r="B39" s="719" t="s">
        <v>400</v>
      </c>
      <c r="C39" s="720" t="s">
        <v>36</v>
      </c>
      <c r="D39" s="720" t="s">
        <v>343</v>
      </c>
      <c r="E39" s="720" t="s">
        <v>344</v>
      </c>
      <c r="F39" s="721"/>
      <c r="G39" s="722"/>
      <c r="H39" s="723"/>
      <c r="I39" s="723" t="str">
        <f t="shared" si="1"/>
        <v>COR</v>
      </c>
    </row>
    <row r="40" ht="15.75" customHeight="1">
      <c r="A40" s="718" t="s">
        <v>401</v>
      </c>
      <c r="B40" s="719" t="s">
        <v>402</v>
      </c>
      <c r="C40" s="720" t="s">
        <v>36</v>
      </c>
      <c r="D40" s="720" t="s">
        <v>343</v>
      </c>
      <c r="E40" s="720" t="s">
        <v>344</v>
      </c>
      <c r="F40" s="721"/>
      <c r="G40" s="722"/>
      <c r="H40" s="723"/>
      <c r="I40" s="723" t="str">
        <f t="shared" si="1"/>
        <v>COR</v>
      </c>
    </row>
    <row r="41" ht="15.75" customHeight="1">
      <c r="A41" s="718" t="s">
        <v>403</v>
      </c>
      <c r="B41" s="719" t="s">
        <v>404</v>
      </c>
      <c r="C41" s="720" t="s">
        <v>36</v>
      </c>
      <c r="D41" s="720" t="s">
        <v>364</v>
      </c>
      <c r="E41" s="720" t="s">
        <v>405</v>
      </c>
      <c r="F41" s="721"/>
      <c r="G41" s="722"/>
      <c r="H41" s="723"/>
      <c r="I41" s="723" t="str">
        <f t="shared" si="1"/>
        <v>CUT</v>
      </c>
    </row>
    <row r="42" ht="15.75" customHeight="1">
      <c r="A42" s="718" t="s">
        <v>406</v>
      </c>
      <c r="B42" s="719" t="s">
        <v>407</v>
      </c>
      <c r="C42" s="720" t="s">
        <v>360</v>
      </c>
      <c r="D42" s="720" t="s">
        <v>343</v>
      </c>
      <c r="E42" s="720" t="s">
        <v>344</v>
      </c>
      <c r="F42" s="725">
        <v>3.2678920281834682</v>
      </c>
      <c r="G42" s="726">
        <f>IF(OR(C42="O",C42="H"),MAX(IF(ISNA(MATCH(A42,Registro!$L$1:$L$150,0)),0,OFFSET(Registro!$M$1,MATCH(A42,Registro!$L$1:$L$150,0)-1,)),F42*0.95),0)</f>
        <v>3.104497427</v>
      </c>
      <c r="H42" s="723"/>
      <c r="I42" s="723" t="str">
        <f t="shared" si="1"/>
        <v>HOR</v>
      </c>
    </row>
    <row r="43" ht="15.75" customHeight="1">
      <c r="A43" s="727" t="s">
        <v>408</v>
      </c>
      <c r="B43" s="719" t="s">
        <v>409</v>
      </c>
      <c r="C43" s="720" t="s">
        <v>343</v>
      </c>
      <c r="D43" s="720" t="s">
        <v>343</v>
      </c>
      <c r="E43" s="720" t="s">
        <v>344</v>
      </c>
      <c r="F43" s="725">
        <v>2.216343537414966</v>
      </c>
      <c r="G43" s="726">
        <f>IF(OR(C43="O",C43="H"),MAX(IF(ISNA(MATCH(A43,Registro!$L$1:$L$150,0)),0,OFFSET(Registro!$M$1,MATCH(A43,Registro!$L$1:$L$150,0)-1,)),F43*0.95),0)</f>
        <v>2.105526361</v>
      </c>
      <c r="H43" s="723"/>
      <c r="I43" s="723" t="str">
        <f t="shared" si="1"/>
        <v>OOR</v>
      </c>
    </row>
    <row r="44" ht="15.75" customHeight="1">
      <c r="A44" s="718" t="s">
        <v>410</v>
      </c>
      <c r="B44" s="719" t="s">
        <v>411</v>
      </c>
      <c r="C44" s="720" t="s">
        <v>360</v>
      </c>
      <c r="D44" s="720" t="s">
        <v>343</v>
      </c>
      <c r="E44" s="720" t="s">
        <v>344</v>
      </c>
      <c r="F44" s="725">
        <v>18.663945578231292</v>
      </c>
      <c r="G44" s="726">
        <f>IF(OR(C44="O",C44="H"),MAX(IF(ISNA(MATCH(A44,Registro!$L$1:$L$150,0)),0,OFFSET(Registro!$M$1,MATCH(A44,Registro!$L$1:$L$150,0)-1,)),F44*0.95),0)</f>
        <v>17.7307483</v>
      </c>
      <c r="H44" s="723"/>
      <c r="I44" s="723" t="str">
        <f t="shared" si="1"/>
        <v>HOR</v>
      </c>
    </row>
    <row r="45" ht="15.75" customHeight="1">
      <c r="A45" s="718" t="s">
        <v>412</v>
      </c>
      <c r="B45" s="719" t="s">
        <v>413</v>
      </c>
      <c r="C45" s="720" t="s">
        <v>360</v>
      </c>
      <c r="D45" s="720" t="s">
        <v>343</v>
      </c>
      <c r="E45" s="720" t="s">
        <v>344</v>
      </c>
      <c r="F45" s="725">
        <v>0.0</v>
      </c>
      <c r="G45" s="726">
        <f>IF(OR(C45="O",C45="H"),MAX(IF(ISNA(MATCH(A45,Registro!$L$1:$L$150,0)),0,OFFSET(Registro!$M$1,MATCH(A45,Registro!$L$1:$L$150,0)-1,)),F45*0.95),0)</f>
        <v>0</v>
      </c>
      <c r="H45" s="723"/>
      <c r="I45" s="723" t="str">
        <f t="shared" si="1"/>
        <v>HOR</v>
      </c>
    </row>
    <row r="46" ht="15.75" customHeight="1">
      <c r="A46" s="718" t="s">
        <v>266</v>
      </c>
      <c r="B46" s="719" t="s">
        <v>414</v>
      </c>
      <c r="C46" s="720" t="s">
        <v>343</v>
      </c>
      <c r="D46" s="720" t="s">
        <v>343</v>
      </c>
      <c r="E46" s="720" t="s">
        <v>344</v>
      </c>
      <c r="F46" s="725">
        <v>101.6037556367974</v>
      </c>
      <c r="G46" s="726">
        <f>IF(OR(C46="O",C46="H"),MAX(IF(ISNA(MATCH(A46,Registro!$L$1:$L$150,0)),0,OFFSET(Registro!$M$1,MATCH(A46,Registro!$L$1:$L$150,0)-1,)),F46*0.95),0)</f>
        <v>110.25</v>
      </c>
      <c r="H46" s="723"/>
      <c r="I46" s="723" t="str">
        <f t="shared" si="1"/>
        <v>OOR</v>
      </c>
    </row>
    <row r="47" ht="15.75" customHeight="1">
      <c r="A47" s="718" t="s">
        <v>415</v>
      </c>
      <c r="B47" s="727"/>
      <c r="C47" s="720" t="s">
        <v>348</v>
      </c>
      <c r="D47" s="720" t="s">
        <v>373</v>
      </c>
      <c r="E47" s="720" t="s">
        <v>373</v>
      </c>
      <c r="F47" s="721"/>
      <c r="G47" s="722"/>
      <c r="H47" s="723"/>
      <c r="I47" s="723" t="str">
        <f t="shared" si="1"/>
        <v>A--</v>
      </c>
    </row>
    <row r="48" ht="15.75" customHeight="1">
      <c r="A48" s="718" t="s">
        <v>416</v>
      </c>
      <c r="B48" s="719" t="s">
        <v>417</v>
      </c>
      <c r="C48" s="720" t="s">
        <v>36</v>
      </c>
      <c r="D48" s="720" t="s">
        <v>364</v>
      </c>
      <c r="E48" s="720" t="s">
        <v>344</v>
      </c>
      <c r="F48" s="721"/>
      <c r="G48" s="722"/>
      <c r="H48" s="723"/>
      <c r="I48" s="723" t="str">
        <f t="shared" si="1"/>
        <v>CUR</v>
      </c>
    </row>
    <row r="49" ht="15.75" customHeight="1">
      <c r="A49" s="718" t="s">
        <v>418</v>
      </c>
      <c r="B49" s="728" t="s">
        <v>419</v>
      </c>
      <c r="C49" s="720" t="s">
        <v>36</v>
      </c>
      <c r="D49" s="720" t="s">
        <v>364</v>
      </c>
      <c r="E49" s="720" t="s">
        <v>344</v>
      </c>
      <c r="F49" s="721"/>
      <c r="G49" s="722"/>
      <c r="H49" s="723"/>
      <c r="I49" s="723" t="str">
        <f t="shared" si="1"/>
        <v>CUR</v>
      </c>
    </row>
    <row r="50" ht="15.75" customHeight="1">
      <c r="A50" s="718" t="s">
        <v>232</v>
      </c>
      <c r="B50" s="727"/>
      <c r="C50" s="720" t="s">
        <v>348</v>
      </c>
      <c r="D50" s="720" t="s">
        <v>373</v>
      </c>
      <c r="E50" s="720" t="s">
        <v>373</v>
      </c>
      <c r="F50" s="721"/>
      <c r="G50" s="722"/>
      <c r="H50" s="723"/>
      <c r="I50" s="723" t="str">
        <f t="shared" si="1"/>
        <v>A--</v>
      </c>
    </row>
    <row r="51" ht="15.75" customHeight="1">
      <c r="A51" s="718" t="s">
        <v>420</v>
      </c>
      <c r="B51" s="719" t="s">
        <v>421</v>
      </c>
      <c r="C51" s="720" t="s">
        <v>36</v>
      </c>
      <c r="D51" s="720" t="s">
        <v>343</v>
      </c>
      <c r="E51" s="720" t="s">
        <v>344</v>
      </c>
      <c r="F51" s="721"/>
      <c r="G51" s="722"/>
      <c r="H51" s="723"/>
      <c r="I51" s="723" t="str">
        <f t="shared" si="1"/>
        <v>COR</v>
      </c>
    </row>
    <row r="52" ht="15.75" customHeight="1">
      <c r="A52" s="718" t="s">
        <v>422</v>
      </c>
      <c r="B52" s="719" t="s">
        <v>423</v>
      </c>
      <c r="C52" s="720" t="s">
        <v>36</v>
      </c>
      <c r="D52" s="720" t="s">
        <v>343</v>
      </c>
      <c r="E52" s="720" t="s">
        <v>344</v>
      </c>
      <c r="F52" s="721"/>
      <c r="G52" s="722"/>
      <c r="H52" s="723"/>
      <c r="I52" s="723" t="str">
        <f t="shared" si="1"/>
        <v>COR</v>
      </c>
    </row>
    <row r="53" ht="15.75" customHeight="1">
      <c r="A53" s="718" t="s">
        <v>301</v>
      </c>
      <c r="B53" s="719" t="s">
        <v>424</v>
      </c>
      <c r="C53" s="720" t="s">
        <v>36</v>
      </c>
      <c r="D53" s="720" t="s">
        <v>343</v>
      </c>
      <c r="E53" s="720" t="s">
        <v>344</v>
      </c>
      <c r="F53" s="721"/>
      <c r="G53" s="722"/>
      <c r="H53" s="723"/>
      <c r="I53" s="723" t="str">
        <f t="shared" si="1"/>
        <v>COR</v>
      </c>
    </row>
    <row r="54" ht="15.75" customHeight="1">
      <c r="A54" s="718" t="s">
        <v>425</v>
      </c>
      <c r="B54" s="719" t="s">
        <v>426</v>
      </c>
      <c r="C54" s="720" t="s">
        <v>36</v>
      </c>
      <c r="D54" s="720" t="s">
        <v>343</v>
      </c>
      <c r="E54" s="720" t="s">
        <v>344</v>
      </c>
      <c r="F54" s="721"/>
      <c r="G54" s="722"/>
      <c r="H54" s="723"/>
      <c r="I54" s="723" t="str">
        <f t="shared" si="1"/>
        <v>COR</v>
      </c>
    </row>
    <row r="55" ht="15.75" customHeight="1">
      <c r="A55" s="718" t="s">
        <v>270</v>
      </c>
      <c r="B55" s="719" t="s">
        <v>427</v>
      </c>
      <c r="C55" s="720" t="s">
        <v>36</v>
      </c>
      <c r="D55" s="720" t="s">
        <v>343</v>
      </c>
      <c r="E55" s="720" t="s">
        <v>344</v>
      </c>
      <c r="F55" s="721"/>
      <c r="G55" s="722"/>
      <c r="H55" s="723"/>
      <c r="I55" s="723" t="str">
        <f t="shared" si="1"/>
        <v>COR</v>
      </c>
    </row>
    <row r="56" ht="15.75" customHeight="1">
      <c r="A56" s="718" t="s">
        <v>317</v>
      </c>
      <c r="B56" s="719" t="s">
        <v>428</v>
      </c>
      <c r="C56" s="720" t="s">
        <v>36</v>
      </c>
      <c r="D56" s="720" t="s">
        <v>343</v>
      </c>
      <c r="E56" s="720" t="s">
        <v>344</v>
      </c>
      <c r="F56" s="721"/>
      <c r="G56" s="722"/>
      <c r="H56" s="723"/>
      <c r="I56" s="723" t="str">
        <f t="shared" si="1"/>
        <v>COR</v>
      </c>
    </row>
    <row r="57" ht="15.75" customHeight="1">
      <c r="A57" s="718" t="s">
        <v>429</v>
      </c>
      <c r="B57" s="719" t="s">
        <v>430</v>
      </c>
      <c r="C57" s="720" t="s">
        <v>360</v>
      </c>
      <c r="D57" s="720" t="s">
        <v>343</v>
      </c>
      <c r="E57" s="720" t="s">
        <v>344</v>
      </c>
      <c r="F57" s="725">
        <v>16.129849934246145</v>
      </c>
      <c r="G57" s="726">
        <f>IF(OR(C57="O",C57="H"),MAX(IF(ISNA(MATCH(A57,Registro!$L$1:$L$150,0)),0,OFFSET(Registro!$M$1,MATCH(A57,Registro!$L$1:$L$150,0)-1,)),F57*0.95),0)</f>
        <v>15.32335744</v>
      </c>
      <c r="H57" s="723"/>
      <c r="I57" s="723" t="str">
        <f t="shared" si="1"/>
        <v>HOR</v>
      </c>
    </row>
    <row r="58" ht="15.75" customHeight="1">
      <c r="A58" s="718" t="s">
        <v>330</v>
      </c>
      <c r="B58" s="719" t="s">
        <v>431</v>
      </c>
      <c r="C58" s="720" t="s">
        <v>343</v>
      </c>
      <c r="D58" s="720" t="s">
        <v>343</v>
      </c>
      <c r="E58" s="720" t="s">
        <v>344</v>
      </c>
      <c r="F58" s="725">
        <v>157.10625</v>
      </c>
      <c r="G58" s="726">
        <f>IF(OR(C58="O",C58="H"),MAX(IF(ISNA(MATCH(A58,Registro!$L$1:$L$150,0)),0,OFFSET(Registro!$M$1,MATCH(A58,Registro!$L$1:$L$150,0)-1,)),F58*0.95),0)</f>
        <v>150</v>
      </c>
      <c r="H58" s="723"/>
      <c r="I58" s="723" t="str">
        <f t="shared" si="1"/>
        <v>OOR</v>
      </c>
    </row>
    <row r="59" ht="15.75" customHeight="1">
      <c r="A59" s="718" t="s">
        <v>292</v>
      </c>
      <c r="B59" s="719" t="s">
        <v>432</v>
      </c>
      <c r="C59" s="720" t="s">
        <v>343</v>
      </c>
      <c r="D59" s="720" t="s">
        <v>343</v>
      </c>
      <c r="E59" s="720" t="s">
        <v>344</v>
      </c>
      <c r="F59" s="725">
        <v>7.6</v>
      </c>
      <c r="G59" s="726">
        <f>IF(OR(C59="O",C59="H"),MAX(IF(ISNA(MATCH(A59,Registro!$L$1:$L$150,0)),0,OFFSET(Registro!$M$1,MATCH(A59,Registro!$L$1:$L$150,0)-1,)),F59*0.95),0)</f>
        <v>8</v>
      </c>
      <c r="H59" s="723"/>
      <c r="I59" s="723" t="str">
        <f t="shared" si="1"/>
        <v>OOR</v>
      </c>
    </row>
    <row r="60" ht="15.75" customHeight="1">
      <c r="A60" s="718" t="s">
        <v>283</v>
      </c>
      <c r="B60" s="719" t="s">
        <v>433</v>
      </c>
      <c r="C60" s="720" t="s">
        <v>343</v>
      </c>
      <c r="D60" s="720" t="s">
        <v>343</v>
      </c>
      <c r="E60" s="720" t="s">
        <v>344</v>
      </c>
      <c r="F60" s="725">
        <v>7.6</v>
      </c>
      <c r="G60" s="726">
        <f>IF(OR(C60="O",C60="H"),MAX(IF(ISNA(MATCH(A60,Registro!$L$1:$L$150,0)),0,OFFSET(Registro!$M$1,MATCH(A60,Registro!$L$1:$L$150,0)-1,)),F60*0.95),0)</f>
        <v>8</v>
      </c>
      <c r="H60" s="723"/>
      <c r="I60" s="723" t="str">
        <f t="shared" si="1"/>
        <v>OOR</v>
      </c>
    </row>
    <row r="61" ht="15.75" customHeight="1">
      <c r="A61" s="718" t="s">
        <v>434</v>
      </c>
      <c r="B61" s="719" t="s">
        <v>435</v>
      </c>
      <c r="C61" s="720" t="s">
        <v>36</v>
      </c>
      <c r="D61" s="720" t="s">
        <v>343</v>
      </c>
      <c r="E61" s="720" t="s">
        <v>344</v>
      </c>
      <c r="F61" s="721"/>
      <c r="G61" s="722"/>
      <c r="H61" s="723"/>
      <c r="I61" s="723" t="str">
        <f t="shared" si="1"/>
        <v>COR</v>
      </c>
    </row>
    <row r="62" ht="15.75" customHeight="1">
      <c r="A62" s="718" t="s">
        <v>294</v>
      </c>
      <c r="B62" s="719" t="s">
        <v>436</v>
      </c>
      <c r="C62" s="720" t="s">
        <v>343</v>
      </c>
      <c r="D62" s="720" t="s">
        <v>343</v>
      </c>
      <c r="E62" s="720" t="s">
        <v>344</v>
      </c>
      <c r="F62" s="725">
        <v>8.82</v>
      </c>
      <c r="G62" s="726">
        <f>IF(OR(C62="O",C62="H"),MAX(IF(ISNA(MATCH(A62,Registro!$L$1:$L$150,0)),0,OFFSET(Registro!$M$1,MATCH(A62,Registro!$L$1:$L$150,0)-1,)),F62*0.95),0)</f>
        <v>8.379</v>
      </c>
      <c r="H62" s="723"/>
      <c r="I62" s="723" t="str">
        <f t="shared" si="1"/>
        <v>OOR</v>
      </c>
    </row>
    <row r="63" ht="15.75" customHeight="1">
      <c r="A63" s="718" t="s">
        <v>268</v>
      </c>
      <c r="B63" s="719" t="s">
        <v>437</v>
      </c>
      <c r="C63" s="720" t="s">
        <v>343</v>
      </c>
      <c r="D63" s="720" t="s">
        <v>343</v>
      </c>
      <c r="E63" s="720" t="s">
        <v>344</v>
      </c>
      <c r="F63" s="725">
        <v>170.0</v>
      </c>
      <c r="G63" s="726">
        <f>IF(OR(C63="O",C63="H"),MAX(IF(ISNA(MATCH(A63,Registro!$L$1:$L$150,0)),0,OFFSET(Registro!$M$1,MATCH(A63,Registro!$L$1:$L$150,0)-1,)),F63*0.95),0)</f>
        <v>170</v>
      </c>
      <c r="H63" s="723"/>
      <c r="I63" s="723" t="str">
        <f t="shared" si="1"/>
        <v>OOR</v>
      </c>
    </row>
    <row r="64" ht="15.75" customHeight="1">
      <c r="A64" s="718" t="s">
        <v>438</v>
      </c>
      <c r="B64" s="719" t="s">
        <v>439</v>
      </c>
      <c r="C64" s="720" t="s">
        <v>36</v>
      </c>
      <c r="D64" s="720" t="s">
        <v>348</v>
      </c>
      <c r="E64" s="720" t="s">
        <v>344</v>
      </c>
      <c r="F64" s="721"/>
      <c r="G64" s="722"/>
      <c r="H64" s="723"/>
      <c r="I64" s="723" t="str">
        <f t="shared" si="1"/>
        <v>CAR</v>
      </c>
    </row>
    <row r="65" ht="15.75" customHeight="1">
      <c r="A65" s="718" t="s">
        <v>265</v>
      </c>
      <c r="B65" s="719" t="s">
        <v>440</v>
      </c>
      <c r="C65" s="720" t="s">
        <v>343</v>
      </c>
      <c r="D65" s="720" t="s">
        <v>343</v>
      </c>
      <c r="E65" s="720" t="s">
        <v>344</v>
      </c>
      <c r="F65" s="725">
        <v>70.56</v>
      </c>
      <c r="G65" s="726">
        <f>IF(OR(C65="O",C65="H"),MAX(IF(ISNA(MATCH(A65,Registro!$L$1:$L$150,0)),0,OFFSET(Registro!$M$1,MATCH(A65,Registro!$L$1:$L$150,0)-1,)),F65*0.95),0)</f>
        <v>78</v>
      </c>
      <c r="H65" s="723"/>
      <c r="I65" s="723" t="str">
        <f t="shared" si="1"/>
        <v>OOR</v>
      </c>
    </row>
    <row r="66" ht="15.75" customHeight="1">
      <c r="A66" s="718" t="s">
        <v>313</v>
      </c>
      <c r="B66" s="719" t="s">
        <v>441</v>
      </c>
      <c r="C66" s="720" t="s">
        <v>37</v>
      </c>
      <c r="D66" s="720" t="s">
        <v>343</v>
      </c>
      <c r="E66" s="720" t="s">
        <v>344</v>
      </c>
      <c r="F66" s="721"/>
      <c r="G66" s="722"/>
      <c r="H66" s="723"/>
      <c r="I66" s="723" t="str">
        <f t="shared" si="1"/>
        <v>EOR</v>
      </c>
    </row>
    <row r="67" ht="15.75" customHeight="1">
      <c r="A67" s="718" t="s">
        <v>239</v>
      </c>
      <c r="B67" s="719" t="s">
        <v>442</v>
      </c>
      <c r="C67" s="720" t="s">
        <v>36</v>
      </c>
      <c r="D67" s="720" t="s">
        <v>343</v>
      </c>
      <c r="E67" s="720" t="s">
        <v>443</v>
      </c>
      <c r="F67" s="721"/>
      <c r="G67" s="722"/>
      <c r="H67" s="723"/>
      <c r="I67" s="723" t="str">
        <f t="shared" si="1"/>
        <v>COI</v>
      </c>
    </row>
    <row r="68" ht="15.75" customHeight="1">
      <c r="A68" s="718" t="s">
        <v>236</v>
      </c>
      <c r="B68" s="719" t="s">
        <v>444</v>
      </c>
      <c r="C68" s="720" t="s">
        <v>36</v>
      </c>
      <c r="D68" s="720" t="s">
        <v>343</v>
      </c>
      <c r="E68" s="720" t="s">
        <v>344</v>
      </c>
      <c r="F68" s="721"/>
      <c r="G68" s="722"/>
      <c r="H68" s="723"/>
      <c r="I68" s="723" t="str">
        <f t="shared" si="1"/>
        <v>COR</v>
      </c>
    </row>
    <row r="69" ht="15.75" customHeight="1">
      <c r="A69" s="718" t="s">
        <v>445</v>
      </c>
      <c r="B69" s="719" t="s">
        <v>446</v>
      </c>
      <c r="C69" s="720" t="s">
        <v>36</v>
      </c>
      <c r="D69" s="720" t="s">
        <v>348</v>
      </c>
      <c r="E69" s="720" t="s">
        <v>344</v>
      </c>
      <c r="F69" s="721"/>
      <c r="G69" s="722"/>
      <c r="H69" s="723"/>
      <c r="I69" s="723" t="str">
        <f t="shared" si="1"/>
        <v>CAR</v>
      </c>
    </row>
    <row r="70" ht="15.75" customHeight="1">
      <c r="A70" s="718" t="s">
        <v>238</v>
      </c>
      <c r="B70" s="719" t="s">
        <v>447</v>
      </c>
      <c r="C70" s="720" t="s">
        <v>36</v>
      </c>
      <c r="D70" s="720" t="s">
        <v>364</v>
      </c>
      <c r="E70" s="720" t="s">
        <v>344</v>
      </c>
      <c r="F70" s="721"/>
      <c r="G70" s="722"/>
      <c r="H70" s="723"/>
      <c r="I70" s="723" t="str">
        <f t="shared" si="1"/>
        <v>CUR</v>
      </c>
    </row>
    <row r="71" ht="15.75" customHeight="1">
      <c r="A71" s="718" t="s">
        <v>242</v>
      </c>
      <c r="B71" s="719" t="s">
        <v>448</v>
      </c>
      <c r="C71" s="720" t="s">
        <v>36</v>
      </c>
      <c r="D71" s="720" t="s">
        <v>364</v>
      </c>
      <c r="E71" s="720" t="s">
        <v>344</v>
      </c>
      <c r="F71" s="721"/>
      <c r="G71" s="722"/>
      <c r="H71" s="723"/>
      <c r="I71" s="723" t="str">
        <f t="shared" si="1"/>
        <v>CUR</v>
      </c>
    </row>
    <row r="72" ht="15.75" customHeight="1">
      <c r="A72" s="718" t="s">
        <v>245</v>
      </c>
      <c r="B72" s="719" t="s">
        <v>449</v>
      </c>
      <c r="C72" s="720" t="s">
        <v>36</v>
      </c>
      <c r="D72" s="720" t="s">
        <v>343</v>
      </c>
      <c r="E72" s="720" t="s">
        <v>344</v>
      </c>
      <c r="F72" s="724"/>
      <c r="G72" s="722"/>
      <c r="H72" s="723"/>
      <c r="I72" s="723" t="str">
        <f t="shared" si="1"/>
        <v>COR</v>
      </c>
    </row>
    <row r="73" ht="15.75" customHeight="1">
      <c r="A73" s="718" t="s">
        <v>249</v>
      </c>
      <c r="B73" s="719" t="s">
        <v>450</v>
      </c>
      <c r="C73" s="720" t="s">
        <v>36</v>
      </c>
      <c r="D73" s="720" t="s">
        <v>343</v>
      </c>
      <c r="E73" s="720" t="s">
        <v>344</v>
      </c>
      <c r="F73" s="721"/>
      <c r="G73" s="722"/>
      <c r="H73" s="723"/>
      <c r="I73" s="723" t="str">
        <f t="shared" si="1"/>
        <v>COR</v>
      </c>
    </row>
    <row r="74" ht="15.75" customHeight="1">
      <c r="A74" s="718" t="s">
        <v>240</v>
      </c>
      <c r="B74" s="719" t="s">
        <v>451</v>
      </c>
      <c r="C74" s="720" t="s">
        <v>36</v>
      </c>
      <c r="D74" s="720" t="s">
        <v>364</v>
      </c>
      <c r="E74" s="720" t="s">
        <v>344</v>
      </c>
      <c r="F74" s="721"/>
      <c r="G74" s="722"/>
      <c r="H74" s="723"/>
      <c r="I74" s="723" t="str">
        <f t="shared" si="1"/>
        <v>CUR</v>
      </c>
    </row>
    <row r="75" ht="15.75" customHeight="1">
      <c r="A75" s="718" t="s">
        <v>452</v>
      </c>
      <c r="B75" s="727"/>
      <c r="C75" s="720" t="s">
        <v>348</v>
      </c>
      <c r="D75" s="720" t="s">
        <v>373</v>
      </c>
      <c r="E75" s="720" t="s">
        <v>373</v>
      </c>
      <c r="F75" s="721"/>
      <c r="G75" s="722"/>
      <c r="H75" s="723"/>
      <c r="I75" s="723" t="str">
        <f t="shared" si="1"/>
        <v>A--</v>
      </c>
    </row>
    <row r="76" ht="15.75" customHeight="1">
      <c r="A76" s="727" t="s">
        <v>453</v>
      </c>
      <c r="B76" s="719" t="s">
        <v>454</v>
      </c>
      <c r="C76" s="720" t="s">
        <v>37</v>
      </c>
      <c r="D76" s="720" t="s">
        <v>364</v>
      </c>
      <c r="E76" s="720" t="s">
        <v>344</v>
      </c>
      <c r="F76" s="721"/>
      <c r="G76" s="722"/>
      <c r="H76" s="723"/>
      <c r="I76" s="723" t="str">
        <f t="shared" si="1"/>
        <v>EUR</v>
      </c>
    </row>
    <row r="77" ht="15.75" customHeight="1">
      <c r="A77" s="718" t="s">
        <v>273</v>
      </c>
      <c r="B77" s="719" t="s">
        <v>455</v>
      </c>
      <c r="C77" s="720" t="s">
        <v>343</v>
      </c>
      <c r="D77" s="720" t="s">
        <v>343</v>
      </c>
      <c r="E77" s="720" t="s">
        <v>344</v>
      </c>
      <c r="F77" s="725">
        <v>220.50000000000003</v>
      </c>
      <c r="G77" s="726">
        <f>IF(OR(C77="O",C77="H"),MAX(IF(ISNA(MATCH(A77,Registro!$L$1:$L$150,0)),0,OFFSET(Registro!$M$1,MATCH(A77,Registro!$L$1:$L$150,0)-1,)),F77*0.95),0)</f>
        <v>220.5</v>
      </c>
      <c r="H77" s="723"/>
      <c r="I77" s="723" t="str">
        <f t="shared" si="1"/>
        <v>OOR</v>
      </c>
    </row>
    <row r="78" ht="15.75" customHeight="1">
      <c r="A78" s="727" t="s">
        <v>456</v>
      </c>
      <c r="B78" s="719" t="s">
        <v>457</v>
      </c>
      <c r="C78" s="720" t="s">
        <v>343</v>
      </c>
      <c r="D78" s="720" t="s">
        <v>343</v>
      </c>
      <c r="E78" s="720" t="s">
        <v>344</v>
      </c>
      <c r="F78" s="725">
        <v>5.389418082603514</v>
      </c>
      <c r="G78" s="726">
        <f>IF(OR(C78="O",C78="H"),MAX(IF(ISNA(MATCH(A78,Registro!$L$1:$L$150,0)),0,OFFSET(Registro!$M$1,MATCH(A78,Registro!$L$1:$L$150,0)-1,)),F78*0.95),0)</f>
        <v>5.119947178</v>
      </c>
      <c r="H78" s="723"/>
      <c r="I78" s="723" t="str">
        <f t="shared" si="1"/>
        <v>OOR</v>
      </c>
    </row>
    <row r="79" ht="15.75" customHeight="1">
      <c r="A79" s="718" t="s">
        <v>235</v>
      </c>
      <c r="B79" s="727"/>
      <c r="C79" s="720" t="s">
        <v>348</v>
      </c>
      <c r="D79" s="720" t="s">
        <v>373</v>
      </c>
      <c r="E79" s="720" t="s">
        <v>373</v>
      </c>
      <c r="F79" s="721"/>
      <c r="G79" s="722"/>
      <c r="H79" s="723"/>
      <c r="I79" s="723" t="str">
        <f t="shared" si="1"/>
        <v>A--</v>
      </c>
    </row>
    <row r="80" ht="15.75" customHeight="1">
      <c r="A80" s="718" t="s">
        <v>458</v>
      </c>
      <c r="B80" s="719" t="s">
        <v>459</v>
      </c>
      <c r="C80" s="720" t="s">
        <v>36</v>
      </c>
      <c r="D80" s="720" t="s">
        <v>343</v>
      </c>
      <c r="E80" s="720" t="s">
        <v>344</v>
      </c>
      <c r="F80" s="724"/>
      <c r="G80" s="722"/>
      <c r="H80" s="723"/>
      <c r="I80" s="723" t="str">
        <f t="shared" si="1"/>
        <v>COR</v>
      </c>
    </row>
    <row r="81" ht="15.75" customHeight="1">
      <c r="A81" s="718" t="s">
        <v>460</v>
      </c>
      <c r="B81" s="719" t="s">
        <v>459</v>
      </c>
      <c r="C81" s="720" t="s">
        <v>36</v>
      </c>
      <c r="D81" s="720" t="s">
        <v>343</v>
      </c>
      <c r="E81" s="720" t="s">
        <v>405</v>
      </c>
      <c r="F81" s="721"/>
      <c r="G81" s="722"/>
      <c r="H81" s="723"/>
      <c r="I81" s="723" t="str">
        <f t="shared" si="1"/>
        <v>COT</v>
      </c>
    </row>
    <row r="82" ht="15.75" customHeight="1">
      <c r="A82" s="718" t="s">
        <v>250</v>
      </c>
      <c r="B82" s="719" t="s">
        <v>461</v>
      </c>
      <c r="C82" s="720" t="s">
        <v>36</v>
      </c>
      <c r="D82" s="720" t="s">
        <v>343</v>
      </c>
      <c r="E82" s="720" t="s">
        <v>443</v>
      </c>
      <c r="F82" s="721"/>
      <c r="G82" s="722"/>
      <c r="H82" s="723"/>
      <c r="I82" s="723" t="str">
        <f t="shared" si="1"/>
        <v>COI</v>
      </c>
    </row>
    <row r="83" ht="15.75" customHeight="1">
      <c r="A83" s="718" t="s">
        <v>462</v>
      </c>
      <c r="B83" s="719" t="s">
        <v>463</v>
      </c>
      <c r="C83" s="720" t="s">
        <v>343</v>
      </c>
      <c r="D83" s="720" t="s">
        <v>343</v>
      </c>
      <c r="E83" s="720" t="s">
        <v>344</v>
      </c>
      <c r="F83" s="725">
        <v>9.452559374999998</v>
      </c>
      <c r="G83" s="726">
        <f>IF(OR(C83="O",C83="H"),MAX(IF(ISNA(MATCH(A83,Registro!$L$1:$L$150,0)),0,OFFSET(Registro!$M$1,MATCH(A83,Registro!$L$1:$L$150,0)-1,)),F83*0.95),0)</f>
        <v>8.979931406</v>
      </c>
      <c r="H83" s="723"/>
      <c r="I83" s="723" t="str">
        <f t="shared" si="1"/>
        <v>OOR</v>
      </c>
    </row>
    <row r="84" ht="15.75" customHeight="1">
      <c r="A84" s="718" t="s">
        <v>464</v>
      </c>
      <c r="B84" s="719" t="s">
        <v>465</v>
      </c>
      <c r="C84" s="720" t="s">
        <v>36</v>
      </c>
      <c r="D84" s="720" t="s">
        <v>343</v>
      </c>
      <c r="E84" s="720" t="s">
        <v>443</v>
      </c>
      <c r="F84" s="721"/>
      <c r="G84" s="722"/>
      <c r="H84" s="723"/>
      <c r="I84" s="723" t="str">
        <f t="shared" si="1"/>
        <v>COI</v>
      </c>
    </row>
    <row r="85" ht="15.75" customHeight="1">
      <c r="A85" s="718" t="s">
        <v>466</v>
      </c>
      <c r="B85" s="719" t="s">
        <v>467</v>
      </c>
      <c r="C85" s="720" t="s">
        <v>36</v>
      </c>
      <c r="D85" s="720" t="s">
        <v>364</v>
      </c>
      <c r="E85" s="720" t="s">
        <v>443</v>
      </c>
      <c r="F85" s="721"/>
      <c r="G85" s="722"/>
      <c r="H85" s="723"/>
      <c r="I85" s="723" t="str">
        <f t="shared" si="1"/>
        <v>CUI</v>
      </c>
    </row>
    <row r="86" ht="15.75" customHeight="1">
      <c r="A86" s="718" t="s">
        <v>468</v>
      </c>
      <c r="B86" s="719" t="s">
        <v>469</v>
      </c>
      <c r="C86" s="720" t="s">
        <v>36</v>
      </c>
      <c r="D86" s="720" t="s">
        <v>364</v>
      </c>
      <c r="E86" s="720" t="s">
        <v>344</v>
      </c>
      <c r="F86" s="721"/>
      <c r="G86" s="722"/>
      <c r="H86" s="723"/>
      <c r="I86" s="723" t="str">
        <f t="shared" si="1"/>
        <v>CUR</v>
      </c>
    </row>
    <row r="87" ht="15.75" customHeight="1">
      <c r="A87" s="727" t="s">
        <v>285</v>
      </c>
      <c r="B87" s="719" t="s">
        <v>470</v>
      </c>
      <c r="C87" s="720" t="s">
        <v>343</v>
      </c>
      <c r="D87" s="720" t="s">
        <v>343</v>
      </c>
      <c r="E87" s="720" t="s">
        <v>344</v>
      </c>
      <c r="F87" s="725">
        <v>9.922500000000001</v>
      </c>
      <c r="G87" s="726">
        <f>IF(OR(C87="O",C87="H"),MAX(IF(ISNA(MATCH(A87,Registro!$L$1:$L$150,0)),0,OFFSET(Registro!$M$1,MATCH(A87,Registro!$L$1:$L$150,0)-1,)),F87*0.95),0)</f>
        <v>9.426375</v>
      </c>
      <c r="H87" s="723"/>
      <c r="I87" s="723" t="str">
        <f t="shared" si="1"/>
        <v>OOR</v>
      </c>
    </row>
    <row r="88" ht="15.75" customHeight="1">
      <c r="A88" s="718" t="s">
        <v>471</v>
      </c>
      <c r="B88" s="719" t="s">
        <v>472</v>
      </c>
      <c r="C88" s="720" t="s">
        <v>343</v>
      </c>
      <c r="D88" s="720" t="s">
        <v>343</v>
      </c>
      <c r="E88" s="720" t="s">
        <v>344</v>
      </c>
      <c r="F88" s="725">
        <v>8.826651068673359</v>
      </c>
      <c r="G88" s="726">
        <f>IF(OR(C88="O",C88="H"),MAX(IF(ISNA(MATCH(A88,Registro!$L$1:$L$150,0)),0,OFFSET(Registro!$M$1,MATCH(A88,Registro!$L$1:$L$150,0)-1,)),F88*0.95),0)</f>
        <v>8.385318515</v>
      </c>
      <c r="H88" s="723"/>
      <c r="I88" s="723" t="str">
        <f t="shared" si="1"/>
        <v>OOR</v>
      </c>
    </row>
    <row r="89" ht="15.75" customHeight="1">
      <c r="A89" s="718" t="s">
        <v>288</v>
      </c>
      <c r="B89" s="719" t="s">
        <v>473</v>
      </c>
      <c r="C89" s="720" t="s">
        <v>343</v>
      </c>
      <c r="D89" s="720" t="s">
        <v>343</v>
      </c>
      <c r="E89" s="720" t="s">
        <v>344</v>
      </c>
      <c r="F89" s="725">
        <v>8.5073034375</v>
      </c>
      <c r="G89" s="726">
        <f>IF(OR(C89="O",C89="H"),MAX(IF(ISNA(MATCH(A89,Registro!$L$1:$L$150,0)),0,OFFSET(Registro!$M$1,MATCH(A89,Registro!$L$1:$L$150,0)-1,)),F89*0.95),0)</f>
        <v>8.081938266</v>
      </c>
      <c r="H89" s="723"/>
      <c r="I89" s="723" t="str">
        <f t="shared" si="1"/>
        <v>OOR</v>
      </c>
    </row>
    <row r="90" ht="15.75" customHeight="1">
      <c r="A90" s="718" t="s">
        <v>474</v>
      </c>
      <c r="B90" s="719" t="s">
        <v>475</v>
      </c>
      <c r="C90" s="720" t="s">
        <v>343</v>
      </c>
      <c r="D90" s="720" t="s">
        <v>343</v>
      </c>
      <c r="E90" s="720" t="s">
        <v>344</v>
      </c>
      <c r="F90" s="725">
        <v>34.12373934374999</v>
      </c>
      <c r="G90" s="726">
        <f>IF(OR(C90="O",C90="H"),MAX(IF(ISNA(MATCH(A90,Registro!$L$1:$L$150,0)),0,OFFSET(Registro!$M$1,MATCH(A90,Registro!$L$1:$L$150,0)-1,)),F90*0.95),0)</f>
        <v>32.41755238</v>
      </c>
      <c r="H90" s="723"/>
      <c r="I90" s="723" t="str">
        <f t="shared" si="1"/>
        <v>OOR</v>
      </c>
    </row>
    <row r="91" ht="15.75" customHeight="1">
      <c r="A91" s="718" t="s">
        <v>277</v>
      </c>
      <c r="B91" s="719" t="s">
        <v>476</v>
      </c>
      <c r="C91" s="720" t="s">
        <v>343</v>
      </c>
      <c r="D91" s="720" t="s">
        <v>343</v>
      </c>
      <c r="E91" s="720" t="s">
        <v>344</v>
      </c>
      <c r="F91" s="725">
        <v>66.15</v>
      </c>
      <c r="G91" s="726">
        <f>IF(OR(C91="O",C91="H"),MAX(IF(ISNA(MATCH(A91,Registro!$L$1:$L$150,0)),0,OFFSET(Registro!$M$1,MATCH(A91,Registro!$L$1:$L$150,0)-1,)),F91*0.95),0)</f>
        <v>68</v>
      </c>
      <c r="H91" s="723"/>
      <c r="I91" s="723" t="str">
        <f t="shared" si="1"/>
        <v>OOR</v>
      </c>
    </row>
    <row r="92" ht="15.75" customHeight="1">
      <c r="A92" s="718" t="s">
        <v>305</v>
      </c>
      <c r="B92" s="719" t="s">
        <v>477</v>
      </c>
      <c r="C92" s="720" t="s">
        <v>343</v>
      </c>
      <c r="D92" s="720" t="s">
        <v>343</v>
      </c>
      <c r="E92" s="720" t="s">
        <v>344</v>
      </c>
      <c r="F92" s="725">
        <v>11.025</v>
      </c>
      <c r="G92" s="726">
        <f>IF(OR(C92="O",C92="H"),MAX(IF(ISNA(MATCH(A92,Registro!$L$1:$L$150,0)),0,OFFSET(Registro!$M$1,MATCH(A92,Registro!$L$1:$L$150,0)-1,)),F92*0.95),0)</f>
        <v>11.025</v>
      </c>
      <c r="H92" s="723"/>
      <c r="I92" s="723" t="str">
        <f t="shared" si="1"/>
        <v>OOR</v>
      </c>
    </row>
    <row r="93" ht="15.75" customHeight="1">
      <c r="A93" s="718" t="s">
        <v>478</v>
      </c>
      <c r="B93" s="727"/>
      <c r="C93" s="720" t="s">
        <v>343</v>
      </c>
      <c r="D93" s="720" t="s">
        <v>343</v>
      </c>
      <c r="E93" s="720" t="s">
        <v>344</v>
      </c>
      <c r="F93" s="725">
        <v>3.574928866123963</v>
      </c>
      <c r="G93" s="726">
        <f>IF(OR(C93="O",C93="H"),MAX(IF(ISNA(MATCH(A93,Registro!$L$1:$L$150,0)),0,OFFSET(Registro!$M$1,MATCH(A93,Registro!$L$1:$L$150,0)-1,)),F93*0.95),0)</f>
        <v>3.396182423</v>
      </c>
      <c r="H93" s="723"/>
      <c r="I93" s="723" t="str">
        <f t="shared" si="1"/>
        <v>OOR</v>
      </c>
    </row>
    <row r="94" ht="15.75" customHeight="1">
      <c r="A94" s="718" t="s">
        <v>479</v>
      </c>
      <c r="B94" s="719" t="s">
        <v>480</v>
      </c>
      <c r="C94" s="720" t="s">
        <v>360</v>
      </c>
      <c r="D94" s="720" t="s">
        <v>348</v>
      </c>
      <c r="E94" s="720" t="s">
        <v>344</v>
      </c>
      <c r="F94" s="725">
        <v>0.0</v>
      </c>
      <c r="G94" s="726">
        <f>IF(OR(C94="O",C94="H"),MAX(IF(ISNA(MATCH(A94,Registro!$L$1:$L$150,0)),0,OFFSET(Registro!$M$1,MATCH(A94,Registro!$L$1:$L$150,0)-1,)),F94*0.95),0)</f>
        <v>0</v>
      </c>
      <c r="H94" s="723"/>
      <c r="I94" s="723" t="str">
        <f t="shared" si="1"/>
        <v>HAR</v>
      </c>
    </row>
    <row r="95" ht="15.75" customHeight="1">
      <c r="A95" s="718" t="s">
        <v>481</v>
      </c>
      <c r="B95" s="719" t="s">
        <v>482</v>
      </c>
      <c r="C95" s="720" t="s">
        <v>343</v>
      </c>
      <c r="D95" s="720" t="s">
        <v>343</v>
      </c>
      <c r="E95" s="720" t="s">
        <v>344</v>
      </c>
      <c r="F95" s="725">
        <v>2.7805002292075276</v>
      </c>
      <c r="G95" s="726">
        <f>IF(OR(C95="O",C95="H"),MAX(IF(ISNA(MATCH(A95,Registro!$L$1:$L$150,0)),0,OFFSET(Registro!$M$1,MATCH(A95,Registro!$L$1:$L$150,0)-1,)),F95*0.95),0)</f>
        <v>2.641475218</v>
      </c>
      <c r="H95" s="723"/>
      <c r="I95" s="723" t="str">
        <f t="shared" si="1"/>
        <v>OOR</v>
      </c>
    </row>
    <row r="96" ht="15.75" customHeight="1">
      <c r="A96" s="718" t="s">
        <v>299</v>
      </c>
      <c r="B96" s="719" t="s">
        <v>483</v>
      </c>
      <c r="C96" s="720" t="s">
        <v>343</v>
      </c>
      <c r="D96" s="720" t="s">
        <v>343</v>
      </c>
      <c r="E96" s="720" t="s">
        <v>344</v>
      </c>
      <c r="F96" s="725">
        <v>20.0</v>
      </c>
      <c r="G96" s="726">
        <f>IF(OR(C96="O",C96="H"),MAX(IF(ISNA(MATCH(A96,Registro!$L$1:$L$150,0)),0,OFFSET(Registro!$M$1,MATCH(A96,Registro!$L$1:$L$150,0)-1,)),F96*0.95),0)</f>
        <v>20</v>
      </c>
      <c r="H96" s="723"/>
      <c r="I96" s="723" t="str">
        <f t="shared" si="1"/>
        <v>OOR</v>
      </c>
    </row>
    <row r="97" ht="15.75" customHeight="1">
      <c r="A97" s="718" t="s">
        <v>484</v>
      </c>
      <c r="B97" s="719" t="s">
        <v>485</v>
      </c>
      <c r="C97" s="720" t="s">
        <v>360</v>
      </c>
      <c r="D97" s="720" t="s">
        <v>343</v>
      </c>
      <c r="E97" s="720" t="s">
        <v>344</v>
      </c>
      <c r="F97" s="725">
        <v>0.0</v>
      </c>
      <c r="G97" s="726">
        <f>IF(OR(C97="O",C97="H"),MAX(IF(ISNA(MATCH(A97,Registro!$L$1:$L$150,0)),0,OFFSET(Registro!$M$1,MATCH(A97,Registro!$L$1:$L$150,0)-1,)),F97*0.95),0)</f>
        <v>0</v>
      </c>
      <c r="H97" s="723"/>
      <c r="I97" s="723" t="str">
        <f t="shared" si="1"/>
        <v>HOR</v>
      </c>
    </row>
    <row r="98" ht="15.75" customHeight="1">
      <c r="A98" s="718" t="s">
        <v>287</v>
      </c>
      <c r="B98" s="719" t="s">
        <v>486</v>
      </c>
      <c r="C98" s="720" t="s">
        <v>360</v>
      </c>
      <c r="D98" s="720" t="s">
        <v>343</v>
      </c>
      <c r="E98" s="720" t="s">
        <v>344</v>
      </c>
      <c r="F98" s="725">
        <v>14.0</v>
      </c>
      <c r="G98" s="726">
        <f>IF(OR(C98="O",C98="H"),MAX(IF(ISNA(MATCH(A98,Registro!$L$1:$L$150,0)),0,OFFSET(Registro!$M$1,MATCH(A98,Registro!$L$1:$L$150,0)-1,)),F98*0.95),0)</f>
        <v>13.3</v>
      </c>
      <c r="H98" s="723"/>
      <c r="I98" s="723" t="str">
        <f t="shared" si="1"/>
        <v>HOR</v>
      </c>
    </row>
    <row r="99" ht="15.75" customHeight="1">
      <c r="A99" s="718" t="s">
        <v>487</v>
      </c>
      <c r="B99" s="719" t="s">
        <v>488</v>
      </c>
      <c r="C99" s="720" t="s">
        <v>360</v>
      </c>
      <c r="D99" s="720" t="s">
        <v>343</v>
      </c>
      <c r="E99" s="720" t="s">
        <v>344</v>
      </c>
      <c r="F99" s="725">
        <v>15.398337378867183</v>
      </c>
      <c r="G99" s="726">
        <f>IF(OR(C99="O",C99="H"),MAX(IF(ISNA(MATCH(A99,Registro!$L$1:$L$150,0)),0,OFFSET(Registro!$M$1,MATCH(A99,Registro!$L$1:$L$150,0)-1,)),F99*0.95),0)</f>
        <v>14.62842051</v>
      </c>
      <c r="H99" s="723"/>
      <c r="I99" s="723" t="str">
        <f t="shared" si="1"/>
        <v>HOR</v>
      </c>
    </row>
    <row r="100" ht="15.75" customHeight="1">
      <c r="A100" s="718" t="s">
        <v>314</v>
      </c>
      <c r="B100" s="719" t="s">
        <v>489</v>
      </c>
      <c r="C100" s="720" t="s">
        <v>37</v>
      </c>
      <c r="D100" s="720" t="s">
        <v>343</v>
      </c>
      <c r="E100" s="720" t="s">
        <v>344</v>
      </c>
      <c r="F100" s="721"/>
      <c r="G100" s="722"/>
      <c r="H100" s="723"/>
      <c r="I100" s="723" t="str">
        <f t="shared" si="1"/>
        <v>EOR</v>
      </c>
    </row>
    <row r="101" ht="15.75" customHeight="1">
      <c r="A101" s="718" t="s">
        <v>490</v>
      </c>
      <c r="B101" s="719" t="s">
        <v>491</v>
      </c>
      <c r="C101" s="720" t="s">
        <v>343</v>
      </c>
      <c r="D101" s="720" t="s">
        <v>364</v>
      </c>
      <c r="E101" s="720" t="s">
        <v>344</v>
      </c>
      <c r="F101" s="725">
        <v>0.0</v>
      </c>
      <c r="G101" s="726">
        <f>IF(OR(C101="O",C101="H"),MAX(IF(ISNA(MATCH(A101,Registro!$L$1:$L$150,0)),0,OFFSET(Registro!$M$1,MATCH(A101,Registro!$L$1:$L$150,0)-1,)),F101*0.95),0)</f>
        <v>0</v>
      </c>
      <c r="H101" s="723"/>
      <c r="I101" s="723" t="str">
        <f t="shared" si="1"/>
        <v>OUR</v>
      </c>
    </row>
    <row r="102" ht="15.75" customHeight="1">
      <c r="A102" s="718" t="s">
        <v>492</v>
      </c>
      <c r="B102" s="719" t="s">
        <v>493</v>
      </c>
      <c r="C102" s="720" t="s">
        <v>343</v>
      </c>
      <c r="D102" s="720" t="s">
        <v>364</v>
      </c>
      <c r="E102" s="720" t="s">
        <v>344</v>
      </c>
      <c r="F102" s="725">
        <v>0.5403600876626365</v>
      </c>
      <c r="G102" s="726">
        <f>IF(OR(C102="O",C102="H"),MAX(IF(ISNA(MATCH(A102,Registro!$L$1:$L$150,0)),0,OFFSET(Registro!$M$1,MATCH(A102,Registro!$L$1:$L$150,0)-1,)),F102*0.95),0)</f>
        <v>0.5133420833</v>
      </c>
      <c r="H102" s="723"/>
      <c r="I102" s="723" t="str">
        <f t="shared" si="1"/>
        <v>OUR</v>
      </c>
    </row>
    <row r="103" ht="15.75" customHeight="1">
      <c r="A103" s="718" t="s">
        <v>255</v>
      </c>
      <c r="B103" s="719" t="s">
        <v>494</v>
      </c>
      <c r="C103" s="720" t="s">
        <v>36</v>
      </c>
      <c r="D103" s="720" t="s">
        <v>343</v>
      </c>
      <c r="E103" s="720" t="s">
        <v>405</v>
      </c>
      <c r="F103" s="721"/>
      <c r="G103" s="722"/>
      <c r="H103" s="723"/>
      <c r="I103" s="723" t="str">
        <f t="shared" si="1"/>
        <v>COT</v>
      </c>
    </row>
    <row r="104" ht="15.75" customHeight="1">
      <c r="A104" s="718" t="s">
        <v>253</v>
      </c>
      <c r="B104" s="719" t="s">
        <v>495</v>
      </c>
      <c r="C104" s="720" t="s">
        <v>36</v>
      </c>
      <c r="D104" s="720" t="s">
        <v>343</v>
      </c>
      <c r="E104" s="720" t="s">
        <v>405</v>
      </c>
      <c r="F104" s="721"/>
      <c r="G104" s="722"/>
      <c r="H104" s="723"/>
      <c r="I104" s="723" t="str">
        <f t="shared" si="1"/>
        <v>COT</v>
      </c>
    </row>
    <row r="105" ht="15.75" customHeight="1">
      <c r="A105" s="727" t="s">
        <v>261</v>
      </c>
      <c r="B105" s="719" t="s">
        <v>496</v>
      </c>
      <c r="C105" s="720" t="s">
        <v>343</v>
      </c>
      <c r="D105" s="720" t="s">
        <v>343</v>
      </c>
      <c r="E105" s="720" t="s">
        <v>344</v>
      </c>
      <c r="F105" s="725">
        <v>100.0</v>
      </c>
      <c r="G105" s="726">
        <f>IF(OR(C105="O",C105="H"),MAX(IF(ISNA(MATCH(A105,Registro!$L$1:$L$150,0)),0,OFFSET(Registro!$M$1,MATCH(A105,Registro!$L$1:$L$150,0)-1,)),F105*0.95),0)</f>
        <v>100</v>
      </c>
      <c r="H105" s="723"/>
      <c r="I105" s="723" t="str">
        <f t="shared" si="1"/>
        <v>OOR</v>
      </c>
    </row>
    <row r="106" ht="15.75" customHeight="1">
      <c r="A106" s="718" t="s">
        <v>328</v>
      </c>
      <c r="B106" s="719" t="s">
        <v>497</v>
      </c>
      <c r="C106" s="720" t="s">
        <v>36</v>
      </c>
      <c r="D106" s="720" t="s">
        <v>343</v>
      </c>
      <c r="E106" s="720" t="s">
        <v>344</v>
      </c>
      <c r="F106" s="721"/>
      <c r="G106" s="722"/>
      <c r="H106" s="723"/>
      <c r="I106" s="723" t="str">
        <f t="shared" si="1"/>
        <v>COR</v>
      </c>
    </row>
    <row r="107" ht="15.75" customHeight="1">
      <c r="A107" s="727" t="s">
        <v>278</v>
      </c>
      <c r="B107" s="719" t="s">
        <v>498</v>
      </c>
      <c r="C107" s="720" t="s">
        <v>343</v>
      </c>
      <c r="D107" s="720" t="s">
        <v>343</v>
      </c>
      <c r="E107" s="720" t="s">
        <v>344</v>
      </c>
      <c r="F107" s="725">
        <v>62.0</v>
      </c>
      <c r="G107" s="726">
        <f>IF(OR(C107="O",C107="H"),MAX(IF(ISNA(MATCH(A107,Registro!$L$1:$L$150,0)),0,OFFSET(Registro!$M$1,MATCH(A107,Registro!$L$1:$L$150,0)-1,)),F107*0.95),0)</f>
        <v>60</v>
      </c>
      <c r="H107" s="723"/>
      <c r="I107" s="723" t="str">
        <f t="shared" si="1"/>
        <v>OOR</v>
      </c>
    </row>
    <row r="108" ht="15.75" customHeight="1">
      <c r="A108" s="718" t="s">
        <v>499</v>
      </c>
      <c r="B108" s="719" t="s">
        <v>498</v>
      </c>
      <c r="C108" s="720" t="s">
        <v>343</v>
      </c>
      <c r="D108" s="720" t="s">
        <v>343</v>
      </c>
      <c r="E108" s="720" t="s">
        <v>405</v>
      </c>
      <c r="F108" s="725">
        <v>0.0</v>
      </c>
      <c r="G108" s="726">
        <f>IF(OR(C108="O",C108="H"),MAX(IF(ISNA(MATCH(A108,Registro!$L$1:$L$150,0)),0,OFFSET(Registro!$M$1,MATCH(A108,Registro!$L$1:$L$150,0)-1,)),F108*0.95),0)</f>
        <v>0</v>
      </c>
      <c r="H108" s="723"/>
      <c r="I108" s="723" t="str">
        <f t="shared" si="1"/>
        <v>OOT</v>
      </c>
    </row>
    <row r="109" ht="15.75" customHeight="1">
      <c r="A109" s="718" t="s">
        <v>500</v>
      </c>
      <c r="B109" s="719" t="s">
        <v>501</v>
      </c>
      <c r="C109" s="720" t="s">
        <v>343</v>
      </c>
      <c r="D109" s="720" t="s">
        <v>343</v>
      </c>
      <c r="E109" s="720" t="s">
        <v>344</v>
      </c>
      <c r="F109" s="725">
        <v>0.0</v>
      </c>
      <c r="G109" s="726">
        <f>IF(OR(C109="O",C109="H"),MAX(IF(ISNA(MATCH(A109,Registro!$L$1:$L$150,0)),0,OFFSET(Registro!$M$1,MATCH(A109,Registro!$L$1:$L$150,0)-1,)),F109*0.95),0)</f>
        <v>0</v>
      </c>
      <c r="H109" s="715"/>
      <c r="I109" s="723" t="str">
        <f t="shared" si="1"/>
        <v>OOR</v>
      </c>
    </row>
    <row r="110" ht="15.75" customHeight="1">
      <c r="A110" s="727" t="s">
        <v>286</v>
      </c>
      <c r="B110" s="719" t="s">
        <v>502</v>
      </c>
      <c r="C110" s="720" t="s">
        <v>343</v>
      </c>
      <c r="D110" s="720" t="s">
        <v>343</v>
      </c>
      <c r="E110" s="720" t="s">
        <v>344</v>
      </c>
      <c r="F110" s="725">
        <v>50.715</v>
      </c>
      <c r="G110" s="726">
        <f>IF(OR(C110="O",C110="H"),MAX(IF(ISNA(MATCH(A110,Registro!$L$1:$L$150,0)),0,OFFSET(Registro!$M$1,MATCH(A110,Registro!$L$1:$L$150,0)-1,)),F110*0.95),0)</f>
        <v>50</v>
      </c>
      <c r="H110" s="715"/>
      <c r="I110" s="723" t="str">
        <f t="shared" si="1"/>
        <v>OOR</v>
      </c>
    </row>
    <row r="111" ht="15.75" customHeight="1">
      <c r="A111" s="727" t="s">
        <v>318</v>
      </c>
      <c r="B111" s="719" t="s">
        <v>503</v>
      </c>
      <c r="C111" s="720" t="s">
        <v>343</v>
      </c>
      <c r="D111" s="720" t="s">
        <v>364</v>
      </c>
      <c r="E111" s="720" t="s">
        <v>344</v>
      </c>
      <c r="F111" s="725">
        <v>0.46329123015975293</v>
      </c>
      <c r="G111" s="726">
        <f>IF(OR(C111="O",C111="H"),MAX(IF(ISNA(MATCH(A111,Registro!$L$1:$L$150,0)),0,OFFSET(Registro!$M$1,MATCH(A111,Registro!$L$1:$L$150,0)-1,)),F111*0.95),0)</f>
        <v>2.205</v>
      </c>
      <c r="H111" s="723"/>
      <c r="I111" s="723" t="str">
        <f t="shared" si="1"/>
        <v>OUR</v>
      </c>
    </row>
    <row r="112" ht="15.75" customHeight="1">
      <c r="A112" s="718" t="s">
        <v>504</v>
      </c>
      <c r="B112" s="719" t="s">
        <v>505</v>
      </c>
      <c r="C112" s="720" t="s">
        <v>343</v>
      </c>
      <c r="D112" s="720" t="s">
        <v>343</v>
      </c>
      <c r="E112" s="720" t="s">
        <v>344</v>
      </c>
      <c r="F112" s="725">
        <v>6.723500845855827</v>
      </c>
      <c r="G112" s="726">
        <f>IF(OR(C112="O",C112="H"),MAX(IF(ISNA(MATCH(A112,Registro!$L$1:$L$150,0)),0,OFFSET(Registro!$M$1,MATCH(A112,Registro!$L$1:$L$150,0)-1,)),F112*0.95),0)</f>
        <v>6.387325804</v>
      </c>
      <c r="H112" s="723"/>
      <c r="I112" s="723" t="str">
        <f t="shared" si="1"/>
        <v>OOR</v>
      </c>
    </row>
    <row r="113" ht="15.75" customHeight="1">
      <c r="A113" s="718" t="s">
        <v>296</v>
      </c>
      <c r="B113" s="719" t="s">
        <v>506</v>
      </c>
      <c r="C113" s="720" t="s">
        <v>343</v>
      </c>
      <c r="D113" s="720" t="s">
        <v>343</v>
      </c>
      <c r="E113" s="720" t="s">
        <v>344</v>
      </c>
      <c r="F113" s="725">
        <v>8.464374411896276</v>
      </c>
      <c r="G113" s="726">
        <f>IF(OR(C113="O",C113="H"),MAX(IF(ISNA(MATCH(A113,Registro!$L$1:$L$150,0)),0,OFFSET(Registro!$M$1,MATCH(A113,Registro!$L$1:$L$150,0)-1,)),F113*0.95),0)</f>
        <v>8.041155691</v>
      </c>
      <c r="H113" s="723"/>
      <c r="I113" s="723" t="str">
        <f t="shared" si="1"/>
        <v>OOR</v>
      </c>
    </row>
    <row r="114" ht="15.75" customHeight="1">
      <c r="A114" s="718" t="s">
        <v>507</v>
      </c>
      <c r="B114" s="719" t="s">
        <v>508</v>
      </c>
      <c r="C114" s="720" t="s">
        <v>343</v>
      </c>
      <c r="D114" s="720" t="s">
        <v>343</v>
      </c>
      <c r="E114" s="720" t="s">
        <v>344</v>
      </c>
      <c r="F114" s="725">
        <v>22.29175</v>
      </c>
      <c r="G114" s="726">
        <f>IF(OR(C114="O",C114="H"),MAX(IF(ISNA(MATCH(A114,Registro!$L$1:$L$150,0)),0,OFFSET(Registro!$M$1,MATCH(A114,Registro!$L$1:$L$150,0)-1,)),F114*0.95),0)</f>
        <v>21.1771625</v>
      </c>
      <c r="H114" s="723"/>
      <c r="I114" s="723" t="str">
        <f t="shared" si="1"/>
        <v>OOR</v>
      </c>
    </row>
    <row r="115" ht="15.75" customHeight="1">
      <c r="A115" s="718" t="s">
        <v>300</v>
      </c>
      <c r="B115" s="719" t="s">
        <v>509</v>
      </c>
      <c r="C115" s="720" t="s">
        <v>343</v>
      </c>
      <c r="D115" s="720" t="s">
        <v>343</v>
      </c>
      <c r="E115" s="720" t="s">
        <v>344</v>
      </c>
      <c r="F115" s="725">
        <v>8.0</v>
      </c>
      <c r="G115" s="726">
        <f>IF(OR(C115="O",C115="H"),MAX(IF(ISNA(MATCH(A115,Registro!$L$1:$L$150,0)),0,OFFSET(Registro!$M$1,MATCH(A115,Registro!$L$1:$L$150,0)-1,)),F115*0.95),0)</f>
        <v>7.6</v>
      </c>
      <c r="H115" s="723"/>
      <c r="I115" s="723" t="str">
        <f t="shared" si="1"/>
        <v>OOR</v>
      </c>
    </row>
    <row r="116" ht="15.75" customHeight="1">
      <c r="A116" s="718" t="s">
        <v>510</v>
      </c>
      <c r="B116" s="719" t="s">
        <v>511</v>
      </c>
      <c r="C116" s="720" t="s">
        <v>36</v>
      </c>
      <c r="D116" s="720" t="s">
        <v>348</v>
      </c>
      <c r="E116" s="720" t="s">
        <v>405</v>
      </c>
      <c r="F116" s="721"/>
      <c r="G116" s="722"/>
      <c r="H116" s="715"/>
      <c r="I116" s="723" t="str">
        <f t="shared" si="1"/>
        <v>CAT</v>
      </c>
    </row>
    <row r="117" ht="15.75" customHeight="1">
      <c r="A117" s="718" t="s">
        <v>512</v>
      </c>
      <c r="B117" s="728" t="s">
        <v>513</v>
      </c>
      <c r="C117" s="720" t="s">
        <v>360</v>
      </c>
      <c r="D117" s="720" t="s">
        <v>343</v>
      </c>
      <c r="E117" s="720" t="s">
        <v>344</v>
      </c>
      <c r="F117" s="725">
        <v>0.0</v>
      </c>
      <c r="G117" s="726">
        <f>IF(OR(C117="O",C117="H"),MAX(IF(ISNA(MATCH(A117,Registro!$L$1:$L$150,0)),0,OFFSET(Registro!$M$1,MATCH(A117,Registro!$L$1:$L$150,0)-1,)),F117*0.95),0)</f>
        <v>0</v>
      </c>
      <c r="H117" s="723"/>
      <c r="I117" s="723" t="str">
        <f t="shared" si="1"/>
        <v>HOR</v>
      </c>
    </row>
    <row r="118" ht="15.75" customHeight="1">
      <c r="A118" s="718" t="s">
        <v>514</v>
      </c>
      <c r="B118" s="719" t="s">
        <v>515</v>
      </c>
      <c r="C118" s="720" t="s">
        <v>360</v>
      </c>
      <c r="D118" s="720" t="s">
        <v>343</v>
      </c>
      <c r="E118" s="720" t="s">
        <v>344</v>
      </c>
      <c r="F118" s="725">
        <v>0.0</v>
      </c>
      <c r="G118" s="726">
        <f>IF(OR(C118="O",C118="H"),MAX(IF(ISNA(MATCH(A118,Registro!$L$1:$L$150,0)),0,OFFSET(Registro!$M$1,MATCH(A118,Registro!$L$1:$L$150,0)-1,)),F118*0.95),0)</f>
        <v>0</v>
      </c>
      <c r="H118" s="723"/>
      <c r="I118" s="723" t="str">
        <f t="shared" si="1"/>
        <v>HOR</v>
      </c>
    </row>
    <row r="119" ht="15.75" customHeight="1">
      <c r="A119" s="718" t="s">
        <v>516</v>
      </c>
      <c r="B119" s="729" t="s">
        <v>517</v>
      </c>
      <c r="C119" s="720" t="s">
        <v>360</v>
      </c>
      <c r="D119" s="720" t="s">
        <v>343</v>
      </c>
      <c r="E119" s="720" t="s">
        <v>344</v>
      </c>
      <c r="F119" s="725">
        <v>0.0</v>
      </c>
      <c r="G119" s="726">
        <f>IF(OR(C119="O",C119="H"),MAX(IF(ISNA(MATCH(A119,Registro!$L$1:$L$150,0)),0,OFFSET(Registro!$M$1,MATCH(A119,Registro!$L$1:$L$150,0)-1,)),F119*0.95),0)</f>
        <v>0</v>
      </c>
      <c r="H119" s="723"/>
      <c r="I119" s="723" t="str">
        <f t="shared" si="1"/>
        <v>HOR</v>
      </c>
    </row>
    <row r="120" ht="15.75" customHeight="1">
      <c r="A120" s="718"/>
      <c r="B120" s="718"/>
      <c r="C120" s="718"/>
      <c r="D120" s="718"/>
      <c r="E120" s="718"/>
      <c r="F120" s="724"/>
      <c r="G120" s="722"/>
      <c r="H120" s="723"/>
      <c r="I120" s="723" t="str">
        <f t="shared" si="1"/>
        <v/>
      </c>
    </row>
    <row r="121" ht="15.75" customHeight="1">
      <c r="A121" s="718" t="s">
        <v>518</v>
      </c>
      <c r="B121" s="718"/>
      <c r="C121" s="718"/>
      <c r="D121" s="718"/>
      <c r="E121" s="718"/>
      <c r="F121" s="721"/>
      <c r="G121" s="722"/>
      <c r="H121" s="723"/>
      <c r="I121" s="723" t="str">
        <f t="shared" si="1"/>
        <v/>
      </c>
    </row>
    <row r="122" ht="15.75" customHeight="1">
      <c r="A122" s="718" t="s">
        <v>519</v>
      </c>
      <c r="B122" s="718"/>
      <c r="C122" s="718"/>
      <c r="D122" s="718"/>
      <c r="E122" s="718"/>
      <c r="F122" s="721"/>
      <c r="G122" s="722"/>
      <c r="H122" s="723"/>
      <c r="I122" s="723" t="str">
        <f t="shared" si="1"/>
        <v/>
      </c>
    </row>
    <row r="123" ht="15.75" customHeight="1">
      <c r="A123" s="718" t="s">
        <v>422</v>
      </c>
      <c r="B123" s="718"/>
      <c r="C123" s="718"/>
      <c r="D123" s="718"/>
      <c r="E123" s="718"/>
      <c r="F123" s="721"/>
      <c r="G123" s="722"/>
      <c r="H123" s="723"/>
      <c r="I123" s="723" t="str">
        <f t="shared" si="1"/>
        <v/>
      </c>
    </row>
    <row r="124" ht="15.75" customHeight="1">
      <c r="A124" s="718" t="s">
        <v>520</v>
      </c>
      <c r="B124" s="718"/>
      <c r="C124" s="718"/>
      <c r="D124" s="718"/>
      <c r="E124" s="718"/>
      <c r="F124" s="724"/>
      <c r="G124" s="730"/>
      <c r="H124" s="723"/>
      <c r="I124" s="723" t="str">
        <f t="shared" si="1"/>
        <v/>
      </c>
    </row>
    <row r="125" ht="15.75" customHeight="1">
      <c r="A125" s="718" t="s">
        <v>521</v>
      </c>
      <c r="B125" s="718"/>
      <c r="C125" s="718"/>
      <c r="D125" s="718"/>
      <c r="E125" s="718"/>
      <c r="F125" s="724"/>
      <c r="G125" s="730"/>
      <c r="H125" s="723"/>
      <c r="I125" s="723" t="str">
        <f t="shared" si="1"/>
        <v/>
      </c>
    </row>
    <row r="126" ht="15.75" customHeight="1">
      <c r="A126" s="718" t="s">
        <v>522</v>
      </c>
      <c r="B126" s="719" t="s">
        <v>523</v>
      </c>
      <c r="C126" s="720" t="s">
        <v>36</v>
      </c>
      <c r="D126" s="720" t="s">
        <v>343</v>
      </c>
      <c r="E126" s="720" t="s">
        <v>344</v>
      </c>
      <c r="F126" s="724"/>
      <c r="G126" s="730"/>
      <c r="H126" s="723"/>
      <c r="I126" s="723" t="str">
        <f t="shared" si="1"/>
        <v>COR</v>
      </c>
    </row>
    <row r="127" ht="15.75" customHeight="1">
      <c r="A127" s="718" t="s">
        <v>524</v>
      </c>
      <c r="B127" s="718"/>
      <c r="C127" s="718"/>
      <c r="D127" s="718"/>
      <c r="E127" s="718"/>
      <c r="F127" s="724"/>
      <c r="G127" s="730"/>
      <c r="H127" s="723"/>
      <c r="I127" s="723" t="str">
        <f t="shared" si="1"/>
        <v/>
      </c>
    </row>
    <row r="128" ht="15.75" customHeight="1">
      <c r="A128" s="718" t="s">
        <v>525</v>
      </c>
      <c r="B128" s="718"/>
      <c r="C128" s="718"/>
      <c r="D128" s="718"/>
      <c r="E128" s="718"/>
      <c r="F128" s="724"/>
      <c r="G128" s="730"/>
      <c r="H128" s="723"/>
      <c r="I128" s="723" t="str">
        <f t="shared" si="1"/>
        <v/>
      </c>
    </row>
    <row r="129" ht="15.75" customHeight="1">
      <c r="A129" s="718" t="s">
        <v>526</v>
      </c>
      <c r="B129" s="718"/>
      <c r="C129" s="718"/>
      <c r="D129" s="718"/>
      <c r="E129" s="718"/>
      <c r="F129" s="724"/>
      <c r="G129" s="730"/>
      <c r="H129" s="723"/>
      <c r="I129" s="723" t="str">
        <f t="shared" si="1"/>
        <v/>
      </c>
    </row>
    <row r="130" ht="15.75" customHeight="1">
      <c r="A130" s="718" t="s">
        <v>315</v>
      </c>
      <c r="B130" s="727"/>
      <c r="C130" s="718"/>
      <c r="D130" s="718"/>
      <c r="E130" s="718"/>
      <c r="F130" s="724"/>
      <c r="G130" s="730"/>
      <c r="H130" s="723"/>
      <c r="I130" s="723" t="str">
        <f t="shared" si="1"/>
        <v/>
      </c>
    </row>
    <row r="131" ht="15.75" customHeight="1">
      <c r="A131" s="718" t="s">
        <v>527</v>
      </c>
      <c r="B131" s="727"/>
      <c r="C131" s="718"/>
      <c r="D131" s="718"/>
      <c r="E131" s="718"/>
      <c r="F131" s="724"/>
      <c r="G131" s="730"/>
      <c r="H131" s="723"/>
      <c r="I131" s="723" t="str">
        <f t="shared" si="1"/>
        <v/>
      </c>
    </row>
    <row r="132" ht="15.75" customHeight="1">
      <c r="A132" s="718" t="s">
        <v>279</v>
      </c>
      <c r="B132" s="727"/>
      <c r="C132" s="718"/>
      <c r="D132" s="718"/>
      <c r="E132" s="718"/>
      <c r="F132" s="724"/>
      <c r="G132" s="730"/>
      <c r="H132" s="723"/>
      <c r="I132" s="723" t="str">
        <f t="shared" si="1"/>
        <v/>
      </c>
    </row>
    <row r="133" ht="15.75" customHeight="1">
      <c r="A133" s="718" t="s">
        <v>528</v>
      </c>
      <c r="B133" s="728" t="s">
        <v>529</v>
      </c>
      <c r="C133" s="720" t="s">
        <v>343</v>
      </c>
      <c r="D133" s="720" t="s">
        <v>364</v>
      </c>
      <c r="E133" s="720" t="s">
        <v>344</v>
      </c>
      <c r="F133" s="724"/>
      <c r="G133" s="730"/>
      <c r="H133" s="723"/>
      <c r="I133" s="723" t="str">
        <f t="shared" si="1"/>
        <v>OUR</v>
      </c>
    </row>
    <row r="134" ht="15.75" customHeight="1">
      <c r="A134" s="718" t="s">
        <v>290</v>
      </c>
      <c r="B134" s="719" t="s">
        <v>530</v>
      </c>
      <c r="C134" s="720" t="s">
        <v>36</v>
      </c>
      <c r="D134" s="720" t="s">
        <v>343</v>
      </c>
      <c r="E134" s="720" t="s">
        <v>344</v>
      </c>
      <c r="F134" s="724"/>
      <c r="G134" s="730"/>
      <c r="H134" s="723"/>
      <c r="I134" s="723" t="str">
        <f t="shared" si="1"/>
        <v>COR</v>
      </c>
    </row>
    <row r="135" ht="15.75" customHeight="1">
      <c r="A135" s="718" t="s">
        <v>531</v>
      </c>
      <c r="B135" s="728" t="s">
        <v>532</v>
      </c>
      <c r="C135" s="720" t="s">
        <v>343</v>
      </c>
      <c r="D135" s="720" t="s">
        <v>343</v>
      </c>
      <c r="E135" s="720" t="s">
        <v>344</v>
      </c>
      <c r="F135" s="724"/>
      <c r="G135" s="730"/>
      <c r="H135" s="723"/>
      <c r="I135" s="723" t="str">
        <f t="shared" si="1"/>
        <v>OOR</v>
      </c>
    </row>
    <row r="136" ht="15.75" customHeight="1">
      <c r="A136" s="718" t="s">
        <v>528</v>
      </c>
      <c r="B136" s="719" t="s">
        <v>529</v>
      </c>
      <c r="C136" s="720" t="s">
        <v>343</v>
      </c>
      <c r="D136" s="720" t="s">
        <v>364</v>
      </c>
      <c r="E136" s="720" t="s">
        <v>344</v>
      </c>
      <c r="F136" s="724"/>
      <c r="G136" s="730"/>
      <c r="H136" s="723"/>
      <c r="I136" s="723" t="str">
        <f t="shared" si="1"/>
        <v>OUR</v>
      </c>
    </row>
    <row r="137" ht="15.75" customHeight="1">
      <c r="A137" s="718" t="s">
        <v>533</v>
      </c>
      <c r="B137" s="719" t="s">
        <v>534</v>
      </c>
      <c r="C137" s="720" t="s">
        <v>360</v>
      </c>
      <c r="D137" s="720" t="s">
        <v>343</v>
      </c>
      <c r="E137" s="720" t="s">
        <v>344</v>
      </c>
      <c r="F137" s="724"/>
      <c r="G137" s="730"/>
      <c r="H137" s="723"/>
      <c r="I137" s="723" t="str">
        <f t="shared" si="1"/>
        <v>HOR</v>
      </c>
    </row>
    <row r="138" ht="15.75" customHeight="1">
      <c r="A138" s="718" t="s">
        <v>535</v>
      </c>
      <c r="B138" s="719" t="s">
        <v>536</v>
      </c>
      <c r="C138" s="720" t="s">
        <v>36</v>
      </c>
      <c r="D138" s="720" t="s">
        <v>348</v>
      </c>
      <c r="E138" s="720" t="s">
        <v>405</v>
      </c>
      <c r="F138" s="724"/>
      <c r="G138" s="730"/>
      <c r="H138" s="723"/>
      <c r="I138" s="723" t="str">
        <f t="shared" si="1"/>
        <v>CAT</v>
      </c>
    </row>
    <row r="139" ht="15.75" customHeight="1">
      <c r="A139" s="718" t="s">
        <v>537</v>
      </c>
      <c r="B139" s="719" t="s">
        <v>538</v>
      </c>
      <c r="C139" s="720" t="s">
        <v>36</v>
      </c>
      <c r="D139" s="720" t="s">
        <v>343</v>
      </c>
      <c r="E139" s="720" t="s">
        <v>344</v>
      </c>
      <c r="F139" s="724"/>
      <c r="G139" s="730"/>
      <c r="H139" s="723"/>
      <c r="I139" s="723" t="str">
        <f t="shared" si="1"/>
        <v>COR</v>
      </c>
    </row>
    <row r="140" ht="15.75" customHeight="1">
      <c r="A140" s="718" t="s">
        <v>539</v>
      </c>
      <c r="B140" s="719" t="s">
        <v>540</v>
      </c>
      <c r="C140" s="720" t="s">
        <v>36</v>
      </c>
      <c r="D140" s="720" t="s">
        <v>343</v>
      </c>
      <c r="E140" s="720" t="s">
        <v>344</v>
      </c>
      <c r="F140" s="724"/>
      <c r="G140" s="730"/>
      <c r="H140" s="723"/>
      <c r="I140" s="723" t="str">
        <f t="shared" si="1"/>
        <v>COR</v>
      </c>
    </row>
    <row r="141" ht="15.75" customHeight="1">
      <c r="A141" s="718" t="s">
        <v>541</v>
      </c>
      <c r="B141" s="728" t="s">
        <v>542</v>
      </c>
      <c r="C141" s="720" t="s">
        <v>343</v>
      </c>
      <c r="D141" s="720" t="s">
        <v>343</v>
      </c>
      <c r="E141" s="720" t="s">
        <v>344</v>
      </c>
      <c r="F141" s="724"/>
      <c r="G141" s="730"/>
      <c r="H141" s="723"/>
      <c r="I141" s="723" t="str">
        <f t="shared" si="1"/>
        <v>OOR</v>
      </c>
    </row>
    <row r="142" ht="15.75" customHeight="1">
      <c r="A142" s="718" t="s">
        <v>543</v>
      </c>
      <c r="B142" s="718"/>
      <c r="C142" s="718"/>
      <c r="D142" s="718"/>
      <c r="E142" s="718"/>
      <c r="F142" s="724"/>
      <c r="G142" s="730"/>
      <c r="H142" s="723"/>
      <c r="I142" s="723" t="str">
        <f t="shared" si="1"/>
        <v/>
      </c>
    </row>
    <row r="143" ht="15.75" customHeight="1">
      <c r="A143" s="718" t="s">
        <v>544</v>
      </c>
      <c r="B143" s="718"/>
      <c r="C143" s="718"/>
      <c r="D143" s="718"/>
      <c r="E143" s="718"/>
      <c r="F143" s="724"/>
      <c r="G143" s="730"/>
      <c r="H143" s="723"/>
      <c r="I143" s="723" t="str">
        <f t="shared" si="1"/>
        <v/>
      </c>
    </row>
    <row r="144" ht="15.75" customHeight="1">
      <c r="A144" s="718" t="s">
        <v>545</v>
      </c>
      <c r="B144" s="727"/>
      <c r="C144" s="718"/>
      <c r="D144" s="718"/>
      <c r="E144" s="718"/>
      <c r="F144" s="724"/>
      <c r="G144" s="730"/>
      <c r="H144" s="723"/>
      <c r="I144" s="723" t="str">
        <f t="shared" si="1"/>
        <v/>
      </c>
    </row>
    <row r="145" ht="15.75" customHeight="1">
      <c r="A145" s="718" t="s">
        <v>546</v>
      </c>
      <c r="B145" s="718"/>
      <c r="C145" s="718"/>
      <c r="D145" s="718"/>
      <c r="E145" s="718"/>
      <c r="F145" s="724"/>
      <c r="G145" s="730"/>
      <c r="H145" s="723"/>
      <c r="I145" s="723" t="str">
        <f t="shared" si="1"/>
        <v/>
      </c>
    </row>
    <row r="146" ht="15.75" customHeight="1">
      <c r="A146" s="718" t="s">
        <v>547</v>
      </c>
      <c r="B146" s="727"/>
      <c r="C146" s="718"/>
      <c r="D146" s="718"/>
      <c r="E146" s="718"/>
      <c r="F146" s="724"/>
      <c r="G146" s="730"/>
      <c r="H146" s="723"/>
      <c r="I146" s="723" t="str">
        <f t="shared" si="1"/>
        <v/>
      </c>
    </row>
    <row r="147" ht="15.75" customHeight="1">
      <c r="A147" s="718" t="s">
        <v>548</v>
      </c>
      <c r="B147" s="718"/>
      <c r="C147" s="718"/>
      <c r="D147" s="718"/>
      <c r="E147" s="718"/>
      <c r="F147" s="724"/>
      <c r="G147" s="730"/>
      <c r="H147" s="723"/>
      <c r="I147" s="723" t="str">
        <f t="shared" si="1"/>
        <v/>
      </c>
    </row>
    <row r="148" ht="15.75" customHeight="1">
      <c r="A148" s="718" t="s">
        <v>549</v>
      </c>
      <c r="B148" s="727"/>
      <c r="C148" s="718"/>
      <c r="D148" s="718"/>
      <c r="E148" s="718"/>
      <c r="F148" s="724"/>
      <c r="G148" s="730"/>
      <c r="H148" s="723"/>
      <c r="I148" s="723" t="str">
        <f t="shared" si="1"/>
        <v/>
      </c>
    </row>
    <row r="149" ht="15.75" customHeight="1">
      <c r="A149" s="718" t="s">
        <v>550</v>
      </c>
      <c r="B149" s="718"/>
      <c r="C149" s="718"/>
      <c r="D149" s="718"/>
      <c r="E149" s="718"/>
      <c r="F149" s="724"/>
      <c r="G149" s="730"/>
      <c r="H149" s="723"/>
      <c r="I149" s="723" t="str">
        <f t="shared" si="1"/>
        <v/>
      </c>
    </row>
    <row r="150" ht="15.75" customHeight="1">
      <c r="A150" s="718" t="s">
        <v>551</v>
      </c>
      <c r="B150" s="727"/>
      <c r="C150" s="718"/>
      <c r="D150" s="718"/>
      <c r="E150" s="718"/>
      <c r="F150" s="724"/>
      <c r="G150" s="730"/>
      <c r="H150" s="723"/>
      <c r="I150" s="723" t="str">
        <f t="shared" si="1"/>
        <v/>
      </c>
    </row>
    <row r="151" ht="15.75" customHeight="1">
      <c r="A151" s="718" t="s">
        <v>552</v>
      </c>
      <c r="B151" s="727"/>
      <c r="C151" s="718"/>
      <c r="D151" s="718"/>
      <c r="E151" s="718"/>
      <c r="F151" s="724"/>
      <c r="G151" s="730"/>
      <c r="H151" s="723"/>
      <c r="I151" s="723" t="str">
        <f t="shared" si="1"/>
        <v/>
      </c>
    </row>
    <row r="152" ht="15.75" customHeight="1">
      <c r="A152" s="718" t="s">
        <v>553</v>
      </c>
      <c r="B152" s="718"/>
      <c r="C152" s="718"/>
      <c r="D152" s="718"/>
      <c r="E152" s="718"/>
      <c r="F152" s="724"/>
      <c r="G152" s="730"/>
      <c r="H152" s="723"/>
      <c r="I152" s="723" t="str">
        <f t="shared" si="1"/>
        <v/>
      </c>
    </row>
    <row r="153" ht="15.75" customHeight="1">
      <c r="A153" s="718" t="s">
        <v>554</v>
      </c>
      <c r="B153" s="718"/>
      <c r="C153" s="718"/>
      <c r="D153" s="718"/>
      <c r="E153" s="718"/>
      <c r="F153" s="724"/>
      <c r="G153" s="730"/>
      <c r="H153" s="723"/>
      <c r="I153" s="723" t="str">
        <f t="shared" si="1"/>
        <v/>
      </c>
    </row>
    <row r="154" ht="15.75" customHeight="1">
      <c r="A154" s="718" t="s">
        <v>555</v>
      </c>
      <c r="B154" s="719" t="s">
        <v>556</v>
      </c>
      <c r="C154" s="718"/>
      <c r="D154" s="718"/>
      <c r="E154" s="718"/>
      <c r="F154" s="724"/>
      <c r="G154" s="730"/>
      <c r="H154" s="723"/>
      <c r="I154" s="723" t="str">
        <f t="shared" si="1"/>
        <v/>
      </c>
    </row>
    <row r="155" ht="15.75" customHeight="1">
      <c r="A155" s="718" t="s">
        <v>557</v>
      </c>
      <c r="B155" s="727"/>
      <c r="C155" s="718"/>
      <c r="D155" s="718"/>
      <c r="E155" s="718"/>
      <c r="F155" s="724"/>
      <c r="G155" s="730"/>
      <c r="H155" s="723"/>
      <c r="I155" s="723" t="str">
        <f t="shared" si="1"/>
        <v/>
      </c>
    </row>
    <row r="156" ht="15.75" customHeight="1">
      <c r="A156" s="718" t="s">
        <v>558</v>
      </c>
      <c r="B156" s="727"/>
      <c r="C156" s="718"/>
      <c r="D156" s="718"/>
      <c r="E156" s="718"/>
      <c r="F156" s="724"/>
      <c r="G156" s="730"/>
      <c r="H156" s="723"/>
      <c r="I156" s="723" t="str">
        <f t="shared" si="1"/>
        <v/>
      </c>
    </row>
    <row r="157" ht="15.75" customHeight="1">
      <c r="A157" s="718" t="s">
        <v>559</v>
      </c>
      <c r="B157" s="727"/>
      <c r="C157" s="718"/>
      <c r="D157" s="718"/>
      <c r="E157" s="718"/>
      <c r="F157" s="724"/>
      <c r="G157" s="730"/>
      <c r="H157" s="723"/>
      <c r="I157" s="723" t="str">
        <f t="shared" si="1"/>
        <v/>
      </c>
    </row>
    <row r="158" ht="15.75" customHeight="1">
      <c r="A158" s="718" t="s">
        <v>560</v>
      </c>
      <c r="B158" s="727"/>
      <c r="C158" s="718"/>
      <c r="D158" s="718"/>
      <c r="E158" s="718"/>
      <c r="F158" s="724"/>
      <c r="G158" s="730"/>
      <c r="H158" s="723"/>
      <c r="I158" s="723" t="str">
        <f t="shared" si="1"/>
        <v/>
      </c>
    </row>
    <row r="159" ht="15.75" customHeight="1">
      <c r="A159" s="718" t="s">
        <v>561</v>
      </c>
      <c r="B159" s="727"/>
      <c r="C159" s="718"/>
      <c r="D159" s="718"/>
      <c r="E159" s="718"/>
      <c r="F159" s="724"/>
      <c r="G159" s="730"/>
      <c r="H159" s="723"/>
      <c r="I159" s="723" t="str">
        <f t="shared" si="1"/>
        <v/>
      </c>
    </row>
    <row r="160" ht="15.75" customHeight="1">
      <c r="A160" s="718" t="s">
        <v>251</v>
      </c>
      <c r="B160" s="728" t="s">
        <v>562</v>
      </c>
      <c r="C160" s="720" t="s">
        <v>36</v>
      </c>
      <c r="D160" s="720" t="s">
        <v>364</v>
      </c>
      <c r="E160" s="720" t="s">
        <v>344</v>
      </c>
      <c r="F160" s="724"/>
      <c r="G160" s="730"/>
      <c r="H160" s="723"/>
      <c r="I160" s="723" t="str">
        <f t="shared" si="1"/>
        <v>CUR</v>
      </c>
    </row>
    <row r="161" ht="15.75" customHeight="1">
      <c r="A161" s="727" t="s">
        <v>234</v>
      </c>
      <c r="B161" s="719" t="s">
        <v>563</v>
      </c>
      <c r="C161" s="720" t="s">
        <v>348</v>
      </c>
      <c r="D161" s="718"/>
      <c r="E161" s="720" t="s">
        <v>405</v>
      </c>
      <c r="F161" s="724"/>
      <c r="G161" s="730"/>
      <c r="H161" s="723"/>
      <c r="I161" s="723" t="str">
        <f t="shared" si="1"/>
        <v>AT</v>
      </c>
    </row>
    <row r="162" ht="15.75" customHeight="1">
      <c r="A162" s="718" t="s">
        <v>331</v>
      </c>
      <c r="B162" s="728" t="s">
        <v>530</v>
      </c>
      <c r="C162" s="718" t="s">
        <v>36</v>
      </c>
      <c r="D162" s="718" t="s">
        <v>343</v>
      </c>
      <c r="E162" s="718" t="s">
        <v>344</v>
      </c>
      <c r="F162" s="724"/>
      <c r="G162" s="730"/>
      <c r="H162" s="723"/>
      <c r="I162" s="723" t="str">
        <f t="shared" si="1"/>
        <v>COR</v>
      </c>
    </row>
    <row r="163" ht="15.75" customHeight="1">
      <c r="A163" s="718" t="s">
        <v>324</v>
      </c>
      <c r="B163" s="719" t="s">
        <v>564</v>
      </c>
      <c r="C163" s="718" t="s">
        <v>36</v>
      </c>
      <c r="D163" s="718" t="s">
        <v>364</v>
      </c>
      <c r="E163" s="718" t="s">
        <v>344</v>
      </c>
      <c r="F163" s="724"/>
      <c r="G163" s="730"/>
      <c r="H163" s="723"/>
      <c r="I163" s="723" t="str">
        <f t="shared" si="1"/>
        <v>CUR</v>
      </c>
    </row>
    <row r="164" ht="15.75" customHeight="1">
      <c r="A164" s="718" t="s">
        <v>565</v>
      </c>
      <c r="B164" s="719" t="s">
        <v>566</v>
      </c>
      <c r="C164" s="720" t="s">
        <v>343</v>
      </c>
      <c r="D164" s="720" t="s">
        <v>343</v>
      </c>
      <c r="E164" s="720" t="s">
        <v>344</v>
      </c>
      <c r="F164" s="731">
        <v>0.0</v>
      </c>
      <c r="G164" s="732">
        <f>IF(OR(C164="O",C164="H"),MAX(IF(ISNA(MATCH(A164,Registro!$L$1:$L$150,0)),0,OFFSET(Registro!$M$1,MATCH(A164,Registro!$L$1:$L$150,0)-1,)),F164*0.95),0)</f>
        <v>0</v>
      </c>
      <c r="H164" s="723"/>
      <c r="I164" s="723" t="str">
        <f t="shared" si="1"/>
        <v>OOR</v>
      </c>
    </row>
    <row r="165" ht="15.75" customHeight="1">
      <c r="A165" s="718" t="s">
        <v>281</v>
      </c>
      <c r="B165" s="719" t="s">
        <v>567</v>
      </c>
      <c r="C165" s="720" t="s">
        <v>343</v>
      </c>
      <c r="D165" s="720" t="s">
        <v>343</v>
      </c>
      <c r="E165" s="720" t="s">
        <v>344</v>
      </c>
      <c r="F165" s="731">
        <v>4.0</v>
      </c>
      <c r="G165" s="732">
        <f>IF(OR(C165="O",C165="H"),MAX(IF(ISNA(MATCH(A165,Registro!$L$1:$L$150,0)),0,OFFSET(Registro!$M$1,MATCH(A165,Registro!$L$1:$L$150,0)-1,)),F165*0.95),0)</f>
        <v>4</v>
      </c>
      <c r="H165" s="723"/>
      <c r="I165" s="723" t="str">
        <f t="shared" si="1"/>
        <v>OOR</v>
      </c>
    </row>
    <row r="166" ht="15.75" customHeight="1">
      <c r="A166" s="727" t="s">
        <v>279</v>
      </c>
      <c r="B166" s="728" t="s">
        <v>568</v>
      </c>
      <c r="C166" s="720" t="s">
        <v>343</v>
      </c>
      <c r="D166" s="720" t="s">
        <v>343</v>
      </c>
      <c r="E166" s="720" t="s">
        <v>344</v>
      </c>
      <c r="F166" s="731">
        <v>10.0</v>
      </c>
      <c r="G166" s="732">
        <f>MAX(MAXIFS(Registro!$J$1:$J$200,Registro!$I$1:$I$200,$A166),F166*0.95)</f>
        <v>9.5</v>
      </c>
      <c r="H166" s="723"/>
      <c r="I166" s="723" t="str">
        <f t="shared" si="1"/>
        <v>OOR</v>
      </c>
    </row>
    <row r="167" ht="15.75" customHeight="1">
      <c r="A167" s="727" t="s">
        <v>569</v>
      </c>
      <c r="B167" s="718"/>
      <c r="C167" s="718" t="s">
        <v>343</v>
      </c>
      <c r="D167" s="718" t="s">
        <v>364</v>
      </c>
      <c r="E167" s="718" t="s">
        <v>344</v>
      </c>
      <c r="F167" s="731">
        <v>5.672244687521482</v>
      </c>
      <c r="G167" s="732">
        <f>IF(OR(C167="O",C167="H"),MAX(IF(ISNA(MATCH(A167,Registro!$L$1:$L$150,0)),0,OFFSET(Registro!$M$1,MATCH(A167,Registro!$L$1:$L$150,0)-1,)),F167*0.95),0)</f>
        <v>5.388632453</v>
      </c>
      <c r="H167" s="723"/>
      <c r="I167" s="723" t="str">
        <f t="shared" si="1"/>
        <v>OUR</v>
      </c>
    </row>
    <row r="168" ht="15.75" customHeight="1">
      <c r="A168" s="718" t="s">
        <v>570</v>
      </c>
      <c r="B168" s="718"/>
      <c r="C168" s="718"/>
      <c r="D168" s="718"/>
      <c r="E168" s="718"/>
      <c r="F168" s="724"/>
      <c r="G168" s="730"/>
      <c r="H168" s="723"/>
      <c r="I168" s="723" t="str">
        <f t="shared" si="1"/>
        <v/>
      </c>
    </row>
    <row r="169" ht="15.75" customHeight="1">
      <c r="A169" s="718" t="s">
        <v>571</v>
      </c>
      <c r="B169" s="718"/>
      <c r="C169" s="718"/>
      <c r="D169" s="718"/>
      <c r="E169" s="718"/>
      <c r="F169" s="724"/>
      <c r="G169" s="730"/>
      <c r="H169" s="723"/>
      <c r="I169" s="723" t="str">
        <f t="shared" si="1"/>
        <v/>
      </c>
    </row>
    <row r="170" ht="15.75" customHeight="1">
      <c r="A170" s="718" t="s">
        <v>572</v>
      </c>
      <c r="B170" s="718"/>
      <c r="C170" s="718"/>
      <c r="D170" s="718"/>
      <c r="E170" s="718"/>
      <c r="F170" s="724"/>
      <c r="G170" s="730"/>
      <c r="H170" s="723"/>
      <c r="I170" s="723" t="str">
        <f t="shared" si="1"/>
        <v/>
      </c>
    </row>
    <row r="171" ht="15.75" customHeight="1">
      <c r="A171" s="718" t="s">
        <v>573</v>
      </c>
      <c r="B171" s="727"/>
      <c r="C171" s="718"/>
      <c r="D171" s="718"/>
      <c r="E171" s="718"/>
      <c r="F171" s="724"/>
      <c r="G171" s="730"/>
      <c r="H171" s="723"/>
      <c r="I171" s="723" t="str">
        <f t="shared" si="1"/>
        <v/>
      </c>
    </row>
    <row r="172" ht="15.75" customHeight="1">
      <c r="A172" s="727" t="s">
        <v>574</v>
      </c>
      <c r="B172" s="727"/>
      <c r="C172" s="718"/>
      <c r="D172" s="718"/>
      <c r="E172" s="718"/>
      <c r="F172" s="724"/>
      <c r="G172" s="730"/>
      <c r="H172" s="723"/>
      <c r="I172" s="723" t="str">
        <f t="shared" si="1"/>
        <v/>
      </c>
    </row>
    <row r="173" ht="15.75" customHeight="1">
      <c r="A173" s="718" t="s">
        <v>575</v>
      </c>
      <c r="B173" s="728" t="s">
        <v>576</v>
      </c>
      <c r="C173" s="720" t="s">
        <v>343</v>
      </c>
      <c r="D173" s="720" t="s">
        <v>343</v>
      </c>
      <c r="E173" s="720" t="s">
        <v>344</v>
      </c>
      <c r="F173" s="731">
        <v>9.875103480545654</v>
      </c>
      <c r="G173" s="732">
        <f>IF(OR(C173="O",C173="H"),MAX(IF(ISNA(MATCH(A173,Registro!$L$1:$L$150,0)),0,OFFSET(Registro!$M$1,MATCH(A173,Registro!$L$1:$L$150,0)-1,)),F173*0.95),0)</f>
        <v>9.381348307</v>
      </c>
      <c r="H173" s="723"/>
      <c r="I173" s="723" t="str">
        <f t="shared" si="1"/>
        <v>OOR</v>
      </c>
    </row>
    <row r="174" ht="15.75" customHeight="1">
      <c r="A174" s="718" t="s">
        <v>319</v>
      </c>
      <c r="B174" s="728" t="s">
        <v>577</v>
      </c>
      <c r="C174" s="720" t="s">
        <v>343</v>
      </c>
      <c r="D174" s="720" t="s">
        <v>343</v>
      </c>
      <c r="E174" s="720" t="s">
        <v>344</v>
      </c>
      <c r="F174" s="731">
        <v>0.0</v>
      </c>
      <c r="G174" s="732">
        <f>IF(OR(C174="O",C174="H"),MAX(IF(ISNA(MATCH(A174,Registro!$L$1:$L$150,0)),0,OFFSET(Registro!$M$1,MATCH(A174,Registro!$L$1:$L$150,0)-1,)),F174*0.95),0)</f>
        <v>10</v>
      </c>
      <c r="H174" s="723"/>
      <c r="I174" s="723" t="str">
        <f t="shared" si="1"/>
        <v>OOR</v>
      </c>
    </row>
    <row r="175" ht="15.75" customHeight="1">
      <c r="A175" s="718" t="s">
        <v>274</v>
      </c>
      <c r="B175" s="728" t="s">
        <v>578</v>
      </c>
      <c r="C175" s="720" t="s">
        <v>37</v>
      </c>
      <c r="D175" s="720" t="s">
        <v>364</v>
      </c>
      <c r="E175" s="720" t="s">
        <v>344</v>
      </c>
      <c r="F175" s="724"/>
      <c r="G175" s="730"/>
      <c r="H175" s="723"/>
      <c r="I175" s="723" t="str">
        <f t="shared" si="1"/>
        <v>EUR</v>
      </c>
    </row>
    <row r="176" ht="15.75" customHeight="1">
      <c r="A176" s="718" t="s">
        <v>579</v>
      </c>
      <c r="B176" s="728" t="s">
        <v>580</v>
      </c>
      <c r="C176" s="720" t="s">
        <v>37</v>
      </c>
      <c r="D176" s="720" t="s">
        <v>343</v>
      </c>
      <c r="E176" s="720" t="s">
        <v>344</v>
      </c>
      <c r="F176" s="724"/>
      <c r="G176" s="730"/>
      <c r="H176" s="723"/>
      <c r="I176" s="723" t="str">
        <f t="shared" si="1"/>
        <v>EOR</v>
      </c>
    </row>
    <row r="177" ht="15.75" customHeight="1">
      <c r="A177" s="718" t="s">
        <v>581</v>
      </c>
      <c r="B177" s="719" t="s">
        <v>582</v>
      </c>
      <c r="C177" s="720" t="s">
        <v>37</v>
      </c>
      <c r="D177" s="720" t="s">
        <v>343</v>
      </c>
      <c r="E177" s="720" t="s">
        <v>405</v>
      </c>
      <c r="F177" s="724"/>
      <c r="G177" s="730"/>
      <c r="H177" s="723"/>
      <c r="I177" s="723" t="str">
        <f t="shared" si="1"/>
        <v>EOT</v>
      </c>
    </row>
    <row r="178" ht="15.75" customHeight="1">
      <c r="A178" s="727"/>
      <c r="B178" s="727"/>
      <c r="C178" s="718"/>
      <c r="D178" s="718"/>
      <c r="E178" s="718"/>
      <c r="F178" s="724"/>
      <c r="G178" s="730"/>
      <c r="H178" s="723"/>
      <c r="I178" s="723" t="str">
        <f t="shared" si="1"/>
        <v/>
      </c>
    </row>
    <row r="179" ht="15.75" customHeight="1">
      <c r="A179" s="718" t="s">
        <v>583</v>
      </c>
      <c r="B179" s="728" t="s">
        <v>584</v>
      </c>
      <c r="C179" s="733" t="s">
        <v>36</v>
      </c>
      <c r="D179" s="733" t="s">
        <v>364</v>
      </c>
      <c r="E179" s="733" t="s">
        <v>344</v>
      </c>
      <c r="F179" s="724"/>
      <c r="G179" s="730"/>
      <c r="H179" s="723"/>
      <c r="I179" s="723" t="str">
        <f t="shared" si="1"/>
        <v>CUR</v>
      </c>
    </row>
    <row r="180" ht="15.75" customHeight="1">
      <c r="A180" s="727" t="s">
        <v>585</v>
      </c>
      <c r="B180" s="728" t="s">
        <v>586</v>
      </c>
      <c r="C180" s="733" t="s">
        <v>36</v>
      </c>
      <c r="D180" s="733" t="s">
        <v>364</v>
      </c>
      <c r="E180" s="733" t="s">
        <v>344</v>
      </c>
      <c r="F180" s="724"/>
      <c r="G180" s="730"/>
      <c r="H180" s="723"/>
      <c r="I180" s="723" t="str">
        <f t="shared" si="1"/>
        <v>CUR</v>
      </c>
    </row>
    <row r="181" ht="15.75" customHeight="1">
      <c r="A181" s="727" t="s">
        <v>246</v>
      </c>
      <c r="B181" s="728" t="s">
        <v>587</v>
      </c>
      <c r="C181" s="733" t="s">
        <v>36</v>
      </c>
      <c r="D181" s="733" t="s">
        <v>364</v>
      </c>
      <c r="E181" s="733" t="s">
        <v>344</v>
      </c>
      <c r="F181" s="724"/>
      <c r="G181" s="730"/>
      <c r="H181" s="723"/>
      <c r="I181" s="723" t="str">
        <f t="shared" si="1"/>
        <v>CUR</v>
      </c>
    </row>
    <row r="182" ht="15.75" customHeight="1">
      <c r="A182" s="727"/>
      <c r="B182" s="727"/>
      <c r="C182" s="727"/>
      <c r="D182" s="727"/>
      <c r="E182" s="727"/>
      <c r="F182" s="724"/>
      <c r="G182" s="730"/>
      <c r="H182" s="723"/>
      <c r="I182" s="723" t="str">
        <f t="shared" si="1"/>
        <v/>
      </c>
    </row>
    <row r="183" ht="15.75" customHeight="1">
      <c r="A183" s="727" t="s">
        <v>264</v>
      </c>
      <c r="B183" s="727"/>
      <c r="C183" s="733" t="s">
        <v>36</v>
      </c>
      <c r="D183" s="733" t="s">
        <v>364</v>
      </c>
      <c r="E183" s="733" t="s">
        <v>344</v>
      </c>
      <c r="F183" s="724"/>
      <c r="G183" s="730"/>
      <c r="H183" s="723"/>
      <c r="I183" s="723" t="str">
        <f t="shared" si="1"/>
        <v>CUR</v>
      </c>
    </row>
    <row r="184" ht="15.75" customHeight="1">
      <c r="A184" s="734" t="s">
        <v>588</v>
      </c>
      <c r="B184" s="727"/>
      <c r="C184" s="734" t="s">
        <v>589</v>
      </c>
      <c r="D184" s="727"/>
      <c r="E184" s="727"/>
      <c r="F184" s="724"/>
      <c r="G184" s="730"/>
      <c r="H184" s="715" t="s">
        <v>590</v>
      </c>
      <c r="I184" s="723" t="str">
        <f t="shared" si="1"/>
        <v>P</v>
      </c>
    </row>
    <row r="185" ht="15.75" customHeight="1">
      <c r="A185" s="727" t="s">
        <v>252</v>
      </c>
      <c r="B185" s="728" t="s">
        <v>591</v>
      </c>
      <c r="C185" s="733" t="s">
        <v>36</v>
      </c>
      <c r="D185" s="733" t="s">
        <v>364</v>
      </c>
      <c r="E185" s="733" t="s">
        <v>344</v>
      </c>
      <c r="F185" s="724"/>
      <c r="G185" s="730"/>
      <c r="H185" s="723"/>
      <c r="I185" s="723" t="str">
        <f t="shared" si="1"/>
        <v>CUR</v>
      </c>
    </row>
    <row r="186" ht="15.75" customHeight="1">
      <c r="A186" s="727" t="s">
        <v>247</v>
      </c>
      <c r="B186" s="728" t="s">
        <v>592</v>
      </c>
      <c r="C186" s="733" t="s">
        <v>36</v>
      </c>
      <c r="D186" s="733" t="s">
        <v>343</v>
      </c>
      <c r="E186" s="733" t="s">
        <v>344</v>
      </c>
      <c r="F186" s="724"/>
      <c r="G186" s="730"/>
      <c r="H186" s="723"/>
      <c r="I186" s="723" t="str">
        <f t="shared" si="1"/>
        <v>COR</v>
      </c>
    </row>
    <row r="187" ht="15.75" customHeight="1">
      <c r="A187" s="727" t="s">
        <v>241</v>
      </c>
      <c r="B187" s="728" t="s">
        <v>593</v>
      </c>
      <c r="C187" s="733" t="s">
        <v>36</v>
      </c>
      <c r="D187" s="733" t="s">
        <v>343</v>
      </c>
      <c r="E187" s="733" t="s">
        <v>344</v>
      </c>
      <c r="F187" s="724"/>
      <c r="G187" s="730"/>
      <c r="H187" s="723"/>
      <c r="I187" s="723" t="str">
        <f t="shared" si="1"/>
        <v>COR</v>
      </c>
    </row>
    <row r="188" ht="15.75" customHeight="1">
      <c r="A188" s="727" t="s">
        <v>594</v>
      </c>
      <c r="B188" s="728" t="s">
        <v>595</v>
      </c>
      <c r="C188" s="727" t="s">
        <v>360</v>
      </c>
      <c r="D188" s="727" t="s">
        <v>348</v>
      </c>
      <c r="E188" s="727" t="s">
        <v>344</v>
      </c>
      <c r="F188" s="724"/>
      <c r="G188" s="730"/>
      <c r="H188" s="723"/>
      <c r="I188" s="723" t="str">
        <f t="shared" si="1"/>
        <v>HAR</v>
      </c>
    </row>
    <row r="189" ht="15.75" customHeight="1">
      <c r="A189" s="727" t="s">
        <v>596</v>
      </c>
      <c r="B189" s="728" t="s">
        <v>597</v>
      </c>
      <c r="C189" s="727" t="s">
        <v>360</v>
      </c>
      <c r="D189" s="727" t="s">
        <v>348</v>
      </c>
      <c r="E189" s="727" t="s">
        <v>344</v>
      </c>
      <c r="F189" s="724"/>
      <c r="G189" s="730"/>
      <c r="H189" s="723"/>
      <c r="I189" s="723" t="str">
        <f t="shared" si="1"/>
        <v>HAR</v>
      </c>
    </row>
    <row r="190" ht="15.75" customHeight="1">
      <c r="A190" s="727" t="s">
        <v>598</v>
      </c>
      <c r="B190" s="728" t="s">
        <v>599</v>
      </c>
      <c r="C190" s="727" t="s">
        <v>360</v>
      </c>
      <c r="D190" s="727" t="s">
        <v>348</v>
      </c>
      <c r="E190" s="727" t="s">
        <v>344</v>
      </c>
      <c r="F190" s="724"/>
      <c r="G190" s="730"/>
      <c r="H190" s="723"/>
      <c r="I190" s="723" t="str">
        <f t="shared" si="1"/>
        <v>HAR</v>
      </c>
    </row>
    <row r="191" ht="15.75" customHeight="1">
      <c r="A191" s="727" t="s">
        <v>600</v>
      </c>
      <c r="B191" s="728" t="s">
        <v>601</v>
      </c>
      <c r="C191" s="727" t="s">
        <v>343</v>
      </c>
      <c r="D191" s="727" t="s">
        <v>343</v>
      </c>
      <c r="E191" s="727" t="s">
        <v>344</v>
      </c>
      <c r="F191" s="724"/>
      <c r="G191" s="730"/>
      <c r="H191" s="723"/>
      <c r="I191" s="723" t="str">
        <f t="shared" si="1"/>
        <v>OOR</v>
      </c>
    </row>
    <row r="192" ht="15.75" customHeight="1">
      <c r="A192" s="727" t="s">
        <v>602</v>
      </c>
      <c r="B192" s="728" t="s">
        <v>603</v>
      </c>
      <c r="C192" s="727" t="s">
        <v>343</v>
      </c>
      <c r="D192" s="727" t="s">
        <v>364</v>
      </c>
      <c r="E192" s="727" t="s">
        <v>344</v>
      </c>
      <c r="F192" s="724"/>
      <c r="G192" s="730"/>
      <c r="H192" s="723"/>
      <c r="I192" s="723" t="str">
        <f t="shared" si="1"/>
        <v>OUR</v>
      </c>
    </row>
    <row r="193" ht="15.75" customHeight="1">
      <c r="A193" s="727" t="s">
        <v>604</v>
      </c>
      <c r="B193" s="728" t="s">
        <v>605</v>
      </c>
      <c r="C193" s="727" t="s">
        <v>36</v>
      </c>
      <c r="D193" s="727" t="s">
        <v>364</v>
      </c>
      <c r="E193" s="727" t="s">
        <v>344</v>
      </c>
      <c r="F193" s="724"/>
      <c r="G193" s="730"/>
      <c r="H193" s="723"/>
      <c r="I193" s="723" t="str">
        <f t="shared" si="1"/>
        <v>CUR</v>
      </c>
    </row>
    <row r="194" ht="15.75" customHeight="1">
      <c r="A194" s="727" t="s">
        <v>606</v>
      </c>
      <c r="B194" s="728" t="s">
        <v>607</v>
      </c>
      <c r="C194" s="727" t="s">
        <v>36</v>
      </c>
      <c r="D194" s="727" t="s">
        <v>364</v>
      </c>
      <c r="E194" s="727" t="s">
        <v>344</v>
      </c>
      <c r="F194" s="724"/>
      <c r="G194" s="730"/>
      <c r="H194" s="723"/>
      <c r="I194" s="723" t="str">
        <f t="shared" si="1"/>
        <v>CUR</v>
      </c>
    </row>
    <row r="195" ht="15.75" customHeight="1">
      <c r="A195" s="727" t="s">
        <v>608</v>
      </c>
      <c r="B195" s="728" t="s">
        <v>609</v>
      </c>
      <c r="C195" s="727" t="s">
        <v>36</v>
      </c>
      <c r="D195" s="727" t="s">
        <v>364</v>
      </c>
      <c r="E195" s="727" t="s">
        <v>344</v>
      </c>
      <c r="F195" s="724"/>
      <c r="G195" s="730"/>
      <c r="H195" s="723"/>
      <c r="I195" s="723" t="str">
        <f t="shared" si="1"/>
        <v>CUR</v>
      </c>
    </row>
    <row r="196" ht="15.75" customHeight="1">
      <c r="A196" s="727" t="s">
        <v>610</v>
      </c>
      <c r="B196" s="728" t="s">
        <v>611</v>
      </c>
      <c r="C196" s="727" t="s">
        <v>36</v>
      </c>
      <c r="D196" s="727" t="s">
        <v>343</v>
      </c>
      <c r="E196" s="727" t="s">
        <v>344</v>
      </c>
      <c r="F196" s="724"/>
      <c r="G196" s="730"/>
      <c r="H196" s="723"/>
      <c r="I196" s="723" t="str">
        <f t="shared" si="1"/>
        <v>COR</v>
      </c>
    </row>
    <row r="197" ht="15.75" customHeight="1">
      <c r="A197" s="727" t="s">
        <v>612</v>
      </c>
      <c r="B197" s="728" t="s">
        <v>613</v>
      </c>
      <c r="C197" s="727" t="s">
        <v>360</v>
      </c>
      <c r="D197" s="727" t="s">
        <v>343</v>
      </c>
      <c r="E197" s="727" t="s">
        <v>344</v>
      </c>
      <c r="F197" s="724"/>
      <c r="G197" s="730"/>
      <c r="H197" s="723"/>
      <c r="I197" s="723" t="str">
        <f t="shared" si="1"/>
        <v>HOR</v>
      </c>
    </row>
    <row r="198" ht="15.75" customHeight="1">
      <c r="A198" s="727" t="s">
        <v>614</v>
      </c>
      <c r="B198" s="728" t="s">
        <v>615</v>
      </c>
      <c r="C198" s="727" t="s">
        <v>360</v>
      </c>
      <c r="D198" s="727" t="s">
        <v>348</v>
      </c>
      <c r="E198" s="727" t="s">
        <v>344</v>
      </c>
      <c r="F198" s="724"/>
      <c r="G198" s="730"/>
      <c r="H198" s="723"/>
      <c r="I198" s="723" t="str">
        <f t="shared" si="1"/>
        <v>HAR</v>
      </c>
    </row>
    <row r="199" ht="15.75" customHeight="1">
      <c r="A199" s="727" t="s">
        <v>616</v>
      </c>
      <c r="B199" s="728" t="s">
        <v>617</v>
      </c>
      <c r="C199" s="727" t="s">
        <v>37</v>
      </c>
      <c r="D199" s="727" t="s">
        <v>364</v>
      </c>
      <c r="E199" s="727" t="s">
        <v>344</v>
      </c>
      <c r="F199" s="724"/>
      <c r="G199" s="730"/>
      <c r="H199" s="723"/>
      <c r="I199" s="723" t="str">
        <f t="shared" si="1"/>
        <v>EUR</v>
      </c>
    </row>
    <row r="200" ht="15.75" customHeight="1">
      <c r="A200" s="727" t="s">
        <v>618</v>
      </c>
      <c r="B200" s="728" t="s">
        <v>619</v>
      </c>
      <c r="C200" s="727" t="s">
        <v>36</v>
      </c>
      <c r="D200" s="727" t="s">
        <v>343</v>
      </c>
      <c r="E200" s="727" t="s">
        <v>405</v>
      </c>
      <c r="F200" s="724"/>
      <c r="G200" s="730"/>
      <c r="H200" s="723"/>
      <c r="I200" s="723" t="str">
        <f t="shared" si="1"/>
        <v>COT</v>
      </c>
    </row>
    <row r="201" ht="15.75" customHeight="1">
      <c r="A201" s="727" t="s">
        <v>620</v>
      </c>
      <c r="B201" s="728" t="s">
        <v>621</v>
      </c>
      <c r="C201" s="727" t="s">
        <v>36</v>
      </c>
      <c r="D201" s="727" t="s">
        <v>622</v>
      </c>
      <c r="E201" s="727" t="s">
        <v>405</v>
      </c>
      <c r="F201" s="724"/>
      <c r="G201" s="730"/>
      <c r="H201" s="723"/>
      <c r="I201" s="723"/>
    </row>
    <row r="202" ht="15.75" customHeight="1">
      <c r="A202" s="727" t="s">
        <v>535</v>
      </c>
      <c r="B202" s="728" t="s">
        <v>623</v>
      </c>
      <c r="C202" s="727" t="s">
        <v>36</v>
      </c>
      <c r="D202" s="727" t="s">
        <v>622</v>
      </c>
      <c r="E202" s="727" t="s">
        <v>405</v>
      </c>
      <c r="F202" s="724"/>
      <c r="G202" s="730"/>
      <c r="H202" s="723"/>
      <c r="I202" s="723"/>
    </row>
  </sheetData>
  <autoFilter ref="$A$1:$I$202">
    <sortState ref="A1:I202">
      <sortCondition ref="A1:A202"/>
    </sortState>
  </autoFilter>
  <dataValidations>
    <dataValidation type="list" allowBlank="1" showErrorMessage="1" sqref="E2">
      <formula1>"Opções,I = Isometria,T = por Tempo (Repetições),R = Repetições"</formula1>
    </dataValidation>
    <dataValidation type="list" allowBlank="1" showErrorMessage="1" sqref="D2">
      <formula1>"Opções,U = Unilateral,A = Alternado,O = Outros (Bilateral),Em branco ="</formula1>
    </dataValidation>
    <dataValidation type="list" allowBlank="1" showErrorMessage="1" sqref="C2">
      <formula1>"Opções,H = Halteres,C = Corporal,E = Elásticos,A = Aeróbicos,O = Outros (máquinas e barras),P = P. S. (observações)"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7"/>
    <hyperlink r:id="rId15" ref="B19"/>
    <hyperlink r:id="rId16" ref="B20"/>
    <hyperlink r:id="rId17" ref="B21"/>
    <hyperlink r:id="rId18" ref="B24"/>
    <hyperlink r:id="rId19" ref="B25"/>
    <hyperlink r:id="rId20" ref="B26"/>
    <hyperlink r:id="rId21" ref="B27"/>
    <hyperlink r:id="rId22" ref="B28"/>
    <hyperlink r:id="rId23" ref="B29"/>
    <hyperlink r:id="rId24" ref="B30"/>
    <hyperlink r:id="rId25" ref="B31"/>
    <hyperlink r:id="rId26" ref="B32"/>
    <hyperlink r:id="rId27" ref="B33"/>
    <hyperlink r:id="rId28" ref="B34"/>
    <hyperlink r:id="rId29" ref="B35"/>
    <hyperlink r:id="rId30" ref="B36"/>
    <hyperlink r:id="rId31" ref="B37"/>
    <hyperlink r:id="rId32" ref="B38"/>
    <hyperlink r:id="rId33" ref="B39"/>
    <hyperlink r:id="rId34" ref="B40"/>
    <hyperlink r:id="rId35" ref="B41"/>
    <hyperlink r:id="rId36" ref="B42"/>
    <hyperlink r:id="rId37" ref="B43"/>
    <hyperlink r:id="rId38" ref="B44"/>
    <hyperlink r:id="rId39" ref="B45"/>
    <hyperlink r:id="rId40" ref="B46"/>
    <hyperlink r:id="rId41" ref="B48"/>
    <hyperlink r:id="rId42" ref="B49"/>
    <hyperlink r:id="rId43" ref="B51"/>
    <hyperlink r:id="rId44" ref="B52"/>
    <hyperlink r:id="rId45" ref="B53"/>
    <hyperlink r:id="rId46" ref="B54"/>
    <hyperlink r:id="rId47" ref="B55"/>
    <hyperlink r:id="rId48" ref="B56"/>
    <hyperlink r:id="rId49" ref="B57"/>
    <hyperlink r:id="rId50" ref="B58"/>
    <hyperlink r:id="rId51" ref="B59"/>
    <hyperlink r:id="rId52" ref="B60"/>
    <hyperlink r:id="rId53" ref="B61"/>
    <hyperlink r:id="rId54" ref="B62"/>
    <hyperlink r:id="rId55" ref="B63"/>
    <hyperlink r:id="rId56" ref="B64"/>
    <hyperlink r:id="rId57" ref="B65"/>
    <hyperlink r:id="rId58" ref="B66"/>
    <hyperlink r:id="rId59" ref="B67"/>
    <hyperlink r:id="rId60" ref="B68"/>
    <hyperlink r:id="rId61" ref="B69"/>
    <hyperlink r:id="rId62" ref="B70"/>
    <hyperlink r:id="rId63" ref="B71"/>
    <hyperlink r:id="rId64" ref="B72"/>
    <hyperlink r:id="rId65" ref="B73"/>
    <hyperlink r:id="rId66" ref="B74"/>
    <hyperlink r:id="rId67" ref="B76"/>
    <hyperlink r:id="rId68" ref="B77"/>
    <hyperlink r:id="rId69" ref="B78"/>
    <hyperlink r:id="rId70" ref="B80"/>
    <hyperlink r:id="rId71" ref="B81"/>
    <hyperlink r:id="rId72" ref="B82"/>
    <hyperlink r:id="rId73" ref="B83"/>
    <hyperlink r:id="rId74" ref="B84"/>
    <hyperlink r:id="rId75" ref="B85"/>
    <hyperlink r:id="rId76" ref="B86"/>
    <hyperlink r:id="rId77" ref="B87"/>
    <hyperlink r:id="rId78" ref="B88"/>
    <hyperlink r:id="rId79" ref="B89"/>
    <hyperlink r:id="rId80" ref="B90"/>
    <hyperlink r:id="rId81" ref="B91"/>
    <hyperlink r:id="rId82" ref="B92"/>
    <hyperlink r:id="rId83" ref="B94"/>
    <hyperlink r:id="rId84" ref="B95"/>
    <hyperlink r:id="rId85" ref="B96"/>
    <hyperlink r:id="rId86" ref="B97"/>
    <hyperlink r:id="rId87" ref="B98"/>
    <hyperlink r:id="rId88" ref="B99"/>
    <hyperlink r:id="rId89" ref="B100"/>
    <hyperlink r:id="rId90" ref="B101"/>
    <hyperlink r:id="rId91" ref="B102"/>
    <hyperlink r:id="rId92" ref="B103"/>
    <hyperlink r:id="rId93" ref="B104"/>
    <hyperlink r:id="rId94" ref="B105"/>
    <hyperlink r:id="rId95" ref="B106"/>
    <hyperlink r:id="rId96" ref="B107"/>
    <hyperlink r:id="rId97" ref="B108"/>
    <hyperlink r:id="rId98" ref="B109"/>
    <hyperlink r:id="rId99" ref="B110"/>
    <hyperlink r:id="rId100" ref="B111"/>
    <hyperlink r:id="rId101" ref="B112"/>
    <hyperlink r:id="rId102" ref="B113"/>
    <hyperlink r:id="rId103" ref="B114"/>
    <hyperlink r:id="rId104" ref="B115"/>
    <hyperlink r:id="rId105" ref="B116"/>
    <hyperlink r:id="rId106" ref="B117"/>
    <hyperlink r:id="rId107" ref="B118"/>
    <hyperlink r:id="rId108" ref="B119"/>
    <hyperlink r:id="rId109" ref="B126"/>
    <hyperlink r:id="rId110" ref="B133"/>
    <hyperlink r:id="rId111" ref="B134"/>
    <hyperlink r:id="rId112" ref="B135"/>
    <hyperlink r:id="rId113" ref="B136"/>
    <hyperlink r:id="rId114" ref="B137"/>
    <hyperlink r:id="rId115" ref="B138"/>
    <hyperlink r:id="rId116" ref="B139"/>
    <hyperlink r:id="rId117" ref="B140"/>
    <hyperlink r:id="rId118" ref="B141"/>
    <hyperlink r:id="rId119" ref="B154"/>
    <hyperlink r:id="rId120" ref="B160"/>
    <hyperlink r:id="rId121" ref="B161"/>
    <hyperlink r:id="rId122" ref="B162"/>
    <hyperlink r:id="rId123" ref="B163"/>
    <hyperlink r:id="rId124" ref="B164"/>
    <hyperlink r:id="rId125" ref="B165"/>
    <hyperlink r:id="rId126" ref="B166"/>
    <hyperlink r:id="rId127" ref="B173"/>
    <hyperlink r:id="rId128" ref="B174"/>
    <hyperlink r:id="rId129" ref="B175"/>
    <hyperlink r:id="rId130" ref="B176"/>
    <hyperlink r:id="rId131" ref="B177"/>
    <hyperlink r:id="rId132" ref="B179"/>
    <hyperlink r:id="rId133" ref="B180"/>
    <hyperlink r:id="rId134" ref="B181"/>
    <hyperlink r:id="rId135" ref="B185"/>
    <hyperlink r:id="rId136" ref="B186"/>
    <hyperlink r:id="rId137" ref="B187"/>
    <hyperlink r:id="rId138" ref="B188"/>
    <hyperlink r:id="rId139" ref="B189"/>
    <hyperlink r:id="rId140" ref="B190"/>
    <hyperlink r:id="rId141" ref="B191"/>
    <hyperlink r:id="rId142" ref="B192"/>
    <hyperlink r:id="rId143" ref="B193"/>
    <hyperlink r:id="rId144" ref="B194"/>
    <hyperlink r:id="rId145" ref="B195"/>
    <hyperlink r:id="rId146" ref="B196"/>
    <hyperlink r:id="rId147" ref="B197"/>
    <hyperlink r:id="rId148" ref="B198"/>
    <hyperlink r:id="rId149" ref="B199"/>
    <hyperlink r:id="rId150" ref="B200"/>
    <hyperlink r:id="rId151" ref="B201"/>
    <hyperlink r:id="rId152" ref="B202"/>
  </hyperlinks>
  <printOptions/>
  <pageMargins bottom="0.787401575" footer="0.0" header="0.0" left="0.511811024" right="0.511811024" top="0.787401575"/>
  <pageSetup paperSize="9" orientation="portrait"/>
  <drawing r:id="rId15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9.86"/>
  </cols>
  <sheetData>
    <row r="1">
      <c r="A1" s="735" t="str">
        <f>'Dados de Base'!$G$2</f>
        <v>Claudinei Gasparoto</v>
      </c>
      <c r="H1" s="735"/>
    </row>
    <row r="3">
      <c r="A3" s="736" t="s">
        <v>624</v>
      </c>
      <c r="B3" s="736" t="s">
        <v>625</v>
      </c>
      <c r="C3" s="737">
        <v>1.0</v>
      </c>
      <c r="D3" s="737">
        <v>2.0</v>
      </c>
      <c r="E3" s="736">
        <v>3.0</v>
      </c>
      <c r="F3" s="736">
        <v>4.0</v>
      </c>
      <c r="G3" s="736">
        <v>5.0</v>
      </c>
      <c r="H3" s="736"/>
    </row>
    <row r="4">
      <c r="A4" s="738" t="s">
        <v>626</v>
      </c>
    </row>
    <row r="5">
      <c r="A5" s="73" t="s">
        <v>8</v>
      </c>
      <c r="B5" s="739">
        <v>257.4593287037037</v>
      </c>
      <c r="C5" s="740">
        <f>'Semana 1'!DQ2</f>
        <v>0</v>
      </c>
      <c r="D5" s="741">
        <f>'Semana 2'!DQ2</f>
        <v>146.9335995</v>
      </c>
      <c r="E5" s="741">
        <f>'Semana 3'!DQ2</f>
        <v>281.1171875</v>
      </c>
      <c r="F5" s="742">
        <f>'Semana 4'!DQ2</f>
        <v>0</v>
      </c>
      <c r="G5" s="743">
        <f>'Semana 5'!DQ2</f>
        <v>0</v>
      </c>
      <c r="H5" s="741"/>
    </row>
    <row r="6">
      <c r="A6" s="57" t="s">
        <v>9</v>
      </c>
      <c r="B6" s="739">
        <v>46.07599537037037</v>
      </c>
      <c r="C6" s="740">
        <f>'Semana 1'!DQ3</f>
        <v>0</v>
      </c>
      <c r="D6" s="744">
        <f>'Semana 2'!DQ3</f>
        <v>30.0502662</v>
      </c>
      <c r="E6" s="741">
        <f>'Semana 3'!DQ3</f>
        <v>80.05052083</v>
      </c>
      <c r="F6" s="742">
        <f>'Semana 4'!DQ3</f>
        <v>0</v>
      </c>
      <c r="G6" s="743">
        <f>'Semana 5'!DQ3</f>
        <v>0</v>
      </c>
      <c r="H6" s="741"/>
    </row>
    <row r="7">
      <c r="A7" s="57" t="s">
        <v>12</v>
      </c>
      <c r="B7" s="739">
        <v>19.52</v>
      </c>
      <c r="C7" s="740">
        <f>'Semana 1'!DQ4</f>
        <v>0</v>
      </c>
      <c r="D7" s="741">
        <f>'Semana 2'!DQ4</f>
        <v>15</v>
      </c>
      <c r="E7" s="741">
        <f>'Semana 3'!DQ4</f>
        <v>15</v>
      </c>
      <c r="F7" s="742">
        <f>'Semana 4'!DQ4</f>
        <v>0</v>
      </c>
      <c r="G7" s="743">
        <f>'Semana 5'!DQ4</f>
        <v>0</v>
      </c>
      <c r="H7" s="741"/>
    </row>
    <row r="8">
      <c r="A8" s="57" t="s">
        <v>13</v>
      </c>
      <c r="B8" s="739">
        <v>179.0</v>
      </c>
      <c r="C8" s="740">
        <f>'Semana 1'!DQ5</f>
        <v>0</v>
      </c>
      <c r="D8" s="741">
        <f>'Semana 2'!DQ5</f>
        <v>77</v>
      </c>
      <c r="E8" s="741">
        <f>'Semana 3'!DQ5</f>
        <v>150</v>
      </c>
      <c r="F8" s="742">
        <f>'Semana 4'!DQ5</f>
        <v>0</v>
      </c>
      <c r="G8" s="743">
        <f>'Semana 5'!DQ5</f>
        <v>0</v>
      </c>
      <c r="H8" s="741"/>
    </row>
    <row r="9">
      <c r="A9" s="251" t="s">
        <v>627</v>
      </c>
      <c r="B9" s="739">
        <v>2141.0</v>
      </c>
      <c r="C9" s="740">
        <f>'Semana 1'!DQ6</f>
        <v>0</v>
      </c>
      <c r="D9" s="741">
        <f>'Semana 2'!DQ6</f>
        <v>951</v>
      </c>
      <c r="E9" s="741">
        <f>'Semana 3'!DQ6</f>
        <v>1743</v>
      </c>
      <c r="F9" s="742">
        <f>'Semana 4'!DQ6</f>
        <v>0</v>
      </c>
      <c r="G9" s="743">
        <f>'Semana 5'!DQ6</f>
        <v>0</v>
      </c>
      <c r="H9" s="741"/>
    </row>
    <row r="10">
      <c r="A10" s="73" t="s">
        <v>18</v>
      </c>
      <c r="B10" s="739">
        <v>63.5565</v>
      </c>
      <c r="C10" s="740">
        <f>'Semana 1'!DQ7</f>
        <v>0</v>
      </c>
      <c r="D10" s="741">
        <f>'Semana 2'!DQ7</f>
        <v>38.1235</v>
      </c>
      <c r="E10" s="741">
        <f>'Semana 3'!DQ7</f>
        <v>46.6539</v>
      </c>
      <c r="F10" s="742">
        <f>'Semana 4'!DQ7</f>
        <v>0</v>
      </c>
      <c r="G10" s="743">
        <f>'Semana 5'!DQ7</f>
        <v>0</v>
      </c>
      <c r="H10" s="741"/>
    </row>
    <row r="11">
      <c r="A11" s="57" t="s">
        <v>21</v>
      </c>
      <c r="B11" s="739">
        <v>95.55</v>
      </c>
      <c r="C11" s="740">
        <f>'Semana 1'!DQ8</f>
        <v>0</v>
      </c>
      <c r="D11" s="741">
        <f>'Semana 2'!DQ8</f>
        <v>43.21666667</v>
      </c>
      <c r="E11" s="741">
        <f>'Semana 3'!DQ8</f>
        <v>73.81666667</v>
      </c>
      <c r="F11" s="742">
        <f>'Semana 4'!DQ8</f>
        <v>0</v>
      </c>
      <c r="G11" s="743">
        <f>'Semana 5'!DQ8</f>
        <v>0</v>
      </c>
      <c r="H11" s="741"/>
    </row>
    <row r="12">
      <c r="A12" s="57" t="s">
        <v>23</v>
      </c>
      <c r="B12" s="739">
        <v>876.0739762538941</v>
      </c>
      <c r="C12" s="740">
        <f>'Semana 1'!DQ9</f>
        <v>0</v>
      </c>
      <c r="D12" s="741">
        <f>'Semana 2'!DQ9</f>
        <v>476.3774168</v>
      </c>
      <c r="E12" s="741">
        <f>'Semana 3'!DQ9</f>
        <v>1042.811985</v>
      </c>
      <c r="F12" s="742">
        <f>'Semana 4'!DQ9</f>
        <v>0</v>
      </c>
      <c r="G12" s="743">
        <f>'Semana 5'!DQ9</f>
        <v>0</v>
      </c>
      <c r="H12" s="741"/>
    </row>
    <row r="13">
      <c r="A13" s="57" t="s">
        <v>25</v>
      </c>
      <c r="B13" s="739">
        <v>125.15342517912772</v>
      </c>
      <c r="C13" s="740">
        <f>'Semana 1'!DQ10</f>
        <v>0</v>
      </c>
      <c r="D13" s="741">
        <f>'Semana 2'!DQ10</f>
        <v>68.05391668</v>
      </c>
      <c r="E13" s="741">
        <f>'Semana 3'!DQ10</f>
        <v>148.9731407</v>
      </c>
      <c r="F13" s="742">
        <f>'Semana 4'!DQ10</f>
        <v>0</v>
      </c>
      <c r="G13" s="743">
        <f>'Semana 5'!DQ10</f>
        <v>0</v>
      </c>
      <c r="H13" s="741"/>
    </row>
    <row r="14">
      <c r="A14" s="57" t="s">
        <v>26</v>
      </c>
      <c r="B14" s="739">
        <v>599.2970138888888</v>
      </c>
      <c r="C14" s="740">
        <f>'Semana 1'!DQ11</f>
        <v>0</v>
      </c>
      <c r="D14" s="741">
        <f>'Semana 2'!DQ11</f>
        <v>219.8007986</v>
      </c>
      <c r="E14" s="741">
        <f>'Semana 3'!DQ11</f>
        <v>496.56875</v>
      </c>
      <c r="F14" s="742">
        <f>'Semana 4'!DQ11</f>
        <v>0</v>
      </c>
      <c r="G14" s="743">
        <f>'Semana 5'!DQ11</f>
        <v>0</v>
      </c>
      <c r="H14" s="741"/>
    </row>
    <row r="15">
      <c r="A15" s="133" t="s">
        <v>27</v>
      </c>
      <c r="B15" s="739">
        <v>119.85940277777777</v>
      </c>
      <c r="C15" s="740">
        <f>'Semana 1'!DQ12</f>
        <v>0</v>
      </c>
      <c r="D15" s="741">
        <f>'Semana 2'!DQ12</f>
        <v>73.26693287</v>
      </c>
      <c r="E15" s="741">
        <f>'Semana 3'!DQ12</f>
        <v>99.31375</v>
      </c>
      <c r="F15" s="742">
        <f>'Semana 4'!DQ12</f>
        <v>0</v>
      </c>
      <c r="G15" s="743">
        <f>'Semana 5'!DQ12</f>
        <v>0</v>
      </c>
      <c r="H15" s="741"/>
    </row>
    <row r="16">
      <c r="A16" s="745" t="s">
        <v>28</v>
      </c>
      <c r="B16" s="739">
        <v>85.61385912698412</v>
      </c>
      <c r="C16" s="740">
        <f>'Semana 1'!DQ13</f>
        <v>0</v>
      </c>
      <c r="D16" s="741">
        <f>'Semana 2'!DQ13</f>
        <v>31.40011409</v>
      </c>
      <c r="E16" s="741">
        <f>'Semana 3'!DQ13</f>
        <v>70.93839286</v>
      </c>
      <c r="F16" s="742">
        <f>'Semana 4'!DQ13</f>
        <v>0</v>
      </c>
      <c r="G16" s="743">
        <f>'Semana 5'!DQ13</f>
        <v>0</v>
      </c>
      <c r="H16" s="741"/>
    </row>
    <row r="17">
      <c r="A17" s="73" t="s">
        <v>30</v>
      </c>
      <c r="B17" s="739">
        <v>81.70966373294866</v>
      </c>
      <c r="C17" s="740">
        <f>'Semana 1'!DQ14</f>
        <v>0</v>
      </c>
      <c r="D17" s="741">
        <f>'Semana 2'!DQ14</f>
        <v>47.60170386</v>
      </c>
      <c r="E17" s="741">
        <f>'Semana 3'!DQ14</f>
        <v>65.15449295</v>
      </c>
      <c r="F17" s="742">
        <f>'Semana 4'!DQ14</f>
        <v>0</v>
      </c>
      <c r="G17" s="743">
        <f>'Semana 5'!DQ14</f>
        <v>0</v>
      </c>
      <c r="H17" s="741"/>
    </row>
    <row r="18">
      <c r="A18" s="73" t="s">
        <v>39</v>
      </c>
      <c r="B18" s="739">
        <v>10.0</v>
      </c>
      <c r="C18" s="740">
        <f>'Semana 1'!DQ15</f>
        <v>10</v>
      </c>
      <c r="D18" s="741">
        <f>'Semana 2'!DQ15</f>
        <v>10</v>
      </c>
      <c r="E18" s="741">
        <f>'Semana 3'!DQ15</f>
        <v>10</v>
      </c>
      <c r="F18" s="742">
        <f>'Semana 4'!DQ15</f>
        <v>0</v>
      </c>
      <c r="G18" s="743">
        <f>'Semana 5'!DQ15</f>
        <v>0</v>
      </c>
      <c r="H18" s="741"/>
    </row>
    <row r="19">
      <c r="A19" s="251" t="s">
        <v>40</v>
      </c>
      <c r="B19" s="739">
        <v>4.6</v>
      </c>
      <c r="C19" s="740">
        <f>'Semana 1'!DQ16</f>
        <v>0</v>
      </c>
      <c r="D19" s="741">
        <f>'Semana 2'!DQ16</f>
        <v>3</v>
      </c>
      <c r="E19" s="741">
        <f>'Semana 3'!DQ16</f>
        <v>3.4</v>
      </c>
      <c r="F19" s="742">
        <f>'Semana 4'!DQ16</f>
        <v>0</v>
      </c>
      <c r="G19" s="743">
        <f>'Semana 5'!DQ16</f>
        <v>0</v>
      </c>
      <c r="H19" s="741"/>
    </row>
    <row r="20">
      <c r="A20" s="251" t="s">
        <v>41</v>
      </c>
      <c r="B20" s="739">
        <v>6.0</v>
      </c>
      <c r="C20" s="740">
        <f>'Semana 1'!DQ17</f>
        <v>6</v>
      </c>
      <c r="D20" s="741">
        <f>'Semana 2'!DQ17</f>
        <v>6</v>
      </c>
      <c r="E20" s="741">
        <f>'Semana 3'!DQ17</f>
        <v>6</v>
      </c>
      <c r="F20" s="742">
        <f>'Semana 4'!DQ17</f>
        <v>6</v>
      </c>
      <c r="G20" s="743">
        <f>'Semana 5'!DQ17</f>
        <v>0</v>
      </c>
      <c r="H20" s="741"/>
    </row>
    <row r="21">
      <c r="A21" s="73" t="s">
        <v>42</v>
      </c>
      <c r="B21" s="739">
        <v>5.0</v>
      </c>
      <c r="C21" s="740">
        <f>'Semana 1'!DQ18</f>
        <v>0</v>
      </c>
      <c r="D21" s="741">
        <f>'Semana 2'!DQ18</f>
        <v>3</v>
      </c>
      <c r="E21" s="741">
        <f>'Semana 3'!DQ18</f>
        <v>5</v>
      </c>
      <c r="F21" s="742">
        <f>'Semana 4'!DQ18</f>
        <v>0</v>
      </c>
      <c r="G21" s="743">
        <f>'Semana 5'!DQ18</f>
        <v>0</v>
      </c>
      <c r="H21" s="741"/>
    </row>
    <row r="22">
      <c r="A22" s="251" t="s">
        <v>43</v>
      </c>
      <c r="B22" s="739">
        <v>0.8333333333333334</v>
      </c>
      <c r="C22" s="740">
        <f>'Semana 1'!DQ19</f>
        <v>0</v>
      </c>
      <c r="D22" s="741">
        <f>'Semana 2'!DQ19</f>
        <v>0.5</v>
      </c>
      <c r="E22" s="741">
        <f>'Semana 3'!DQ19</f>
        <v>0.8333333333</v>
      </c>
      <c r="F22" s="742">
        <f>'Semana 4'!DQ19</f>
        <v>0</v>
      </c>
      <c r="G22" s="743">
        <f>'Semana 5'!DQ19</f>
        <v>0</v>
      </c>
      <c r="H22" s="741"/>
    </row>
    <row r="23">
      <c r="A23" s="251" t="s">
        <v>44</v>
      </c>
      <c r="B23" s="739">
        <v>1.04778131760272</v>
      </c>
      <c r="C23" s="740">
        <f>'Semana 1'!DQ20</f>
        <v>0</v>
      </c>
      <c r="D23" s="741">
        <f>'Semana 2'!DQ20</f>
        <v>0.6596426502</v>
      </c>
      <c r="E23" s="741">
        <f>'Semana 3'!DQ20</f>
        <v>1.088772081</v>
      </c>
      <c r="F23" s="742">
        <f>'Semana 4'!DQ20</f>
        <v>0</v>
      </c>
      <c r="G23" s="743">
        <f>'Semana 5'!DQ20</f>
        <v>0</v>
      </c>
      <c r="H23" s="741"/>
    </row>
    <row r="24">
      <c r="A24" s="73" t="s">
        <v>45</v>
      </c>
      <c r="B24" s="739">
        <v>627.9322148478756</v>
      </c>
      <c r="C24" s="740">
        <f>'Semana 1'!DQ21</f>
        <v>0</v>
      </c>
      <c r="D24" s="741">
        <f>'Semana 2'!DQ21</f>
        <v>144.9899813</v>
      </c>
      <c r="E24" s="741">
        <f>'Semana 3'!DQ21</f>
        <v>540.6501912</v>
      </c>
      <c r="F24" s="742">
        <f>'Semana 4'!DQ21</f>
        <v>0</v>
      </c>
      <c r="G24" s="743">
        <f>'Semana 5'!DQ21</f>
        <v>0</v>
      </c>
      <c r="H24" s="741"/>
    </row>
    <row r="25">
      <c r="A25" s="746" t="s">
        <v>46</v>
      </c>
      <c r="B25" s="747">
        <v>0.0</v>
      </c>
      <c r="C25" s="748">
        <f>'Semana 1'!DQ22</f>
        <v>0</v>
      </c>
      <c r="D25" s="749">
        <f>'Semana 2'!DQ22</f>
        <v>0</v>
      </c>
      <c r="E25" s="749">
        <f>'Semana 3'!DQ22</f>
        <v>0</v>
      </c>
      <c r="F25" s="750">
        <f>'Semana 4'!DQ22</f>
        <v>0</v>
      </c>
      <c r="G25" s="751">
        <f>'Semana 5'!DQ22</f>
        <v>0</v>
      </c>
      <c r="H25" s="741"/>
    </row>
    <row r="26">
      <c r="A26" s="73" t="s">
        <v>83</v>
      </c>
      <c r="B26" s="752">
        <v>0.0</v>
      </c>
      <c r="C26" s="753">
        <f t="shared" ref="C26:G26" si="1">IF(B14=0,0,C14/B14)</f>
        <v>0</v>
      </c>
      <c r="D26" s="753">
        <f t="shared" si="1"/>
        <v>0</v>
      </c>
      <c r="E26" s="753">
        <f t="shared" si="1"/>
        <v>2.259176278</v>
      </c>
      <c r="F26" s="754">
        <f t="shared" si="1"/>
        <v>0</v>
      </c>
      <c r="G26" s="755">
        <f t="shared" si="1"/>
        <v>0</v>
      </c>
      <c r="H26" s="753"/>
    </row>
    <row r="27">
      <c r="A27" s="73" t="s">
        <v>628</v>
      </c>
      <c r="B27" s="739">
        <v>211.38333333333333</v>
      </c>
      <c r="C27" s="740">
        <f t="shared" ref="C27:G27" si="2">C5-C6</f>
        <v>0</v>
      </c>
      <c r="D27" s="740">
        <f t="shared" si="2"/>
        <v>116.8833333</v>
      </c>
      <c r="E27" s="740">
        <f t="shared" si="2"/>
        <v>201.0666667</v>
      </c>
      <c r="F27" s="756">
        <f t="shared" si="2"/>
        <v>0</v>
      </c>
      <c r="G27" s="757">
        <f t="shared" si="2"/>
        <v>0</v>
      </c>
      <c r="H27" s="740"/>
    </row>
    <row r="28" ht="9.75" customHeight="1">
      <c r="A28" s="58"/>
      <c r="B28" s="758"/>
      <c r="C28" s="758"/>
      <c r="D28" s="758"/>
      <c r="E28" s="758"/>
      <c r="F28" s="758"/>
      <c r="G28" s="758"/>
      <c r="H28" s="759"/>
    </row>
    <row r="29">
      <c r="A29" s="252" t="s">
        <v>629</v>
      </c>
      <c r="B29" s="760"/>
      <c r="C29" s="759"/>
      <c r="D29" s="759"/>
      <c r="E29" s="759"/>
      <c r="F29" s="761"/>
      <c r="G29" s="762"/>
      <c r="H29" s="759"/>
    </row>
    <row r="30">
      <c r="A30" s="73" t="s">
        <v>8</v>
      </c>
      <c r="B30" s="760">
        <v>3784.3631250000008</v>
      </c>
      <c r="C30" s="759">
        <f t="shared" ref="C30:G30" si="3">C5+B30</f>
        <v>3784.363125</v>
      </c>
      <c r="D30" s="759">
        <f t="shared" si="3"/>
        <v>3931.296725</v>
      </c>
      <c r="E30" s="759">
        <f t="shared" si="3"/>
        <v>4212.413912</v>
      </c>
      <c r="F30" s="761">
        <f t="shared" si="3"/>
        <v>4212.413912</v>
      </c>
      <c r="G30" s="762">
        <f t="shared" si="3"/>
        <v>4212.413912</v>
      </c>
      <c r="H30" s="759"/>
    </row>
    <row r="31">
      <c r="A31" s="57" t="s">
        <v>9</v>
      </c>
      <c r="B31" s="760">
        <v>674.9464583333333</v>
      </c>
      <c r="C31" s="759">
        <f t="shared" ref="C31:G31" si="4">C6+B31</f>
        <v>674.9464583</v>
      </c>
      <c r="D31" s="759">
        <f t="shared" si="4"/>
        <v>704.9967245</v>
      </c>
      <c r="E31" s="759">
        <f t="shared" si="4"/>
        <v>785.0472454</v>
      </c>
      <c r="F31" s="761">
        <f t="shared" si="4"/>
        <v>785.0472454</v>
      </c>
      <c r="G31" s="762">
        <f t="shared" si="4"/>
        <v>785.0472454</v>
      </c>
      <c r="H31" s="759"/>
    </row>
    <row r="32">
      <c r="A32" s="57" t="s">
        <v>12</v>
      </c>
      <c r="B32" s="760">
        <v>278.16999999999996</v>
      </c>
      <c r="C32" s="759">
        <f t="shared" ref="C32:G32" si="5">C7+B32</f>
        <v>278.17</v>
      </c>
      <c r="D32" s="759">
        <f t="shared" si="5"/>
        <v>293.17</v>
      </c>
      <c r="E32" s="759">
        <f t="shared" si="5"/>
        <v>308.17</v>
      </c>
      <c r="F32" s="761">
        <f t="shared" si="5"/>
        <v>308.17</v>
      </c>
      <c r="G32" s="762">
        <f t="shared" si="5"/>
        <v>308.17</v>
      </c>
      <c r="H32" s="759"/>
    </row>
    <row r="33">
      <c r="A33" s="57" t="s">
        <v>13</v>
      </c>
      <c r="B33" s="760">
        <v>2557.0</v>
      </c>
      <c r="C33" s="759">
        <f t="shared" ref="C33:G33" si="6">C8+B33</f>
        <v>2557</v>
      </c>
      <c r="D33" s="759">
        <f t="shared" si="6"/>
        <v>2634</v>
      </c>
      <c r="E33" s="759">
        <f t="shared" si="6"/>
        <v>2784</v>
      </c>
      <c r="F33" s="761">
        <f t="shared" si="6"/>
        <v>2784</v>
      </c>
      <c r="G33" s="762">
        <f t="shared" si="6"/>
        <v>2784</v>
      </c>
      <c r="H33" s="759"/>
    </row>
    <row r="34">
      <c r="A34" s="251" t="s">
        <v>627</v>
      </c>
      <c r="B34" s="763">
        <v>29849.0</v>
      </c>
      <c r="C34" s="764">
        <f t="shared" ref="C34:G34" si="7">C9+B34</f>
        <v>29849</v>
      </c>
      <c r="D34" s="764">
        <f t="shared" si="7"/>
        <v>30800</v>
      </c>
      <c r="E34" s="764">
        <f t="shared" si="7"/>
        <v>32543</v>
      </c>
      <c r="F34" s="765">
        <f t="shared" si="7"/>
        <v>32543</v>
      </c>
      <c r="G34" s="766">
        <f t="shared" si="7"/>
        <v>32543</v>
      </c>
      <c r="H34" s="764"/>
    </row>
    <row r="35">
      <c r="A35" s="73" t="s">
        <v>630</v>
      </c>
      <c r="B35" s="760">
        <v>775.4036965330805</v>
      </c>
      <c r="C35" s="759">
        <f t="shared" ref="C35:G35" si="8">C10+B35</f>
        <v>775.4036965</v>
      </c>
      <c r="D35" s="759">
        <f t="shared" si="8"/>
        <v>813.5271965</v>
      </c>
      <c r="E35" s="759">
        <f t="shared" si="8"/>
        <v>860.1810965</v>
      </c>
      <c r="F35" s="761">
        <f t="shared" si="8"/>
        <v>860.1810965</v>
      </c>
      <c r="G35" s="762">
        <f t="shared" si="8"/>
        <v>860.1810965</v>
      </c>
      <c r="H35" s="759"/>
    </row>
    <row r="36">
      <c r="A36" s="57" t="s">
        <v>21</v>
      </c>
      <c r="B36" s="760">
        <v>1161.75</v>
      </c>
      <c r="C36" s="759">
        <f t="shared" ref="C36:G36" si="9">C11+B36</f>
        <v>1161.75</v>
      </c>
      <c r="D36" s="759">
        <f t="shared" si="9"/>
        <v>1204.966667</v>
      </c>
      <c r="E36" s="759">
        <f t="shared" si="9"/>
        <v>1278.783333</v>
      </c>
      <c r="F36" s="761">
        <f t="shared" si="9"/>
        <v>1278.783333</v>
      </c>
      <c r="G36" s="762">
        <f t="shared" si="9"/>
        <v>1278.783333</v>
      </c>
      <c r="H36" s="759"/>
    </row>
    <row r="37">
      <c r="A37" s="57" t="s">
        <v>23</v>
      </c>
      <c r="B37" s="760">
        <v>12440.771625918027</v>
      </c>
      <c r="C37" s="759">
        <f t="shared" ref="C37:G37" si="10">C12+B37</f>
        <v>12440.77163</v>
      </c>
      <c r="D37" s="759">
        <f t="shared" si="10"/>
        <v>12917.14904</v>
      </c>
      <c r="E37" s="759">
        <f t="shared" si="10"/>
        <v>13959.96103</v>
      </c>
      <c r="F37" s="761">
        <f t="shared" si="10"/>
        <v>13959.96103</v>
      </c>
      <c r="G37" s="762">
        <f t="shared" si="10"/>
        <v>13959.96103</v>
      </c>
      <c r="H37" s="759"/>
    </row>
    <row r="38">
      <c r="A38" s="57" t="s">
        <v>25</v>
      </c>
      <c r="B38" s="760">
        <v>1777.2530894168615</v>
      </c>
      <c r="C38" s="759">
        <f t="shared" ref="C38:G38" si="11">C13+B38</f>
        <v>1777.253089</v>
      </c>
      <c r="D38" s="759">
        <f t="shared" si="11"/>
        <v>1845.307006</v>
      </c>
      <c r="E38" s="759">
        <f t="shared" si="11"/>
        <v>1994.280147</v>
      </c>
      <c r="F38" s="761">
        <f t="shared" si="11"/>
        <v>1994.280147</v>
      </c>
      <c r="G38" s="762">
        <f t="shared" si="11"/>
        <v>1994.280147</v>
      </c>
      <c r="H38" s="759"/>
    </row>
    <row r="39">
      <c r="A39" s="57" t="s">
        <v>26</v>
      </c>
      <c r="B39" s="760">
        <v>6184.797037037036</v>
      </c>
      <c r="C39" s="759">
        <f t="shared" ref="C39:G39" si="12">C14+B39</f>
        <v>6184.797037</v>
      </c>
      <c r="D39" s="759">
        <f t="shared" si="12"/>
        <v>6404.597836</v>
      </c>
      <c r="E39" s="759">
        <f t="shared" si="12"/>
        <v>6901.166586</v>
      </c>
      <c r="F39" s="761">
        <f t="shared" si="12"/>
        <v>6901.166586</v>
      </c>
      <c r="G39" s="762">
        <f t="shared" si="12"/>
        <v>6901.166586</v>
      </c>
      <c r="H39" s="759"/>
    </row>
    <row r="40">
      <c r="A40" s="133" t="s">
        <v>27</v>
      </c>
      <c r="B40" s="760">
        <v>1432.0909594907412</v>
      </c>
      <c r="C40" s="759">
        <f t="shared" ref="C40:G40" si="13">C15+B40</f>
        <v>1432.090959</v>
      </c>
      <c r="D40" s="759">
        <f t="shared" si="13"/>
        <v>1505.357892</v>
      </c>
      <c r="E40" s="759">
        <f t="shared" si="13"/>
        <v>1604.671642</v>
      </c>
      <c r="F40" s="761">
        <f t="shared" si="13"/>
        <v>1604.671642</v>
      </c>
      <c r="G40" s="762">
        <f t="shared" si="13"/>
        <v>1604.671642</v>
      </c>
      <c r="H40" s="759"/>
    </row>
    <row r="41">
      <c r="A41" s="745" t="s">
        <v>28</v>
      </c>
      <c r="B41" s="760">
        <v>883.5424338624338</v>
      </c>
      <c r="C41" s="759">
        <f t="shared" ref="C41:G41" si="14">C16+B41</f>
        <v>883.5424339</v>
      </c>
      <c r="D41" s="759">
        <f t="shared" si="14"/>
        <v>914.9425479</v>
      </c>
      <c r="E41" s="759">
        <f t="shared" si="14"/>
        <v>985.8809408</v>
      </c>
      <c r="F41" s="761">
        <f t="shared" si="14"/>
        <v>985.8809408</v>
      </c>
      <c r="G41" s="762">
        <f t="shared" si="14"/>
        <v>985.8809408</v>
      </c>
      <c r="H41" s="759"/>
    </row>
    <row r="42">
      <c r="A42" s="73" t="s">
        <v>30</v>
      </c>
      <c r="B42" s="760">
        <v>878.0733464824972</v>
      </c>
      <c r="C42" s="759">
        <f t="shared" ref="C42:G42" si="15">C17+B42</f>
        <v>878.0733465</v>
      </c>
      <c r="D42" s="759">
        <f t="shared" si="15"/>
        <v>925.6750503</v>
      </c>
      <c r="E42" s="759">
        <f t="shared" si="15"/>
        <v>990.8295433</v>
      </c>
      <c r="F42" s="761">
        <f t="shared" si="15"/>
        <v>990.8295433</v>
      </c>
      <c r="G42" s="762">
        <f t="shared" si="15"/>
        <v>990.8295433</v>
      </c>
      <c r="H42" s="759"/>
    </row>
    <row r="43">
      <c r="A43" s="73" t="s">
        <v>39</v>
      </c>
      <c r="B43" s="760">
        <v>209.83333333333334</v>
      </c>
      <c r="C43" s="759">
        <f t="shared" ref="C43:G43" si="16">C18+B43</f>
        <v>219.8333333</v>
      </c>
      <c r="D43" s="759">
        <f t="shared" si="16"/>
        <v>229.8333333</v>
      </c>
      <c r="E43" s="759">
        <f t="shared" si="16"/>
        <v>239.8333333</v>
      </c>
      <c r="F43" s="761">
        <f t="shared" si="16"/>
        <v>239.8333333</v>
      </c>
      <c r="G43" s="762">
        <f t="shared" si="16"/>
        <v>239.8333333</v>
      </c>
      <c r="H43" s="759"/>
    </row>
    <row r="44">
      <c r="A44" s="251" t="s">
        <v>40</v>
      </c>
      <c r="B44" s="760">
        <v>70.78333333333333</v>
      </c>
      <c r="C44" s="759">
        <f t="shared" ref="C44:G44" si="17">C19+B44</f>
        <v>70.78333333</v>
      </c>
      <c r="D44" s="759">
        <f t="shared" si="17"/>
        <v>73.78333333</v>
      </c>
      <c r="E44" s="759">
        <f t="shared" si="17"/>
        <v>77.18333333</v>
      </c>
      <c r="F44" s="761">
        <f t="shared" si="17"/>
        <v>77.18333333</v>
      </c>
      <c r="G44" s="762">
        <f t="shared" si="17"/>
        <v>77.18333333</v>
      </c>
      <c r="H44" s="759"/>
    </row>
    <row r="45">
      <c r="A45" s="251" t="s">
        <v>41</v>
      </c>
      <c r="B45" s="739">
        <v>168.0</v>
      </c>
      <c r="C45" s="740">
        <f t="shared" ref="C45:G45" si="18">C20+B45</f>
        <v>174</v>
      </c>
      <c r="D45" s="740">
        <f t="shared" si="18"/>
        <v>180</v>
      </c>
      <c r="E45" s="740">
        <f t="shared" si="18"/>
        <v>186</v>
      </c>
      <c r="F45" s="756">
        <f t="shared" si="18"/>
        <v>192</v>
      </c>
      <c r="G45" s="757">
        <f t="shared" si="18"/>
        <v>192</v>
      </c>
      <c r="H45" s="740"/>
    </row>
    <row r="46">
      <c r="A46" s="73" t="s">
        <v>42</v>
      </c>
      <c r="B46" s="739">
        <v>86.0</v>
      </c>
      <c r="C46" s="740">
        <f t="shared" ref="C46:G46" si="19">C21+B46</f>
        <v>86</v>
      </c>
      <c r="D46" s="740">
        <f t="shared" si="19"/>
        <v>89</v>
      </c>
      <c r="E46" s="740">
        <f t="shared" si="19"/>
        <v>94</v>
      </c>
      <c r="F46" s="756">
        <f t="shared" si="19"/>
        <v>94</v>
      </c>
      <c r="G46" s="757">
        <f t="shared" si="19"/>
        <v>94</v>
      </c>
      <c r="H46" s="740"/>
    </row>
    <row r="47">
      <c r="A47" s="251" t="s">
        <v>43</v>
      </c>
      <c r="B47" s="767">
        <v>0.0</v>
      </c>
      <c r="C47" s="768">
        <f t="shared" ref="C47:G47" si="20">IF(ISNUMBER(C22),IF(C22=1,B47+1,0),0)</f>
        <v>0</v>
      </c>
      <c r="D47" s="768">
        <f t="shared" si="20"/>
        <v>0</v>
      </c>
      <c r="E47" s="768">
        <f t="shared" si="20"/>
        <v>0</v>
      </c>
      <c r="F47" s="769">
        <f t="shared" si="20"/>
        <v>0</v>
      </c>
      <c r="G47" s="770">
        <f t="shared" si="20"/>
        <v>0</v>
      </c>
      <c r="H47" s="768"/>
    </row>
    <row r="48">
      <c r="A48" s="251" t="s">
        <v>44</v>
      </c>
      <c r="B48" s="760">
        <v>14.33333333333333</v>
      </c>
      <c r="C48" s="759">
        <f t="shared" ref="C48:G48" si="21">C22+B48</f>
        <v>14.33333333</v>
      </c>
      <c r="D48" s="759">
        <f t="shared" si="21"/>
        <v>14.83333333</v>
      </c>
      <c r="E48" s="759">
        <f t="shared" si="21"/>
        <v>15.66666667</v>
      </c>
      <c r="F48" s="761">
        <f t="shared" si="21"/>
        <v>15.66666667</v>
      </c>
      <c r="G48" s="762">
        <f t="shared" si="21"/>
        <v>15.66666667</v>
      </c>
      <c r="H48" s="759"/>
    </row>
    <row r="49">
      <c r="A49" s="73" t="s">
        <v>45</v>
      </c>
      <c r="B49" s="760">
        <v>19.379498833482995</v>
      </c>
      <c r="C49" s="759">
        <f t="shared" ref="C49:G49" si="22">C23+B49</f>
        <v>19.37949883</v>
      </c>
      <c r="D49" s="759">
        <f t="shared" si="22"/>
        <v>20.03914148</v>
      </c>
      <c r="E49" s="759">
        <f t="shared" si="22"/>
        <v>21.12791356</v>
      </c>
      <c r="F49" s="761">
        <f t="shared" si="22"/>
        <v>21.12791356</v>
      </c>
      <c r="G49" s="762">
        <f t="shared" si="22"/>
        <v>21.12791356</v>
      </c>
      <c r="H49" s="759"/>
    </row>
    <row r="50">
      <c r="A50" s="133" t="s">
        <v>46</v>
      </c>
      <c r="B50" s="760">
        <v>6626.693894550974</v>
      </c>
      <c r="C50" s="759">
        <f t="shared" ref="C50:G50" si="23">C24+B50</f>
        <v>6626.693895</v>
      </c>
      <c r="D50" s="759">
        <f t="shared" si="23"/>
        <v>6771.683876</v>
      </c>
      <c r="E50" s="759">
        <f t="shared" si="23"/>
        <v>7312.334067</v>
      </c>
      <c r="F50" s="761">
        <f t="shared" si="23"/>
        <v>7312.334067</v>
      </c>
      <c r="G50" s="762">
        <f t="shared" si="23"/>
        <v>7312.334067</v>
      </c>
      <c r="H50" s="759"/>
    </row>
    <row r="51">
      <c r="A51" s="73" t="s">
        <v>83</v>
      </c>
      <c r="B51" s="760">
        <v>77.62421636849623</v>
      </c>
      <c r="C51" s="759">
        <f t="shared" ref="C51:G51" si="24">C26+B51</f>
        <v>77.62421637</v>
      </c>
      <c r="D51" s="759">
        <f t="shared" si="24"/>
        <v>77.62421637</v>
      </c>
      <c r="E51" s="759">
        <f t="shared" si="24"/>
        <v>79.88339265</v>
      </c>
      <c r="F51" s="761">
        <f t="shared" si="24"/>
        <v>79.88339265</v>
      </c>
      <c r="G51" s="762">
        <f t="shared" si="24"/>
        <v>79.88339265</v>
      </c>
      <c r="H51" s="759"/>
    </row>
    <row r="52">
      <c r="A52" s="251" t="s">
        <v>631</v>
      </c>
      <c r="B52" s="760">
        <v>0.0</v>
      </c>
      <c r="C52" s="759">
        <f>MAX(B47:G47)</f>
        <v>0</v>
      </c>
      <c r="D52" s="759">
        <f t="shared" ref="D52:G52" si="25">C52</f>
        <v>0</v>
      </c>
      <c r="E52" s="759">
        <f t="shared" si="25"/>
        <v>0</v>
      </c>
      <c r="F52" s="761">
        <f t="shared" si="25"/>
        <v>0</v>
      </c>
      <c r="G52" s="762">
        <f t="shared" si="25"/>
        <v>0</v>
      </c>
      <c r="H52" s="759"/>
    </row>
    <row r="57">
      <c r="A57" s="771">
        <f>COUNTIF(C14:G14,"&gt;0")+IF(B14&gt;0,1,IF(C14&gt;0,1,2))</f>
        <v>3</v>
      </c>
      <c r="B57" s="73"/>
      <c r="C57" s="759"/>
      <c r="D57" s="759"/>
      <c r="E57" s="759"/>
      <c r="F57" s="759"/>
      <c r="G57" s="759"/>
      <c r="H57" s="759"/>
    </row>
  </sheetData>
  <mergeCells count="1">
    <mergeCell ref="A1:G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1" max="11" width="7.14"/>
  </cols>
  <sheetData>
    <row r="1">
      <c r="K1" s="251" t="s">
        <v>632</v>
      </c>
    </row>
    <row r="2">
      <c r="A2" s="251" t="s">
        <v>633</v>
      </c>
      <c r="K2" s="772">
        <v>37654.0</v>
      </c>
      <c r="L2" s="251" t="s">
        <v>634</v>
      </c>
    </row>
    <row r="3">
      <c r="A3" s="251" t="s">
        <v>635</v>
      </c>
      <c r="K3" s="772">
        <v>38019.0</v>
      </c>
      <c r="L3" s="251" t="s">
        <v>636</v>
      </c>
    </row>
    <row r="4">
      <c r="A4" s="251" t="s">
        <v>637</v>
      </c>
      <c r="K4" s="772">
        <v>38385.0</v>
      </c>
      <c r="L4" s="251" t="s">
        <v>638</v>
      </c>
    </row>
    <row r="5">
      <c r="K5" s="772">
        <v>38385.0</v>
      </c>
      <c r="L5" s="251" t="s">
        <v>639</v>
      </c>
    </row>
    <row r="6">
      <c r="K6" s="772">
        <v>38750.0</v>
      </c>
      <c r="L6" s="251" t="s">
        <v>640</v>
      </c>
    </row>
    <row r="7">
      <c r="K7" s="773">
        <v>36952.0</v>
      </c>
      <c r="L7" s="251" t="s">
        <v>641</v>
      </c>
    </row>
    <row r="8">
      <c r="K8" s="772">
        <v>37317.0</v>
      </c>
      <c r="L8" s="251" t="s">
        <v>642</v>
      </c>
    </row>
    <row r="9">
      <c r="K9" s="773">
        <v>36983.0</v>
      </c>
      <c r="L9" s="251" t="s">
        <v>643</v>
      </c>
    </row>
    <row r="10">
      <c r="K10" s="772">
        <v>37348.0</v>
      </c>
      <c r="L10" s="251" t="s">
        <v>644</v>
      </c>
    </row>
    <row r="11">
      <c r="K11" s="773">
        <v>37013.0</v>
      </c>
      <c r="L11" s="251" t="s">
        <v>645</v>
      </c>
    </row>
    <row r="12">
      <c r="K12" s="773">
        <v>37044.0</v>
      </c>
      <c r="L12" s="251" t="s">
        <v>646</v>
      </c>
    </row>
    <row r="13">
      <c r="K13" s="772">
        <v>37409.0</v>
      </c>
      <c r="L13" s="251" t="s">
        <v>647</v>
      </c>
    </row>
    <row r="14">
      <c r="K14" s="772">
        <v>37774.0</v>
      </c>
      <c r="L14" s="251" t="s">
        <v>648</v>
      </c>
    </row>
    <row r="15">
      <c r="K15" s="773">
        <v>37804.0</v>
      </c>
      <c r="L15" s="251" t="s">
        <v>649</v>
      </c>
    </row>
    <row r="17">
      <c r="K17" s="251" t="s">
        <v>650</v>
      </c>
    </row>
    <row r="18">
      <c r="K18" s="251" t="s">
        <v>651</v>
      </c>
    </row>
    <row r="19">
      <c r="K19" s="251" t="s">
        <v>652</v>
      </c>
    </row>
  </sheetData>
  <mergeCells count="1">
    <mergeCell ref="K1:L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3.29"/>
    <col customWidth="1" min="3" max="3" width="4.29"/>
    <col customWidth="1" min="4" max="5" width="3.29"/>
    <col customWidth="1" min="6" max="6" width="3.86"/>
    <col customWidth="1" min="7" max="7" width="3.29"/>
    <col customWidth="1" min="8" max="8" width="3.71"/>
    <col customWidth="1" min="10" max="10" width="3.29"/>
    <col customWidth="1" min="11" max="11" width="3.71"/>
    <col customWidth="1" min="12" max="12" width="17.43"/>
    <col customWidth="1" min="13" max="14" width="3.29"/>
  </cols>
  <sheetData>
    <row r="1">
      <c r="A1" s="774" t="str">
        <f>'Semana 1'!M26</f>
        <v>Agachamento</v>
      </c>
      <c r="B1" s="201">
        <f t="shared" ref="B1:B700" si="1">IF(A1="",0,IF(G1="",F1/(1.05^(10-D1)),G1/(1.05^(10-D1))))</f>
        <v>0</v>
      </c>
      <c r="D1" s="740">
        <f>'Semana 1'!F26</f>
        <v>10</v>
      </c>
      <c r="E1" s="775"/>
      <c r="F1" s="774" t="str">
        <f>'Semana 1'!N26</f>
        <v/>
      </c>
      <c r="G1" s="774" t="str">
        <f>'Semana 1'!J26</f>
        <v/>
      </c>
      <c r="H1" s="776"/>
      <c r="I1" s="774" t="str">
        <f>IFERROR(__xludf.DUMMYFUNCTION("SORT(FILTER(A1:B700,B1:B700&gt;0),2,0)"),"Panturrilha Leg Press")</f>
        <v>Panturrilha Leg Press</v>
      </c>
      <c r="J1" s="201">
        <f>IFERROR(__xludf.DUMMYFUNCTION("""COMPUTED_VALUE"""),220.50000000000003)</f>
        <v>220.5</v>
      </c>
      <c r="K1" s="776"/>
      <c r="L1" s="774" t="str">
        <f t="array" ref="L1:M72">UNIQUE(I1:J500)</f>
        <v>Panturrilha Leg Press</v>
      </c>
      <c r="M1" s="201">
        <v>220.50000000000003</v>
      </c>
    </row>
    <row r="2">
      <c r="A2" s="774" t="str">
        <f>'Semana 1'!M28</f>
        <v>cão caçador com a bola</v>
      </c>
      <c r="B2" s="201">
        <f t="shared" si="1"/>
        <v>0</v>
      </c>
      <c r="D2" s="740">
        <f>'Semana 1'!F28</f>
        <v>10</v>
      </c>
      <c r="E2" s="775"/>
      <c r="F2" s="774" t="str">
        <f>'Semana 1'!N28</f>
        <v/>
      </c>
      <c r="G2" s="774" t="str">
        <f>'Semana 1'!J28</f>
        <v/>
      </c>
      <c r="H2" s="776"/>
      <c r="I2" s="774" t="str">
        <f>IFERROR(__xludf.DUMMYFUNCTION("""COMPUTED_VALUE"""),"Panturrilha Leg Press")</f>
        <v>Panturrilha Leg Press</v>
      </c>
      <c r="J2" s="201">
        <f>IFERROR(__xludf.DUMMYFUNCTION("""COMPUTED_VALUE"""),220.0)</f>
        <v>220</v>
      </c>
      <c r="K2" s="776"/>
      <c r="L2" s="774" t="s">
        <v>273</v>
      </c>
      <c r="M2" s="201">
        <v>220.0</v>
      </c>
    </row>
    <row r="3">
      <c r="A3" s="774" t="str">
        <f>'Semana 1'!M30</f>
        <v>Leg Press</v>
      </c>
      <c r="B3" s="201">
        <f t="shared" si="1"/>
        <v>0</v>
      </c>
      <c r="D3" s="740">
        <f>'Semana 1'!F30</f>
        <v>10</v>
      </c>
      <c r="E3" s="775"/>
      <c r="F3" s="774" t="str">
        <f>'Semana 1'!N30</f>
        <v/>
      </c>
      <c r="G3" s="774" t="str">
        <f>'Semana 1'!J30</f>
        <v/>
      </c>
      <c r="H3" s="776"/>
      <c r="I3" s="774" t="str">
        <f>IFERROR(__xludf.DUMMYFUNCTION("""COMPUTED_VALUE"""),"Leg Press")</f>
        <v>Leg Press</v>
      </c>
      <c r="J3" s="201">
        <f>IFERROR(__xludf.DUMMYFUNCTION("""COMPUTED_VALUE"""),170.0)</f>
        <v>170</v>
      </c>
      <c r="K3" s="776"/>
      <c r="L3" s="774" t="s">
        <v>268</v>
      </c>
      <c r="M3" s="201">
        <v>170.0</v>
      </c>
    </row>
    <row r="4">
      <c r="A4" s="774" t="str">
        <f>'Semana 1'!M32</f>
        <v>Panturrilha Leg Press</v>
      </c>
      <c r="B4" s="201">
        <f t="shared" si="1"/>
        <v>0</v>
      </c>
      <c r="D4" s="740">
        <f>'Semana 1'!F32</f>
        <v>10</v>
      </c>
      <c r="E4" s="775"/>
      <c r="F4" s="774" t="str">
        <f>'Semana 1'!N32</f>
        <v/>
      </c>
      <c r="G4" s="774" t="str">
        <f>'Semana 1'!J32</f>
        <v/>
      </c>
      <c r="H4" s="776"/>
      <c r="I4" s="774" t="str">
        <f>IFERROR(__xludf.DUMMYFUNCTION("""COMPUTED_VALUE"""),"Leg Press")</f>
        <v>Leg Press</v>
      </c>
      <c r="J4" s="201">
        <f>IFERROR(__xludf.DUMMYFUNCTION("""COMPUTED_VALUE"""),165.375)</f>
        <v>165.375</v>
      </c>
      <c r="K4" s="776"/>
      <c r="L4" s="774" t="s">
        <v>268</v>
      </c>
      <c r="M4" s="201">
        <v>165.375</v>
      </c>
    </row>
    <row r="5">
      <c r="A5" s="774" t="str">
        <f>'Semana 1'!M34</f>
        <v>Remada Frontal Máquina</v>
      </c>
      <c r="B5" s="201">
        <f t="shared" si="1"/>
        <v>0</v>
      </c>
      <c r="D5" s="740">
        <f>'Semana 1'!F34</f>
        <v>10</v>
      </c>
      <c r="E5" s="775"/>
      <c r="F5" s="774" t="str">
        <f>'Semana 1'!N34</f>
        <v/>
      </c>
      <c r="G5" s="774" t="str">
        <f>'Semana 1'!J34</f>
        <v/>
      </c>
      <c r="H5" s="776"/>
      <c r="I5" s="774" t="str">
        <f>IFERROR(__xludf.DUMMYFUNCTION("""COMPUTED_VALUE"""),"Flexão Plantar na Máquina")</f>
        <v>Flexão Plantar na Máquina</v>
      </c>
      <c r="J5" s="201">
        <f>IFERROR(__xludf.DUMMYFUNCTION("""COMPUTED_VALUE"""),150.0)</f>
        <v>150</v>
      </c>
      <c r="K5" s="776"/>
      <c r="L5" s="774" t="s">
        <v>330</v>
      </c>
      <c r="M5" s="201">
        <v>150.0</v>
      </c>
    </row>
    <row r="6">
      <c r="A6" s="774" t="str">
        <f>'Semana 1'!M36</f>
        <v>Abdominal Obliquo na polia média</v>
      </c>
      <c r="B6" s="201">
        <f t="shared" si="1"/>
        <v>0</v>
      </c>
      <c r="D6" s="740">
        <f>'Semana 1'!F36</f>
        <v>10</v>
      </c>
      <c r="E6" s="775"/>
      <c r="F6" s="774" t="str">
        <f>'Semana 1'!N36</f>
        <v/>
      </c>
      <c r="G6" s="774" t="str">
        <f>'Semana 1'!J36</f>
        <v/>
      </c>
      <c r="H6" s="776"/>
      <c r="I6" s="774" t="str">
        <f>IFERROR(__xludf.DUMMYFUNCTION("""COMPUTED_VALUE"""),"Flexão Plantar na Máquina")</f>
        <v>Flexão Plantar na Máquina</v>
      </c>
      <c r="J6" s="201">
        <f>IFERROR(__xludf.DUMMYFUNCTION("""COMPUTED_VALUE"""),149.94)</f>
        <v>149.94</v>
      </c>
      <c r="K6" s="776"/>
      <c r="L6" s="774" t="s">
        <v>330</v>
      </c>
      <c r="M6" s="201">
        <v>149.94</v>
      </c>
    </row>
    <row r="7">
      <c r="A7" s="774" t="str">
        <f>'Semana 1'!M38</f>
        <v>Pulley frente</v>
      </c>
      <c r="B7" s="201">
        <f t="shared" si="1"/>
        <v>0</v>
      </c>
      <c r="D7" s="740">
        <f>'Semana 1'!F38</f>
        <v>10</v>
      </c>
      <c r="E7" s="775"/>
      <c r="F7" s="774" t="str">
        <f>'Semana 1'!N38</f>
        <v/>
      </c>
      <c r="G7" s="774" t="str">
        <f>'Semana 1'!J38</f>
        <v/>
      </c>
      <c r="H7" s="776"/>
      <c r="I7" s="774" t="str">
        <f>IFERROR(__xludf.DUMMYFUNCTION("""COMPUTED_VALUE"""),"Elevação Pélvica")</f>
        <v>Elevação Pélvica</v>
      </c>
      <c r="J7" s="201">
        <f>IFERROR(__xludf.DUMMYFUNCTION("""COMPUTED_VALUE"""),110.25000000000001)</f>
        <v>110.25</v>
      </c>
      <c r="K7" s="776"/>
      <c r="L7" s="774" t="s">
        <v>266</v>
      </c>
      <c r="M7" s="201">
        <v>110.25000000000001</v>
      </c>
    </row>
    <row r="8">
      <c r="A8" s="774" t="str">
        <f>'Semana 1'!M40</f>
        <v>Abdominal Canoa</v>
      </c>
      <c r="B8" s="201">
        <f t="shared" si="1"/>
        <v>0</v>
      </c>
      <c r="D8" s="740">
        <f>'Semana 1'!F40</f>
        <v>10</v>
      </c>
      <c r="E8" s="775"/>
      <c r="F8" s="774" t="str">
        <f>'Semana 1'!N40</f>
        <v/>
      </c>
      <c r="G8" s="774" t="str">
        <f>'Semana 1'!J40</f>
        <v/>
      </c>
      <c r="H8" s="776"/>
      <c r="I8" s="774" t="str">
        <f>IFERROR(__xludf.DUMMYFUNCTION("""COMPUTED_VALUE"""),"Elevação Pélvica")</f>
        <v>Elevação Pélvica</v>
      </c>
      <c r="J8" s="201">
        <f>IFERROR(__xludf.DUMMYFUNCTION("""COMPUTED_VALUE"""),110.0)</f>
        <v>110</v>
      </c>
      <c r="K8" s="776"/>
      <c r="L8" s="774" t="s">
        <v>266</v>
      </c>
      <c r="M8" s="201">
        <v>110.0</v>
      </c>
    </row>
    <row r="9">
      <c r="A9" s="774" t="str">
        <f>'Semana 1'!M42</f>
        <v>Lat PullDown</v>
      </c>
      <c r="B9" s="201">
        <f t="shared" si="1"/>
        <v>0</v>
      </c>
      <c r="D9" s="740">
        <f>'Semana 1'!F42</f>
        <v>10</v>
      </c>
      <c r="E9" s="775"/>
      <c r="F9" s="774" t="str">
        <f>'Semana 1'!N42</f>
        <v/>
      </c>
      <c r="G9" s="774" t="str">
        <f>'Semana 1'!J42</f>
        <v/>
      </c>
      <c r="H9" s="776"/>
      <c r="I9" s="774" t="str">
        <f>IFERROR(__xludf.DUMMYFUNCTION("""COMPUTED_VALUE"""),"Stiff")</f>
        <v>Stiff</v>
      </c>
      <c r="J9" s="201">
        <f>IFERROR(__xludf.DUMMYFUNCTION("""COMPUTED_VALUE"""),100.0)</f>
        <v>100</v>
      </c>
      <c r="K9" s="776"/>
      <c r="L9" s="774" t="s">
        <v>261</v>
      </c>
      <c r="M9" s="201">
        <v>100.0</v>
      </c>
    </row>
    <row r="10">
      <c r="A10" s="774" t="str">
        <f>'Semana 1'!M44</f>
        <v>Rosca Direta</v>
      </c>
      <c r="B10" s="201">
        <f t="shared" si="1"/>
        <v>0</v>
      </c>
      <c r="D10" s="740">
        <f>'Semana 1'!F44</f>
        <v>10</v>
      </c>
      <c r="E10" s="775"/>
      <c r="F10" s="774" t="str">
        <f>'Semana 1'!N44</f>
        <v/>
      </c>
      <c r="G10" s="774" t="str">
        <f>'Semana 1'!J44</f>
        <v/>
      </c>
      <c r="H10" s="776"/>
      <c r="I10" s="774" t="str">
        <f>IFERROR(__xludf.DUMMYFUNCTION("""COMPUTED_VALUE"""),"Stiff")</f>
        <v>Stiff</v>
      </c>
      <c r="J10" s="201">
        <f>IFERROR(__xludf.DUMMYFUNCTION("""COMPUTED_VALUE"""),99.22500000000001)</f>
        <v>99.225</v>
      </c>
      <c r="K10" s="776"/>
      <c r="L10" s="774" t="s">
        <v>261</v>
      </c>
      <c r="M10" s="201">
        <v>99.22500000000001</v>
      </c>
    </row>
    <row r="11">
      <c r="A11" s="774" t="str">
        <f>'Semana 1'!M46</f>
        <v>Esteira</v>
      </c>
      <c r="B11" s="201">
        <f t="shared" si="1"/>
        <v>0</v>
      </c>
      <c r="D11" s="740" t="str">
        <f>'Semana 1'!F46</f>
        <v/>
      </c>
      <c r="E11" s="775"/>
      <c r="F11" s="774" t="str">
        <f>'Semana 1'!N46</f>
        <v/>
      </c>
      <c r="G11" s="774" t="str">
        <f>'Semana 1'!J46</f>
        <v/>
      </c>
      <c r="H11" s="776"/>
      <c r="I11" s="774" t="str">
        <f>IFERROR(__xludf.DUMMYFUNCTION("""COMPUTED_VALUE"""),"Agachamento")</f>
        <v>Agachamento</v>
      </c>
      <c r="J11" s="201">
        <f>IFERROR(__xludf.DUMMYFUNCTION("""COMPUTED_VALUE"""),90.0)</f>
        <v>90</v>
      </c>
      <c r="K11" s="776"/>
      <c r="L11" s="774" t="s">
        <v>259</v>
      </c>
      <c r="M11" s="201">
        <v>90.0</v>
      </c>
    </row>
    <row r="12">
      <c r="A12" s="774" t="str">
        <f>'Semana 1'!M48</f>
        <v/>
      </c>
      <c r="B12" s="201">
        <f t="shared" si="1"/>
        <v>0</v>
      </c>
      <c r="D12" s="740" t="str">
        <f>'Semana 1'!F48</f>
        <v/>
      </c>
      <c r="E12" s="775"/>
      <c r="F12" s="774" t="str">
        <f>'Semana 1'!N48</f>
        <v/>
      </c>
      <c r="G12" s="774" t="str">
        <f>'Semana 1'!J48</f>
        <v/>
      </c>
      <c r="H12" s="776"/>
      <c r="I12" s="774" t="str">
        <f>IFERROR(__xludf.DUMMYFUNCTION("""COMPUTED_VALUE"""),"Agachamento")</f>
        <v>Agachamento</v>
      </c>
      <c r="J12" s="201">
        <f>IFERROR(__xludf.DUMMYFUNCTION("""COMPUTED_VALUE"""),88.2)</f>
        <v>88.2</v>
      </c>
      <c r="K12" s="776"/>
      <c r="L12" s="774" t="s">
        <v>259</v>
      </c>
      <c r="M12" s="201">
        <v>88.2</v>
      </c>
    </row>
    <row r="13">
      <c r="A13" s="774" t="str">
        <f>'Semana 1'!M50</f>
        <v/>
      </c>
      <c r="B13" s="201">
        <f t="shared" si="1"/>
        <v>0</v>
      </c>
      <c r="D13" s="740" t="str">
        <f>'Semana 1'!F50</f>
        <v/>
      </c>
      <c r="E13" s="775"/>
      <c r="F13" s="774" t="str">
        <f>'Semana 1'!N50</f>
        <v/>
      </c>
      <c r="G13" s="774" t="str">
        <f>'Semana 1'!J50</f>
        <v/>
      </c>
      <c r="H13" s="776"/>
      <c r="I13" s="774" t="str">
        <f>IFERROR(__xludf.DUMMYFUNCTION("""COMPUTED_VALUE"""),"Levantamento Terra")</f>
        <v>Levantamento Terra</v>
      </c>
      <c r="J13" s="201">
        <f>IFERROR(__xludf.DUMMYFUNCTION("""COMPUTED_VALUE"""),78.0)</f>
        <v>78</v>
      </c>
      <c r="K13" s="776"/>
      <c r="L13" s="774" t="s">
        <v>265</v>
      </c>
      <c r="M13" s="201">
        <v>78.0</v>
      </c>
    </row>
    <row r="14">
      <c r="A14" s="774" t="str">
        <f>'Semana 1'!M52</f>
        <v/>
      </c>
      <c r="B14" s="201">
        <f t="shared" si="1"/>
        <v>0</v>
      </c>
      <c r="D14" s="740" t="str">
        <f>'Semana 1'!F52</f>
        <v/>
      </c>
      <c r="E14" s="775"/>
      <c r="F14" s="774" t="str">
        <f>'Semana 1'!N52</f>
        <v/>
      </c>
      <c r="G14" s="774" t="str">
        <f>'Semana 1'!J52</f>
        <v/>
      </c>
      <c r="H14" s="776"/>
      <c r="I14" s="774" t="str">
        <f>IFERROR(__xludf.DUMMYFUNCTION("""COMPUTED_VALUE"""),"Banco Sóleo")</f>
        <v>Banco Sóleo</v>
      </c>
      <c r="J14" s="201">
        <f>IFERROR(__xludf.DUMMYFUNCTION("""COMPUTED_VALUE"""),78.0)</f>
        <v>78</v>
      </c>
      <c r="K14" s="776"/>
      <c r="L14" s="774" t="s">
        <v>282</v>
      </c>
      <c r="M14" s="201">
        <v>78.0</v>
      </c>
    </row>
    <row r="15">
      <c r="A15" s="774" t="str">
        <f>'Semana 1'!M54</f>
        <v/>
      </c>
      <c r="B15" s="201">
        <f t="shared" si="1"/>
        <v>0</v>
      </c>
      <c r="D15" s="740" t="str">
        <f>'Semana 1'!F54</f>
        <v/>
      </c>
      <c r="E15" s="775"/>
      <c r="F15" s="774" t="str">
        <f>'Semana 1'!N54</f>
        <v/>
      </c>
      <c r="G15" s="774" t="str">
        <f>'Semana 1'!J54</f>
        <v/>
      </c>
      <c r="H15" s="776"/>
      <c r="I15" s="774" t="str">
        <f>IFERROR(__xludf.DUMMYFUNCTION("""COMPUTED_VALUE"""),"Levantamento Terra")</f>
        <v>Levantamento Terra</v>
      </c>
      <c r="J15" s="201">
        <f>IFERROR(__xludf.DUMMYFUNCTION("""COMPUTED_VALUE"""),77.17500000000001)</f>
        <v>77.175</v>
      </c>
      <c r="K15" s="776"/>
      <c r="L15" s="774" t="s">
        <v>265</v>
      </c>
      <c r="M15" s="201">
        <v>77.17500000000001</v>
      </c>
    </row>
    <row r="16">
      <c r="A16" s="774" t="str">
        <f>'Semana 1'!M56</f>
        <v/>
      </c>
      <c r="B16" s="201">
        <f t="shared" si="1"/>
        <v>0</v>
      </c>
      <c r="D16" s="740" t="str">
        <f>'Semana 1'!F56</f>
        <v/>
      </c>
      <c r="E16" s="775"/>
      <c r="F16" s="774" t="str">
        <f>'Semana 1'!N56</f>
        <v/>
      </c>
      <c r="G16" s="774" t="str">
        <f>'Semana 1'!J56</f>
        <v/>
      </c>
      <c r="H16" s="776"/>
      <c r="I16" s="774" t="str">
        <f>IFERROR(__xludf.DUMMYFUNCTION("""COMPUTED_VALUE"""),"Banco Sóleo")</f>
        <v>Banco Sóleo</v>
      </c>
      <c r="J16" s="201">
        <f>IFERROR(__xludf.DUMMYFUNCTION("""COMPUTED_VALUE"""),77.17500000000001)</f>
        <v>77.175</v>
      </c>
      <c r="K16" s="776"/>
      <c r="L16" s="774" t="s">
        <v>282</v>
      </c>
      <c r="M16" s="201">
        <v>77.17500000000001</v>
      </c>
    </row>
    <row r="17">
      <c r="A17" s="774" t="str">
        <f>'Semana 1'!M58</f>
        <v/>
      </c>
      <c r="B17" s="201">
        <f t="shared" si="1"/>
        <v>0</v>
      </c>
      <c r="D17" s="740" t="str">
        <f>'Semana 1'!F58</f>
        <v/>
      </c>
      <c r="E17" s="775"/>
      <c r="F17" s="774" t="str">
        <f>'Semana 1'!N58</f>
        <v/>
      </c>
      <c r="G17" s="774" t="str">
        <f>'Semana 1'!J58</f>
        <v/>
      </c>
      <c r="H17" s="776"/>
      <c r="I17" s="774" t="str">
        <f>IFERROR(__xludf.DUMMYFUNCTION("""COMPUTED_VALUE"""),"Remada Frontal Máquina")</f>
        <v>Remada Frontal Máquina</v>
      </c>
      <c r="J17" s="201">
        <f>IFERROR(__xludf.DUMMYFUNCTION("""COMPUTED_VALUE"""),68.0)</f>
        <v>68</v>
      </c>
      <c r="K17" s="776"/>
      <c r="L17" s="774" t="s">
        <v>277</v>
      </c>
      <c r="M17" s="201">
        <v>68.0</v>
      </c>
    </row>
    <row r="18">
      <c r="A18" s="774" t="str">
        <f>'Semana 1'!M60</f>
        <v/>
      </c>
      <c r="B18" s="201">
        <f t="shared" si="1"/>
        <v>0</v>
      </c>
      <c r="D18" s="740" t="str">
        <f>'Semana 1'!F60</f>
        <v/>
      </c>
      <c r="E18" s="775"/>
      <c r="F18" s="774" t="str">
        <f>'Semana 1'!N60</f>
        <v/>
      </c>
      <c r="G18" s="774" t="str">
        <f>'Semana 1'!J60</f>
        <v/>
      </c>
      <c r="H18" s="776"/>
      <c r="I18" s="774" t="str">
        <f>IFERROR(__xludf.DUMMYFUNCTION("""COMPUTED_VALUE"""),"Remada Frontal Máquina")</f>
        <v>Remada Frontal Máquina</v>
      </c>
      <c r="J18" s="201">
        <f>IFERROR(__xludf.DUMMYFUNCTION("""COMPUTED_VALUE"""),66.15)</f>
        <v>66.15</v>
      </c>
      <c r="K18" s="776"/>
      <c r="L18" s="774" t="s">
        <v>277</v>
      </c>
      <c r="M18" s="201">
        <v>66.15</v>
      </c>
    </row>
    <row r="19">
      <c r="A19" s="774" t="str">
        <f>'Semana 1'!M62</f>
        <v/>
      </c>
      <c r="B19" s="201">
        <f t="shared" si="1"/>
        <v>0</v>
      </c>
      <c r="D19" s="740" t="str">
        <f>'Semana 1'!F62</f>
        <v/>
      </c>
      <c r="E19" s="775"/>
      <c r="F19" s="774" t="str">
        <f>'Semana 1'!N62</f>
        <v/>
      </c>
      <c r="G19" s="774" t="str">
        <f>'Semana 1'!J62</f>
        <v/>
      </c>
      <c r="H19" s="776"/>
      <c r="I19" s="774" t="str">
        <f>IFERROR(__xludf.DUMMYFUNCTION("""COMPUTED_VALUE"""),"Supino")</f>
        <v>Supino</v>
      </c>
      <c r="J19" s="201">
        <f>IFERROR(__xludf.DUMMYFUNCTION("""COMPUTED_VALUE"""),60.0)</f>
        <v>60</v>
      </c>
      <c r="K19" s="776"/>
      <c r="L19" s="774" t="s">
        <v>278</v>
      </c>
      <c r="M19" s="201">
        <v>60.0</v>
      </c>
    </row>
    <row r="20">
      <c r="A20" s="774" t="str">
        <f>'Semana 1'!M64</f>
        <v/>
      </c>
      <c r="B20" s="201">
        <f t="shared" si="1"/>
        <v>0</v>
      </c>
      <c r="D20" s="740" t="str">
        <f>'Semana 1'!F64</f>
        <v/>
      </c>
      <c r="E20" s="775"/>
      <c r="F20" s="774" t="str">
        <f>'Semana 1'!N64</f>
        <v/>
      </c>
      <c r="G20" s="774" t="str">
        <f>'Semana 1'!J64</f>
        <v/>
      </c>
      <c r="H20" s="776"/>
      <c r="I20" s="774" t="str">
        <f>IFERROR(__xludf.DUMMYFUNCTION("""COMPUTED_VALUE"""),"Supino")</f>
        <v>Supino</v>
      </c>
      <c r="J20" s="201">
        <f>IFERROR(__xludf.DUMMYFUNCTION("""COMPUTED_VALUE"""),59.535000000000004)</f>
        <v>59.535</v>
      </c>
      <c r="K20" s="776"/>
      <c r="L20" s="774" t="s">
        <v>278</v>
      </c>
      <c r="M20" s="201">
        <v>59.535000000000004</v>
      </c>
    </row>
    <row r="21">
      <c r="A21" s="774" t="str">
        <f>'Semana 1'!AD26</f>
        <v>Stiff</v>
      </c>
      <c r="B21" s="201">
        <f t="shared" si="1"/>
        <v>0</v>
      </c>
      <c r="D21" s="740">
        <f>'Semana 1'!W26</f>
        <v>10</v>
      </c>
      <c r="E21" s="775"/>
      <c r="F21" s="774" t="str">
        <f>'Semana 1'!AE26</f>
        <v/>
      </c>
      <c r="G21" s="774" t="str">
        <f>'Semana 1'!AA26</f>
        <v/>
      </c>
      <c r="H21" s="776"/>
      <c r="I21" s="774" t="str">
        <f>IFERROR(__xludf.DUMMYFUNCTION("""COMPUTED_VALUE"""),"Supino Inclinado")</f>
        <v>Supino Inclinado</v>
      </c>
      <c r="J21" s="201">
        <f>IFERROR(__xludf.DUMMYFUNCTION("""COMPUTED_VALUE"""),50.0)</f>
        <v>50</v>
      </c>
      <c r="K21" s="776"/>
      <c r="L21" s="774" t="s">
        <v>286</v>
      </c>
      <c r="M21" s="201">
        <v>50.0</v>
      </c>
    </row>
    <row r="22">
      <c r="A22" s="774" t="str">
        <f>'Semana 1'!AD28</f>
        <v>Prancha</v>
      </c>
      <c r="B22" s="201">
        <f t="shared" si="1"/>
        <v>0</v>
      </c>
      <c r="D22" s="740">
        <f>'Semana 1'!W28</f>
        <v>45</v>
      </c>
      <c r="E22" s="775"/>
      <c r="F22" s="774" t="str">
        <f>'Semana 1'!AE28</f>
        <v/>
      </c>
      <c r="G22" s="774" t="str">
        <f>'Semana 1'!AA28</f>
        <v/>
      </c>
      <c r="H22" s="776"/>
      <c r="I22" s="774" t="str">
        <f>IFERROR(__xludf.DUMMYFUNCTION("""COMPUTED_VALUE"""),"Supino Inclinado")</f>
        <v>Supino Inclinado</v>
      </c>
      <c r="J22" s="201">
        <f>IFERROR(__xludf.DUMMYFUNCTION("""COMPUTED_VALUE"""),48.510000000000005)</f>
        <v>48.51</v>
      </c>
      <c r="K22" s="776"/>
      <c r="L22" s="774" t="s">
        <v>286</v>
      </c>
      <c r="M22" s="201">
        <v>48.510000000000005</v>
      </c>
    </row>
    <row r="23">
      <c r="A23" s="774" t="str">
        <f>'Semana 1'!AD30</f>
        <v>Cadeira Abdutora</v>
      </c>
      <c r="B23" s="201">
        <f t="shared" si="1"/>
        <v>0</v>
      </c>
      <c r="D23" s="740">
        <f>'Semana 1'!W30</f>
        <v>10</v>
      </c>
      <c r="E23" s="775"/>
      <c r="F23" s="774" t="str">
        <f>'Semana 1'!AE30</f>
        <v/>
      </c>
      <c r="G23" s="774" t="str">
        <f>'Semana 1'!AA30</f>
        <v/>
      </c>
      <c r="H23" s="776"/>
      <c r="I23" s="774" t="str">
        <f>IFERROR(__xludf.DUMMYFUNCTION("""COMPUTED_VALUE"""),"Afundo")</f>
        <v>Afundo</v>
      </c>
      <c r="J23" s="201">
        <f>IFERROR(__xludf.DUMMYFUNCTION("""COMPUTED_VALUE"""),36.0)</f>
        <v>36</v>
      </c>
      <c r="K23" s="776"/>
      <c r="L23" s="774" t="s">
        <v>327</v>
      </c>
      <c r="M23" s="201">
        <v>36.0</v>
      </c>
    </row>
    <row r="24">
      <c r="A24" s="774" t="str">
        <f>'Semana 1'!AD32</f>
        <v>Extensão de quadril com elástico</v>
      </c>
      <c r="B24" s="201">
        <f t="shared" si="1"/>
        <v>0</v>
      </c>
      <c r="D24" s="740">
        <f>'Semana 1'!W32</f>
        <v>10</v>
      </c>
      <c r="E24" s="775"/>
      <c r="F24" s="774" t="str">
        <f>'Semana 1'!AE32</f>
        <v/>
      </c>
      <c r="G24" s="774" t="str">
        <f>'Semana 1'!AA32</f>
        <v/>
      </c>
      <c r="H24" s="776"/>
      <c r="I24" s="774" t="str">
        <f>IFERROR(__xludf.DUMMYFUNCTION("""COMPUTED_VALUE"""),"Afundo")</f>
        <v>Afundo</v>
      </c>
      <c r="J24" s="201">
        <f>IFERROR(__xludf.DUMMYFUNCTION("""COMPUTED_VALUE"""),35.28)</f>
        <v>35.28</v>
      </c>
      <c r="K24" s="776"/>
      <c r="L24" s="774" t="s">
        <v>327</v>
      </c>
      <c r="M24" s="201">
        <v>35.28</v>
      </c>
    </row>
    <row r="25">
      <c r="A25" s="774" t="str">
        <f>'Semana 1'!AD34</f>
        <v>Supino</v>
      </c>
      <c r="B25" s="201">
        <f t="shared" si="1"/>
        <v>0</v>
      </c>
      <c r="D25" s="740">
        <f>'Semana 1'!W34</f>
        <v>10</v>
      </c>
      <c r="E25" s="775"/>
      <c r="F25" s="774" t="str">
        <f>'Semana 1'!AE34</f>
        <v/>
      </c>
      <c r="G25" s="774" t="str">
        <f>'Semana 1'!AA34</f>
        <v/>
      </c>
      <c r="H25" s="776"/>
      <c r="I25" s="774" t="str">
        <f>IFERROR(__xludf.DUMMYFUNCTION("""COMPUTED_VALUE"""),"Rosca Direta")</f>
        <v>Rosca Direta</v>
      </c>
      <c r="J25" s="201">
        <f>IFERROR(__xludf.DUMMYFUNCTION("""COMPUTED_VALUE"""),20.0)</f>
        <v>20</v>
      </c>
      <c r="K25" s="776"/>
      <c r="L25" s="774" t="s">
        <v>299</v>
      </c>
      <c r="M25" s="201">
        <v>20.0</v>
      </c>
    </row>
    <row r="26">
      <c r="A26" s="774" t="str">
        <f>'Semana 1'!AD36</f>
        <v>Banco Sóleo</v>
      </c>
      <c r="B26" s="201">
        <f t="shared" si="1"/>
        <v>0</v>
      </c>
      <c r="D26" s="740">
        <f>'Semana 1'!W36</f>
        <v>10</v>
      </c>
      <c r="E26" s="775"/>
      <c r="F26" s="774" t="str">
        <f>'Semana 1'!AE36</f>
        <v/>
      </c>
      <c r="G26" s="774" t="str">
        <f>'Semana 1'!AA36</f>
        <v/>
      </c>
      <c r="H26" s="776"/>
      <c r="I26" s="774" t="str">
        <f>IFERROR(__xludf.DUMMYFUNCTION("""COMPUTED_VALUE"""),"Desenvolvimento Deltoide")</f>
        <v>Desenvolvimento Deltoide</v>
      </c>
      <c r="J26" s="201">
        <f>IFERROR(__xludf.DUMMYFUNCTION("""COMPUTED_VALUE"""),20.0)</f>
        <v>20</v>
      </c>
      <c r="K26" s="776"/>
      <c r="L26" s="774" t="s">
        <v>316</v>
      </c>
      <c r="M26" s="201">
        <v>20.0</v>
      </c>
    </row>
    <row r="27">
      <c r="A27" s="774" t="str">
        <f>'Semana 1'!AD38</f>
        <v>Supino Inclinado</v>
      </c>
      <c r="B27" s="201">
        <f t="shared" si="1"/>
        <v>0</v>
      </c>
      <c r="D27" s="740">
        <f>'Semana 1'!W38</f>
        <v>10</v>
      </c>
      <c r="E27" s="775"/>
      <c r="F27" s="774" t="str">
        <f>'Semana 1'!AE38</f>
        <v/>
      </c>
      <c r="G27" s="774" t="str">
        <f>'Semana 1'!AA38</f>
        <v/>
      </c>
      <c r="H27" s="776"/>
      <c r="I27" s="774" t="str">
        <f>IFERROR(__xludf.DUMMYFUNCTION("""COMPUTED_VALUE"""),"Rosca Direta")</f>
        <v>Rosca Direta</v>
      </c>
      <c r="J27" s="201">
        <f>IFERROR(__xludf.DUMMYFUNCTION("""COMPUTED_VALUE"""),19.845000000000002)</f>
        <v>19.845</v>
      </c>
      <c r="K27" s="776"/>
      <c r="L27" s="774" t="s">
        <v>299</v>
      </c>
      <c r="M27" s="201">
        <v>19.845000000000002</v>
      </c>
    </row>
    <row r="28">
      <c r="A28" s="774" t="str">
        <f>'Semana 1'!AD40</f>
        <v>Abdominal roda</v>
      </c>
      <c r="B28" s="201">
        <f t="shared" si="1"/>
        <v>0</v>
      </c>
      <c r="D28" s="740">
        <f>'Semana 1'!W40</f>
        <v>10</v>
      </c>
      <c r="E28" s="775"/>
      <c r="F28" s="774" t="str">
        <f>'Semana 1'!AE40</f>
        <v/>
      </c>
      <c r="G28" s="774" t="str">
        <f>'Semana 1'!AA40</f>
        <v/>
      </c>
      <c r="H28" s="776"/>
      <c r="I28" s="774" t="str">
        <f>IFERROR(__xludf.DUMMYFUNCTION("""COMPUTED_VALUE"""),"Desenvolvimento Deltoide")</f>
        <v>Desenvolvimento Deltoide</v>
      </c>
      <c r="J28" s="201">
        <f>IFERROR(__xludf.DUMMYFUNCTION("""COMPUTED_VALUE"""),19.845000000000002)</f>
        <v>19.845</v>
      </c>
      <c r="K28" s="776"/>
      <c r="L28" s="774" t="s">
        <v>316</v>
      </c>
      <c r="M28" s="201">
        <v>19.845000000000002</v>
      </c>
    </row>
    <row r="29">
      <c r="A29" s="774" t="str">
        <f>'Semana 1'!AD42</f>
        <v>Crucifixo</v>
      </c>
      <c r="B29" s="201">
        <f t="shared" si="1"/>
        <v>0</v>
      </c>
      <c r="D29" s="740">
        <f>'Semana 1'!W42</f>
        <v>10</v>
      </c>
      <c r="E29" s="775"/>
      <c r="F29" s="774" t="str">
        <f>'Semana 1'!AE42</f>
        <v/>
      </c>
      <c r="G29" s="774" t="str">
        <f>'Semana 1'!AA42</f>
        <v/>
      </c>
      <c r="H29" s="776"/>
      <c r="I29" s="774" t="str">
        <f>IFERROR(__xludf.DUMMYFUNCTION("""COMPUTED_VALUE"""),"Abdominal Reto")</f>
        <v>Abdominal Reto</v>
      </c>
      <c r="J29" s="201">
        <f>IFERROR(__xludf.DUMMYFUNCTION("""COMPUTED_VALUE"""),16.28894626777442)</f>
        <v>16.28894627</v>
      </c>
      <c r="K29" s="776"/>
      <c r="L29" s="774" t="s">
        <v>321</v>
      </c>
      <c r="M29" s="201">
        <v>16.28894626777442</v>
      </c>
    </row>
    <row r="30">
      <c r="A30" s="774" t="str">
        <f>'Semana 1'!AD44</f>
        <v>Tríceps Testa polia</v>
      </c>
      <c r="B30" s="201">
        <f t="shared" si="1"/>
        <v>0</v>
      </c>
      <c r="D30" s="740">
        <f>'Semana 1'!W44</f>
        <v>10</v>
      </c>
      <c r="E30" s="775"/>
      <c r="F30" s="774" t="str">
        <f>'Semana 1'!AE44</f>
        <v/>
      </c>
      <c r="G30" s="774" t="str">
        <f>'Semana 1'!AA44</f>
        <v/>
      </c>
      <c r="H30" s="776"/>
      <c r="I30" s="774" t="str">
        <f>IFERROR(__xludf.DUMMYFUNCTION("""COMPUTED_VALUE"""),"Abdominal Reto")</f>
        <v>Abdominal Reto</v>
      </c>
      <c r="J30" s="201">
        <f>IFERROR(__xludf.DUMMYFUNCTION("""COMPUTED_VALUE"""),16.28894626777442)</f>
        <v>16.28894627</v>
      </c>
      <c r="K30" s="776"/>
      <c r="L30" s="774" t="s">
        <v>271</v>
      </c>
      <c r="M30" s="201">
        <v>15.435</v>
      </c>
    </row>
    <row r="31">
      <c r="A31" s="774" t="str">
        <f>'Semana 1'!AD46</f>
        <v>Bicicleta</v>
      </c>
      <c r="B31" s="201">
        <f t="shared" si="1"/>
        <v>0</v>
      </c>
      <c r="D31" s="740" t="str">
        <f>'Semana 1'!W46</f>
        <v/>
      </c>
      <c r="E31" s="775"/>
      <c r="F31" s="774" t="str">
        <f>'Semana 1'!AE46</f>
        <v/>
      </c>
      <c r="G31" s="774" t="str">
        <f>'Semana 1'!AA46</f>
        <v/>
      </c>
      <c r="H31" s="776"/>
      <c r="I31" s="774" t="str">
        <f>IFERROR(__xludf.DUMMYFUNCTION("""COMPUTED_VALUE"""),"Cadeira Extensora")</f>
        <v>Cadeira Extensora</v>
      </c>
      <c r="J31" s="201">
        <f>IFERROR(__xludf.DUMMYFUNCTION("""COMPUTED_VALUE"""),15.435)</f>
        <v>15.435</v>
      </c>
      <c r="K31" s="776"/>
      <c r="L31" s="774" t="s">
        <v>275</v>
      </c>
      <c r="M31" s="201">
        <v>15.435</v>
      </c>
    </row>
    <row r="32">
      <c r="A32" s="774" t="str">
        <f>'Semana 1'!AD48</f>
        <v/>
      </c>
      <c r="B32" s="201">
        <f t="shared" si="1"/>
        <v>0</v>
      </c>
      <c r="D32" s="740" t="str">
        <f>'Semana 1'!W48</f>
        <v/>
      </c>
      <c r="E32" s="775"/>
      <c r="F32" s="774" t="str">
        <f>'Semana 1'!AE48</f>
        <v/>
      </c>
      <c r="G32" s="774" t="str">
        <f>'Semana 1'!AA48</f>
        <v/>
      </c>
      <c r="H32" s="776"/>
      <c r="I32" s="774" t="str">
        <f>IFERROR(__xludf.DUMMYFUNCTION("""COMPUTED_VALUE"""),"Cadeira Flexora")</f>
        <v>Cadeira Flexora</v>
      </c>
      <c r="J32" s="201">
        <f>IFERROR(__xludf.DUMMYFUNCTION("""COMPUTED_VALUE"""),15.435)</f>
        <v>15.435</v>
      </c>
      <c r="K32" s="776"/>
      <c r="L32" s="774" t="s">
        <v>271</v>
      </c>
      <c r="M32" s="201">
        <v>15.0</v>
      </c>
    </row>
    <row r="33">
      <c r="A33" s="774" t="str">
        <f>'Semana 1'!AD50</f>
        <v/>
      </c>
      <c r="B33" s="201">
        <f t="shared" si="1"/>
        <v>0</v>
      </c>
      <c r="D33" s="740" t="str">
        <f>'Semana 1'!W50</f>
        <v/>
      </c>
      <c r="E33" s="775"/>
      <c r="F33" s="774" t="str">
        <f>'Semana 1'!AE50</f>
        <v/>
      </c>
      <c r="G33" s="774" t="str">
        <f>'Semana 1'!AA50</f>
        <v/>
      </c>
      <c r="H33" s="776"/>
      <c r="I33" s="774" t="str">
        <f>IFERROR(__xludf.DUMMYFUNCTION("""COMPUTED_VALUE"""),"Cadeira Extensora")</f>
        <v>Cadeira Extensora</v>
      </c>
      <c r="J33" s="201">
        <f>IFERROR(__xludf.DUMMYFUNCTION("""COMPUTED_VALUE"""),15.0)</f>
        <v>15</v>
      </c>
      <c r="K33" s="776"/>
      <c r="L33" s="774" t="s">
        <v>275</v>
      </c>
      <c r="M33" s="201">
        <v>15.0</v>
      </c>
    </row>
    <row r="34">
      <c r="A34" s="774" t="str">
        <f>'Semana 1'!AD52</f>
        <v/>
      </c>
      <c r="B34" s="201">
        <f t="shared" si="1"/>
        <v>0</v>
      </c>
      <c r="D34" s="740" t="str">
        <f>'Semana 1'!W52</f>
        <v/>
      </c>
      <c r="E34" s="775"/>
      <c r="F34" s="774" t="str">
        <f>'Semana 1'!AE52</f>
        <v/>
      </c>
      <c r="G34" s="774" t="str">
        <f>'Semana 1'!AA52</f>
        <v/>
      </c>
      <c r="H34" s="776"/>
      <c r="I34" s="774" t="str">
        <f>IFERROR(__xludf.DUMMYFUNCTION("""COMPUTED_VALUE"""),"Cadeira Flexora")</f>
        <v>Cadeira Flexora</v>
      </c>
      <c r="J34" s="201">
        <f>IFERROR(__xludf.DUMMYFUNCTION("""COMPUTED_VALUE"""),15.0)</f>
        <v>15</v>
      </c>
      <c r="K34" s="776"/>
      <c r="L34" s="774" t="s">
        <v>331</v>
      </c>
      <c r="M34" s="201">
        <v>12.762815625000004</v>
      </c>
    </row>
    <row r="35">
      <c r="A35" s="774" t="str">
        <f>'Semana 1'!AD54</f>
        <v/>
      </c>
      <c r="B35" s="201">
        <f t="shared" si="1"/>
        <v>0</v>
      </c>
      <c r="D35" s="740" t="str">
        <f>'Semana 1'!W54</f>
        <v/>
      </c>
      <c r="E35" s="775"/>
      <c r="F35" s="774" t="str">
        <f>'Semana 1'!AE54</f>
        <v/>
      </c>
      <c r="G35" s="774" t="str">
        <f>'Semana 1'!AA54</f>
        <v/>
      </c>
      <c r="H35" s="776"/>
      <c r="I35" s="774" t="str">
        <f>IFERROR(__xludf.DUMMYFUNCTION("""COMPUTED_VALUE"""),"Abdominal canoa")</f>
        <v>Abdominal canoa</v>
      </c>
      <c r="J35" s="201">
        <f>IFERROR(__xludf.DUMMYFUNCTION("""COMPUTED_VALUE"""),12.762815625000004)</f>
        <v>12.76281563</v>
      </c>
      <c r="K35" s="776"/>
      <c r="L35" s="774" t="s">
        <v>332</v>
      </c>
      <c r="M35" s="201">
        <v>12.762815625000004</v>
      </c>
    </row>
    <row r="36">
      <c r="A36" s="774" t="str">
        <f>'Semana 1'!AD56</f>
        <v/>
      </c>
      <c r="B36" s="201">
        <f t="shared" si="1"/>
        <v>0</v>
      </c>
      <c r="D36" s="740" t="str">
        <f>'Semana 1'!W56</f>
        <v/>
      </c>
      <c r="E36" s="775"/>
      <c r="F36" s="774" t="str">
        <f>'Semana 1'!AE56</f>
        <v/>
      </c>
      <c r="G36" s="774" t="str">
        <f>'Semana 1'!AA56</f>
        <v/>
      </c>
      <c r="H36" s="776"/>
      <c r="I36" s="774" t="str">
        <f>IFERROR(__xludf.DUMMYFUNCTION("""COMPUTED_VALUE"""),"Abdominal Remador")</f>
        <v>Abdominal Remador</v>
      </c>
      <c r="J36" s="201">
        <f>IFERROR(__xludf.DUMMYFUNCTION("""COMPUTED_VALUE"""),12.762815625000004)</f>
        <v>12.76281563</v>
      </c>
      <c r="K36" s="776"/>
      <c r="L36" s="774" t="s">
        <v>291</v>
      </c>
      <c r="M36" s="201">
        <v>12.762815625000004</v>
      </c>
    </row>
    <row r="37">
      <c r="A37" s="774" t="str">
        <f>'Semana 1'!AD58</f>
        <v/>
      </c>
      <c r="B37" s="201">
        <f t="shared" si="1"/>
        <v>0</v>
      </c>
      <c r="D37" s="740" t="str">
        <f>'Semana 1'!W58</f>
        <v/>
      </c>
      <c r="E37" s="775"/>
      <c r="F37" s="774" t="str">
        <f>'Semana 1'!AE58</f>
        <v/>
      </c>
      <c r="G37" s="774" t="str">
        <f>'Semana 1'!AA58</f>
        <v/>
      </c>
      <c r="H37" s="776"/>
      <c r="I37" s="774" t="str">
        <f>IFERROR(__xludf.DUMMYFUNCTION("""COMPUTED_VALUE"""),"Abdominal roda")</f>
        <v>Abdominal roda</v>
      </c>
      <c r="J37" s="201">
        <f>IFERROR(__xludf.DUMMYFUNCTION("""COMPUTED_VALUE"""),12.762815625000004)</f>
        <v>12.76281563</v>
      </c>
      <c r="K37" s="776"/>
      <c r="L37" s="774" t="s">
        <v>324</v>
      </c>
      <c r="M37" s="201">
        <v>12.762815625000004</v>
      </c>
    </row>
    <row r="38">
      <c r="A38" s="774" t="str">
        <f>'Semana 1'!AD60</f>
        <v/>
      </c>
      <c r="B38" s="201">
        <f t="shared" si="1"/>
        <v>0</v>
      </c>
      <c r="D38" s="740" t="str">
        <f>'Semana 1'!W60</f>
        <v/>
      </c>
      <c r="E38" s="775"/>
      <c r="F38" s="774" t="str">
        <f>'Semana 1'!AE60</f>
        <v/>
      </c>
      <c r="G38" s="774" t="str">
        <f>'Semana 1'!AA60</f>
        <v/>
      </c>
      <c r="H38" s="776"/>
      <c r="I38" s="774" t="str">
        <f>IFERROR(__xludf.DUMMYFUNCTION("""COMPUTED_VALUE"""),"Abdominal canoa lateral")</f>
        <v>Abdominal canoa lateral</v>
      </c>
      <c r="J38" s="201">
        <f>IFERROR(__xludf.DUMMYFUNCTION("""COMPUTED_VALUE"""),12.762815625000004)</f>
        <v>12.76281563</v>
      </c>
      <c r="K38" s="776"/>
      <c r="L38" s="774" t="s">
        <v>328</v>
      </c>
      <c r="M38" s="201">
        <v>12.762815625000004</v>
      </c>
    </row>
    <row r="39">
      <c r="A39" s="774" t="str">
        <f>'Semana 1'!AD62</f>
        <v/>
      </c>
      <c r="B39" s="201">
        <f t="shared" si="1"/>
        <v>0</v>
      </c>
      <c r="D39" s="740" t="str">
        <f>'Semana 1'!W62</f>
        <v/>
      </c>
      <c r="E39" s="775"/>
      <c r="F39" s="774" t="str">
        <f>'Semana 1'!AE62</f>
        <v/>
      </c>
      <c r="G39" s="774" t="str">
        <f>'Semana 1'!AA62</f>
        <v/>
      </c>
      <c r="H39" s="776"/>
      <c r="I39" s="774" t="str">
        <f>IFERROR(__xludf.DUMMYFUNCTION("""COMPUTED_VALUE"""),"Superman")</f>
        <v>Superman</v>
      </c>
      <c r="J39" s="201">
        <f>IFERROR(__xludf.DUMMYFUNCTION("""COMPUTED_VALUE"""),12.762815625000004)</f>
        <v>12.76281563</v>
      </c>
      <c r="K39" s="776"/>
      <c r="L39" s="774" t="s">
        <v>325</v>
      </c>
      <c r="M39" s="201">
        <v>12.762815625000004</v>
      </c>
    </row>
    <row r="40">
      <c r="A40" s="774" t="str">
        <f>'Semana 1'!AD64</f>
        <v/>
      </c>
      <c r="B40" s="201">
        <f t="shared" si="1"/>
        <v>0</v>
      </c>
      <c r="D40" s="740" t="str">
        <f>'Semana 1'!W64</f>
        <v/>
      </c>
      <c r="E40" s="775"/>
      <c r="F40" s="774" t="str">
        <f>'Semana 1'!AE64</f>
        <v/>
      </c>
      <c r="G40" s="774" t="str">
        <f>'Semana 1'!AA64</f>
        <v/>
      </c>
      <c r="H40" s="776"/>
      <c r="I40" s="774" t="str">
        <f>IFERROR(__xludf.DUMMYFUNCTION("""COMPUTED_VALUE"""),"Abdominal infra no solo")</f>
        <v>Abdominal infra no solo</v>
      </c>
      <c r="J40" s="201">
        <f>IFERROR(__xludf.DUMMYFUNCTION("""COMPUTED_VALUE"""),12.762815625000004)</f>
        <v>12.76281563</v>
      </c>
      <c r="K40" s="776"/>
      <c r="L40" s="774" t="s">
        <v>329</v>
      </c>
      <c r="M40" s="201">
        <v>12.762815625000004</v>
      </c>
    </row>
    <row r="41">
      <c r="A41" s="774" t="str">
        <f>'Semana 1'!AU26</f>
        <v>Pista</v>
      </c>
      <c r="B41" s="201">
        <f t="shared" si="1"/>
        <v>0</v>
      </c>
      <c r="D41" s="740" t="str">
        <f>'Semana 1'!AN26</f>
        <v/>
      </c>
      <c r="E41" s="775"/>
      <c r="F41" s="774" t="str">
        <f>'Semana 1'!AV26</f>
        <v/>
      </c>
      <c r="G41" s="774" t="str">
        <f>'Semana 1'!AR26</f>
        <v/>
      </c>
      <c r="H41" s="776"/>
      <c r="I41" s="774" t="str">
        <f>IFERROR(__xludf.DUMMYFUNCTION("""COMPUTED_VALUE"""),"Abdominal Bicicleta")</f>
        <v>Abdominal Bicicleta</v>
      </c>
      <c r="J41" s="201">
        <f>IFERROR(__xludf.DUMMYFUNCTION("""COMPUTED_VALUE"""),12.762815625000004)</f>
        <v>12.76281563</v>
      </c>
      <c r="K41" s="776"/>
      <c r="L41" s="774" t="s">
        <v>305</v>
      </c>
      <c r="M41" s="201">
        <v>11.025</v>
      </c>
    </row>
    <row r="42">
      <c r="A42" s="774" t="str">
        <f>'Semana 1'!AU28</f>
        <v/>
      </c>
      <c r="B42" s="201">
        <f t="shared" si="1"/>
        <v>0</v>
      </c>
      <c r="D42" s="740" t="str">
        <f>'Semana 1'!AN28</f>
        <v/>
      </c>
      <c r="E42" s="775"/>
      <c r="F42" s="774" t="str">
        <f>'Semana 1'!AV28</f>
        <v/>
      </c>
      <c r="G42" s="774" t="str">
        <f>'Semana 1'!AR28</f>
        <v/>
      </c>
      <c r="H42" s="776"/>
      <c r="I42" s="774" t="str">
        <f>IFERROR(__xludf.DUMMYFUNCTION("""COMPUTED_VALUE"""),"Abdominal canoa")</f>
        <v>Abdominal canoa</v>
      </c>
      <c r="J42" s="201">
        <f>IFERROR(__xludf.DUMMYFUNCTION("""COMPUTED_VALUE"""),12.762815625000004)</f>
        <v>12.76281563</v>
      </c>
      <c r="K42" s="776"/>
      <c r="L42" s="774" t="s">
        <v>305</v>
      </c>
      <c r="M42" s="201">
        <v>11.0</v>
      </c>
    </row>
    <row r="43">
      <c r="A43" s="774" t="str">
        <f>'Semana 1'!AU30</f>
        <v/>
      </c>
      <c r="B43" s="201">
        <f t="shared" si="1"/>
        <v>0</v>
      </c>
      <c r="D43" s="740" t="str">
        <f>'Semana 1'!AN30</f>
        <v/>
      </c>
      <c r="E43" s="775"/>
      <c r="F43" s="774" t="str">
        <f>'Semana 1'!AV30</f>
        <v/>
      </c>
      <c r="G43" s="774" t="str">
        <f>'Semana 1'!AR30</f>
        <v/>
      </c>
      <c r="H43" s="776"/>
      <c r="I43" s="774" t="str">
        <f>IFERROR(__xludf.DUMMYFUNCTION("""COMPUTED_VALUE"""),"Abdominal Remador")</f>
        <v>Abdominal Remador</v>
      </c>
      <c r="J43" s="201">
        <f>IFERROR(__xludf.DUMMYFUNCTION("""COMPUTED_VALUE"""),12.762815625000004)</f>
        <v>12.76281563</v>
      </c>
      <c r="K43" s="776"/>
      <c r="L43" s="774" t="s">
        <v>315</v>
      </c>
      <c r="M43" s="201">
        <v>10.0</v>
      </c>
    </row>
    <row r="44">
      <c r="A44" s="774" t="str">
        <f>'Semana 1'!AU32</f>
        <v/>
      </c>
      <c r="B44" s="201">
        <f t="shared" si="1"/>
        <v>0</v>
      </c>
      <c r="D44" s="740" t="str">
        <f>'Semana 1'!AN32</f>
        <v/>
      </c>
      <c r="E44" s="775"/>
      <c r="F44" s="774" t="str">
        <f>'Semana 1'!AV32</f>
        <v/>
      </c>
      <c r="G44" s="774" t="str">
        <f>'Semana 1'!AR32</f>
        <v/>
      </c>
      <c r="H44" s="776"/>
      <c r="I44" s="774" t="str">
        <f>IFERROR(__xludf.DUMMYFUNCTION("""COMPUTED_VALUE"""),"Abdominal roda")</f>
        <v>Abdominal roda</v>
      </c>
      <c r="J44" s="201">
        <f>IFERROR(__xludf.DUMMYFUNCTION("""COMPUTED_VALUE"""),12.762815625000004)</f>
        <v>12.76281563</v>
      </c>
      <c r="K44" s="776"/>
      <c r="L44" s="774" t="s">
        <v>320</v>
      </c>
      <c r="M44" s="201">
        <v>10.0</v>
      </c>
    </row>
    <row r="45">
      <c r="A45" s="774" t="str">
        <f>'Semana 1'!AU34</f>
        <v/>
      </c>
      <c r="B45" s="201">
        <f t="shared" si="1"/>
        <v>0</v>
      </c>
      <c r="D45" s="740" t="str">
        <f>'Semana 1'!AN34</f>
        <v/>
      </c>
      <c r="E45" s="775"/>
      <c r="F45" s="774" t="str">
        <f>'Semana 1'!AV34</f>
        <v/>
      </c>
      <c r="G45" s="774" t="str">
        <f>'Semana 1'!AR34</f>
        <v/>
      </c>
      <c r="H45" s="776"/>
      <c r="I45" s="774" t="str">
        <f>IFERROR(__xludf.DUMMYFUNCTION("""COMPUTED_VALUE"""),"Abdominal canoa lateral")</f>
        <v>Abdominal canoa lateral</v>
      </c>
      <c r="J45" s="201">
        <f>IFERROR(__xludf.DUMMYFUNCTION("""COMPUTED_VALUE"""),12.762815625000004)</f>
        <v>12.76281563</v>
      </c>
      <c r="K45" s="776"/>
      <c r="L45" s="774" t="s">
        <v>323</v>
      </c>
      <c r="M45" s="201">
        <v>10.0</v>
      </c>
    </row>
    <row r="46">
      <c r="A46" s="774" t="str">
        <f>'Semana 1'!AU36</f>
        <v/>
      </c>
      <c r="B46" s="201">
        <f t="shared" si="1"/>
        <v>0</v>
      </c>
      <c r="D46" s="740" t="str">
        <f>'Semana 1'!AN36</f>
        <v/>
      </c>
      <c r="E46" s="775"/>
      <c r="F46" s="774" t="str">
        <f>'Semana 1'!AV36</f>
        <v/>
      </c>
      <c r="G46" s="774" t="str">
        <f>'Semana 1'!AR36</f>
        <v/>
      </c>
      <c r="H46" s="776"/>
      <c r="I46" s="774" t="str">
        <f>IFERROR(__xludf.DUMMYFUNCTION("""COMPUTED_VALUE"""),"Superman")</f>
        <v>Superman</v>
      </c>
      <c r="J46" s="201">
        <f>IFERROR(__xludf.DUMMYFUNCTION("""COMPUTED_VALUE"""),12.762815625000004)</f>
        <v>12.76281563</v>
      </c>
      <c r="K46" s="776"/>
      <c r="L46" s="774" t="s">
        <v>319</v>
      </c>
      <c r="M46" s="201">
        <v>10.0</v>
      </c>
    </row>
    <row r="47">
      <c r="A47" s="774" t="str">
        <f>'Semana 1'!AU38</f>
        <v/>
      </c>
      <c r="B47" s="201">
        <f t="shared" si="1"/>
        <v>0</v>
      </c>
      <c r="D47" s="740" t="str">
        <f>'Semana 1'!AN38</f>
        <v/>
      </c>
      <c r="E47" s="775"/>
      <c r="F47" s="774" t="str">
        <f>'Semana 1'!AV38</f>
        <v/>
      </c>
      <c r="G47" s="774" t="str">
        <f>'Semana 1'!AR38</f>
        <v/>
      </c>
      <c r="H47" s="776"/>
      <c r="I47" s="774" t="str">
        <f>IFERROR(__xludf.DUMMYFUNCTION("""COMPUTED_VALUE"""),"Abdominal infra no solo")</f>
        <v>Abdominal infra no solo</v>
      </c>
      <c r="J47" s="201">
        <f>IFERROR(__xludf.DUMMYFUNCTION("""COMPUTED_VALUE"""),12.762815625000004)</f>
        <v>12.76281563</v>
      </c>
      <c r="K47" s="776"/>
      <c r="L47" s="774" t="s">
        <v>270</v>
      </c>
      <c r="M47" s="201">
        <v>9.070294784580499</v>
      </c>
    </row>
    <row r="48">
      <c r="A48" s="774" t="str">
        <f>'Semana 1'!AU40</f>
        <v/>
      </c>
      <c r="B48" s="201">
        <f t="shared" si="1"/>
        <v>0</v>
      </c>
      <c r="D48" s="740" t="str">
        <f>'Semana 1'!AN40</f>
        <v/>
      </c>
      <c r="E48" s="775"/>
      <c r="F48" s="774" t="str">
        <f>'Semana 1'!AV40</f>
        <v/>
      </c>
      <c r="G48" s="774" t="str">
        <f>'Semana 1'!AR40</f>
        <v/>
      </c>
      <c r="H48" s="776"/>
      <c r="I48" s="774" t="str">
        <f>IFERROR(__xludf.DUMMYFUNCTION("""COMPUTED_VALUE"""),"Abdominal Bicicleta")</f>
        <v>Abdominal Bicicleta</v>
      </c>
      <c r="J48" s="201">
        <f>IFERROR(__xludf.DUMMYFUNCTION("""COMPUTED_VALUE"""),12.762815625000004)</f>
        <v>12.76281563</v>
      </c>
      <c r="K48" s="776"/>
      <c r="L48" s="774" t="s">
        <v>317</v>
      </c>
      <c r="M48" s="201">
        <v>9.070294784580499</v>
      </c>
    </row>
    <row r="49">
      <c r="A49" s="774" t="str">
        <f>'Semana 1'!AU42</f>
        <v/>
      </c>
      <c r="B49" s="201">
        <f t="shared" si="1"/>
        <v>0</v>
      </c>
      <c r="D49" s="740" t="str">
        <f>'Semana 1'!AN42</f>
        <v/>
      </c>
      <c r="E49" s="775"/>
      <c r="F49" s="774" t="str">
        <f>'Semana 1'!AV42</f>
        <v/>
      </c>
      <c r="G49" s="774" t="str">
        <f>'Semana 1'!AR42</f>
        <v/>
      </c>
      <c r="H49" s="776"/>
      <c r="I49" s="774" t="str">
        <f>IFERROR(__xludf.DUMMYFUNCTION("""COMPUTED_VALUE"""),"Remada Horizontal com Movimentação do Tronco")</f>
        <v>Remada Horizontal com Movimentação do Tronco</v>
      </c>
      <c r="J49" s="201">
        <f>IFERROR(__xludf.DUMMYFUNCTION("""COMPUTED_VALUE"""),11.025)</f>
        <v>11.025</v>
      </c>
      <c r="K49" s="776"/>
      <c r="L49" s="774" t="s">
        <v>285</v>
      </c>
      <c r="M49" s="201">
        <v>9.0</v>
      </c>
    </row>
    <row r="50">
      <c r="A50" s="774" t="str">
        <f>'Semana 1'!AU44</f>
        <v/>
      </c>
      <c r="B50" s="201">
        <f t="shared" si="1"/>
        <v>0</v>
      </c>
      <c r="D50" s="740" t="str">
        <f>'Semana 1'!AN44</f>
        <v/>
      </c>
      <c r="E50" s="775"/>
      <c r="F50" s="774" t="str">
        <f>'Semana 1'!AV44</f>
        <v/>
      </c>
      <c r="G50" s="774" t="str">
        <f>'Semana 1'!AR44</f>
        <v/>
      </c>
      <c r="H50" s="776"/>
      <c r="I50" s="774" t="str">
        <f>IFERROR(__xludf.DUMMYFUNCTION("""COMPUTED_VALUE"""),"Remada Horizontal com Movimentação do Tronco")</f>
        <v>Remada Horizontal com Movimentação do Tronco</v>
      </c>
      <c r="J50" s="201">
        <f>IFERROR(__xludf.DUMMYFUNCTION("""COMPUTED_VALUE"""),11.0)</f>
        <v>11</v>
      </c>
      <c r="K50" s="776"/>
      <c r="L50" s="774" t="s">
        <v>285</v>
      </c>
      <c r="M50" s="201">
        <v>8.82</v>
      </c>
    </row>
    <row r="51">
      <c r="A51" s="774" t="str">
        <f>'Semana 1'!AU46</f>
        <v/>
      </c>
      <c r="B51" s="201">
        <f t="shared" si="1"/>
        <v>0</v>
      </c>
      <c r="D51" s="740" t="str">
        <f>'Semana 1'!AN46</f>
        <v/>
      </c>
      <c r="E51" s="775"/>
      <c r="F51" s="774" t="str">
        <f>'Semana 1'!AV46</f>
        <v/>
      </c>
      <c r="G51" s="774" t="str">
        <f>'Semana 1'!AR46</f>
        <v/>
      </c>
      <c r="H51" s="776"/>
      <c r="I51" s="774" t="str">
        <f>IFERROR(__xludf.DUMMYFUNCTION("""COMPUTED_VALUE"""),"Flexão com impulsão")</f>
        <v>Flexão com impulsão</v>
      </c>
      <c r="J51" s="201">
        <f>IFERROR(__xludf.DUMMYFUNCTION("""COMPUTED_VALUE"""),10.0)</f>
        <v>10</v>
      </c>
      <c r="K51" s="776"/>
      <c r="L51" s="774" t="s">
        <v>319</v>
      </c>
      <c r="M51" s="201">
        <v>8.82</v>
      </c>
    </row>
    <row r="52">
      <c r="A52" s="774" t="str">
        <f>'Semana 1'!AU48</f>
        <v/>
      </c>
      <c r="B52" s="201">
        <f t="shared" si="1"/>
        <v>0</v>
      </c>
      <c r="D52" s="740" t="str">
        <f>'Semana 1'!AN48</f>
        <v/>
      </c>
      <c r="E52" s="775"/>
      <c r="F52" s="774" t="str">
        <f>'Semana 1'!AV48</f>
        <v/>
      </c>
      <c r="G52" s="774" t="str">
        <f>'Semana 1'!AR48</f>
        <v/>
      </c>
      <c r="H52" s="776"/>
      <c r="I52" s="774" t="str">
        <f>IFERROR(__xludf.DUMMYFUNCTION("""COMPUTED_VALUE"""),"Deslocamento Lateral com Miniband")</f>
        <v>Deslocamento Lateral com Miniband</v>
      </c>
      <c r="J52" s="201">
        <f>IFERROR(__xludf.DUMMYFUNCTION("""COMPUTED_VALUE"""),10.0)</f>
        <v>10</v>
      </c>
      <c r="K52" s="776"/>
      <c r="L52" s="774" t="s">
        <v>292</v>
      </c>
      <c r="M52" s="201">
        <v>8.0</v>
      </c>
    </row>
    <row r="53">
      <c r="A53" s="774" t="str">
        <f>'Semana 1'!AU50</f>
        <v/>
      </c>
      <c r="B53" s="201">
        <f t="shared" si="1"/>
        <v>0</v>
      </c>
      <c r="D53" s="740" t="str">
        <f>'Semana 1'!AN50</f>
        <v/>
      </c>
      <c r="E53" s="775"/>
      <c r="F53" s="774" t="str">
        <f>'Semana 1'!AV50</f>
        <v/>
      </c>
      <c r="G53" s="774" t="str">
        <f>'Semana 1'!AR50</f>
        <v/>
      </c>
      <c r="H53" s="776"/>
      <c r="I53" s="774" t="str">
        <f>IFERROR(__xludf.DUMMYFUNCTION("""COMPUTED_VALUE"""),"Extensão de Quadril com elástico")</f>
        <v>Extensão de Quadril com elástico</v>
      </c>
      <c r="J53" s="201">
        <f>IFERROR(__xludf.DUMMYFUNCTION("""COMPUTED_VALUE"""),10.0)</f>
        <v>10</v>
      </c>
      <c r="K53" s="776"/>
      <c r="L53" s="774" t="s">
        <v>283</v>
      </c>
      <c r="M53" s="201">
        <v>8.0</v>
      </c>
    </row>
    <row r="54">
      <c r="A54" s="774" t="str">
        <f>'Semana 1'!AU52</f>
        <v/>
      </c>
      <c r="B54" s="201">
        <f t="shared" si="1"/>
        <v>0</v>
      </c>
      <c r="D54" s="740" t="str">
        <f>'Semana 1'!AN52</f>
        <v/>
      </c>
      <c r="E54" s="775"/>
      <c r="F54" s="774" t="str">
        <f>'Semana 1'!AV52</f>
        <v/>
      </c>
      <c r="G54" s="774" t="str">
        <f>'Semana 1'!AR52</f>
        <v/>
      </c>
      <c r="H54" s="776"/>
      <c r="I54" s="774" t="str">
        <f>IFERROR(__xludf.DUMMYFUNCTION("""COMPUTED_VALUE"""),"Flexão com impulsão")</f>
        <v>Flexão com impulsão</v>
      </c>
      <c r="J54" s="201">
        <f>IFERROR(__xludf.DUMMYFUNCTION("""COMPUTED_VALUE"""),10.0)</f>
        <v>10</v>
      </c>
      <c r="K54" s="776"/>
      <c r="L54" s="774" t="s">
        <v>288</v>
      </c>
      <c r="M54" s="201">
        <v>8.0</v>
      </c>
    </row>
    <row r="55">
      <c r="A55" s="774" t="str">
        <f>'Semana 1'!AU54</f>
        <v/>
      </c>
      <c r="B55" s="201">
        <f t="shared" si="1"/>
        <v>0</v>
      </c>
      <c r="D55" s="740" t="str">
        <f>'Semana 1'!AN54</f>
        <v/>
      </c>
      <c r="E55" s="775"/>
      <c r="F55" s="774" t="str">
        <f>'Semana 1'!AV54</f>
        <v/>
      </c>
      <c r="G55" s="774" t="str">
        <f>'Semana 1'!AR54</f>
        <v/>
      </c>
      <c r="H55" s="776"/>
      <c r="I55" s="774" t="str">
        <f>IFERROR(__xludf.DUMMYFUNCTION("""COMPUTED_VALUE"""),"Rosca Scott")</f>
        <v>Rosca Scott</v>
      </c>
      <c r="J55" s="201">
        <f>IFERROR(__xludf.DUMMYFUNCTION("""COMPUTED_VALUE"""),10.0)</f>
        <v>10</v>
      </c>
      <c r="K55" s="776"/>
      <c r="L55" s="774" t="s">
        <v>294</v>
      </c>
      <c r="M55" s="201">
        <v>8.0</v>
      </c>
    </row>
    <row r="56">
      <c r="A56" s="774" t="str">
        <f>'Semana 1'!AU56</f>
        <v/>
      </c>
      <c r="B56" s="201">
        <f t="shared" si="1"/>
        <v>0</v>
      </c>
      <c r="D56" s="740" t="str">
        <f>'Semana 1'!AN56</f>
        <v/>
      </c>
      <c r="E56" s="775"/>
      <c r="F56" s="774" t="str">
        <f>'Semana 1'!AV56</f>
        <v/>
      </c>
      <c r="G56" s="774" t="str">
        <f>'Semana 1'!AR56</f>
        <v/>
      </c>
      <c r="H56" s="776"/>
      <c r="I56" s="774" t="str">
        <f>IFERROR(__xludf.DUMMYFUNCTION("""COMPUTED_VALUE"""),"Deslocamento Lateral com Miniband")</f>
        <v>Deslocamento Lateral com Miniband</v>
      </c>
      <c r="J56" s="201">
        <f>IFERROR(__xludf.DUMMYFUNCTION("""COMPUTED_VALUE"""),10.0)</f>
        <v>10</v>
      </c>
      <c r="K56" s="776"/>
      <c r="L56" s="774" t="s">
        <v>292</v>
      </c>
      <c r="M56" s="201">
        <v>7.7175</v>
      </c>
    </row>
    <row r="57">
      <c r="A57" s="774" t="str">
        <f>'Semana 1'!AU58</f>
        <v/>
      </c>
      <c r="B57" s="201">
        <f t="shared" si="1"/>
        <v>0</v>
      </c>
      <c r="D57" s="740" t="str">
        <f>'Semana 1'!AN58</f>
        <v/>
      </c>
      <c r="E57" s="775"/>
      <c r="F57" s="774" t="str">
        <f>'Semana 1'!AV58</f>
        <v/>
      </c>
      <c r="G57" s="774" t="str">
        <f>'Semana 1'!AR58</f>
        <v/>
      </c>
      <c r="H57" s="776"/>
      <c r="I57" s="774" t="str">
        <f>IFERROR(__xludf.DUMMYFUNCTION("""COMPUTED_VALUE"""),"Extensão de Quadril com elástico")</f>
        <v>Extensão de Quadril com elástico</v>
      </c>
      <c r="J57" s="201">
        <f>IFERROR(__xludf.DUMMYFUNCTION("""COMPUTED_VALUE"""),10.0)</f>
        <v>10</v>
      </c>
      <c r="K57" s="776"/>
      <c r="L57" s="774" t="s">
        <v>283</v>
      </c>
      <c r="M57" s="201">
        <v>7.7175</v>
      </c>
    </row>
    <row r="58">
      <c r="A58" s="774" t="str">
        <f>'Semana 1'!AU60</f>
        <v/>
      </c>
      <c r="B58" s="201">
        <f t="shared" si="1"/>
        <v>0</v>
      </c>
      <c r="D58" s="740" t="str">
        <f>'Semana 1'!AN60</f>
        <v/>
      </c>
      <c r="E58" s="775"/>
      <c r="F58" s="774" t="str">
        <f>'Semana 1'!AV60</f>
        <v/>
      </c>
      <c r="G58" s="774" t="str">
        <f>'Semana 1'!AR60</f>
        <v/>
      </c>
      <c r="H58" s="776"/>
      <c r="I58" s="774" t="str">
        <f>IFERROR(__xludf.DUMMYFUNCTION("""COMPUTED_VALUE"""),"Flexão Nórdica")</f>
        <v>Flexão Nórdica</v>
      </c>
      <c r="J58" s="201">
        <f>IFERROR(__xludf.DUMMYFUNCTION("""COMPUTED_VALUE"""),9.070294784580499)</f>
        <v>9.070294785</v>
      </c>
      <c r="K58" s="776"/>
      <c r="L58" s="774" t="s">
        <v>288</v>
      </c>
      <c r="M58" s="201">
        <v>7.7175</v>
      </c>
    </row>
    <row r="59">
      <c r="A59" s="774" t="str">
        <f>'Semana 1'!AU62</f>
        <v/>
      </c>
      <c r="B59" s="201">
        <f t="shared" si="1"/>
        <v>0</v>
      </c>
      <c r="D59" s="740" t="str">
        <f>'Semana 1'!AN62</f>
        <v/>
      </c>
      <c r="E59" s="775"/>
      <c r="F59" s="774" t="str">
        <f>'Semana 1'!AV62</f>
        <v/>
      </c>
      <c r="G59" s="774" t="str">
        <f>'Semana 1'!AR62</f>
        <v/>
      </c>
      <c r="H59" s="776"/>
      <c r="I59" s="774" t="str">
        <f>IFERROR(__xludf.DUMMYFUNCTION("""COMPUTED_VALUE"""),"Flexão Nórdica Reversa")</f>
        <v>Flexão Nórdica Reversa</v>
      </c>
      <c r="J59" s="201">
        <f>IFERROR(__xludf.DUMMYFUNCTION("""COMPUTED_VALUE"""),9.070294784580499)</f>
        <v>9.070294785</v>
      </c>
      <c r="K59" s="776"/>
      <c r="L59" s="774" t="s">
        <v>294</v>
      </c>
      <c r="M59" s="201">
        <v>7.7175</v>
      </c>
    </row>
    <row r="60">
      <c r="A60" s="774" t="str">
        <f>'Semana 1'!AU64</f>
        <v/>
      </c>
      <c r="B60" s="201">
        <f t="shared" si="1"/>
        <v>0</v>
      </c>
      <c r="D60" s="740" t="str">
        <f>'Semana 1'!AN64</f>
        <v/>
      </c>
      <c r="E60" s="775"/>
      <c r="F60" s="774" t="str">
        <f>'Semana 1'!AV64</f>
        <v/>
      </c>
      <c r="G60" s="774" t="str">
        <f>'Semana 1'!AR64</f>
        <v/>
      </c>
      <c r="H60" s="776"/>
      <c r="I60" s="774" t="str">
        <f>IFERROR(__xludf.DUMMYFUNCTION("""COMPUTED_VALUE"""),"Flexão Nórdica")</f>
        <v>Flexão Nórdica</v>
      </c>
      <c r="J60" s="201">
        <f>IFERROR(__xludf.DUMMYFUNCTION("""COMPUTED_VALUE"""),9.070294784580499)</f>
        <v>9.070294785</v>
      </c>
      <c r="K60" s="776"/>
      <c r="L60" s="774" t="s">
        <v>300</v>
      </c>
      <c r="M60" s="201">
        <v>7.0</v>
      </c>
    </row>
    <row r="61">
      <c r="A61" s="774" t="str">
        <f>'Semana 1'!BL26</f>
        <v>Corda</v>
      </c>
      <c r="B61" s="201">
        <f t="shared" si="1"/>
        <v>0</v>
      </c>
      <c r="D61" s="740" t="str">
        <f>'Semana 1'!BE26</f>
        <v/>
      </c>
      <c r="E61" s="775"/>
      <c r="F61" s="774" t="str">
        <f>'Semana 1'!BM26</f>
        <v/>
      </c>
      <c r="G61" s="774" t="str">
        <f>'Semana 1'!BI26</f>
        <v/>
      </c>
      <c r="H61" s="776"/>
      <c r="I61" s="774" t="str">
        <f>IFERROR(__xludf.DUMMYFUNCTION("""COMPUTED_VALUE"""),"Flexão Nórdica Reversa")</f>
        <v>Flexão Nórdica Reversa</v>
      </c>
      <c r="J61" s="201">
        <f>IFERROR(__xludf.DUMMYFUNCTION("""COMPUTED_VALUE"""),9.070294784580499)</f>
        <v>9.070294785</v>
      </c>
      <c r="K61" s="776"/>
      <c r="L61" s="774" t="s">
        <v>297</v>
      </c>
      <c r="M61" s="201">
        <v>7.0</v>
      </c>
    </row>
    <row r="62">
      <c r="A62" s="774" t="str">
        <f>'Semana 1'!BL28</f>
        <v>Levantamento Terra</v>
      </c>
      <c r="B62" s="201">
        <f t="shared" si="1"/>
        <v>0</v>
      </c>
      <c r="D62" s="740">
        <f>'Semana 1'!BE28</f>
        <v>10</v>
      </c>
      <c r="E62" s="775"/>
      <c r="F62" s="774" t="str">
        <f>'Semana 1'!BM28</f>
        <v/>
      </c>
      <c r="G62" s="774" t="str">
        <f>'Semana 1'!BI28</f>
        <v/>
      </c>
      <c r="H62" s="776"/>
      <c r="I62" s="774" t="str">
        <f>IFERROR(__xludf.DUMMYFUNCTION("""COMPUTED_VALUE"""),"Pulley frente")</f>
        <v>Pulley frente</v>
      </c>
      <c r="J62" s="201">
        <f>IFERROR(__xludf.DUMMYFUNCTION("""COMPUTED_VALUE"""),9.0)</f>
        <v>9</v>
      </c>
      <c r="K62" s="776"/>
      <c r="L62" s="774" t="s">
        <v>300</v>
      </c>
      <c r="M62" s="201">
        <v>6.615</v>
      </c>
    </row>
    <row r="63">
      <c r="A63" s="774" t="str">
        <f>'Semana 1'!BL30</f>
        <v>Flexão Nórdica</v>
      </c>
      <c r="B63" s="201">
        <f t="shared" si="1"/>
        <v>0</v>
      </c>
      <c r="D63" s="740">
        <f>'Semana 1'!BE30</f>
        <v>8</v>
      </c>
      <c r="E63" s="775"/>
      <c r="F63" s="774" t="str">
        <f>'Semana 1'!BM30</f>
        <v/>
      </c>
      <c r="G63" s="774" t="str">
        <f>'Semana 1'!BI30</f>
        <v/>
      </c>
      <c r="H63" s="776"/>
      <c r="I63" s="774" t="str">
        <f>IFERROR(__xludf.DUMMYFUNCTION("""COMPUTED_VALUE"""),"Pulley frente")</f>
        <v>Pulley frente</v>
      </c>
      <c r="J63" s="201">
        <f>IFERROR(__xludf.DUMMYFUNCTION("""COMPUTED_VALUE"""),8.82)</f>
        <v>8.82</v>
      </c>
      <c r="K63" s="776"/>
      <c r="L63" s="774" t="s">
        <v>297</v>
      </c>
      <c r="M63" s="201">
        <v>6.615</v>
      </c>
    </row>
    <row r="64">
      <c r="A64" s="774" t="str">
        <f>'Semana 1'!BL32</f>
        <v>Cadeira Flexora</v>
      </c>
      <c r="B64" s="201">
        <f t="shared" si="1"/>
        <v>0</v>
      </c>
      <c r="D64" s="740">
        <f>'Semana 1'!BE32</f>
        <v>10</v>
      </c>
      <c r="E64" s="775"/>
      <c r="F64" s="774" t="str">
        <f>'Semana 1'!BM32</f>
        <v/>
      </c>
      <c r="G64" s="774" t="str">
        <f>'Semana 1'!BI32</f>
        <v/>
      </c>
      <c r="H64" s="776"/>
      <c r="I64" s="774" t="str">
        <f>IFERROR(__xludf.DUMMYFUNCTION("""COMPUTED_VALUE"""),"Rosca Scott")</f>
        <v>Rosca Scott</v>
      </c>
      <c r="J64" s="201">
        <f>IFERROR(__xludf.DUMMYFUNCTION("""COMPUTED_VALUE"""),8.82)</f>
        <v>8.82</v>
      </c>
      <c r="K64" s="776"/>
      <c r="L64" s="774" t="s">
        <v>232</v>
      </c>
      <c r="M64" s="201">
        <v>6.139132535407591</v>
      </c>
    </row>
    <row r="65">
      <c r="A65" s="774" t="str">
        <f>'Semana 1'!BL34</f>
        <v>Cadeira Extensora</v>
      </c>
      <c r="B65" s="201">
        <f t="shared" si="1"/>
        <v>0</v>
      </c>
      <c r="D65" s="740">
        <f>'Semana 1'!BE34</f>
        <v>10</v>
      </c>
      <c r="E65" s="775"/>
      <c r="F65" s="774" t="str">
        <f>'Semana 1'!BM34</f>
        <v/>
      </c>
      <c r="G65" s="774" t="str">
        <f>'Semana 1'!BI34</f>
        <v/>
      </c>
      <c r="H65" s="776"/>
      <c r="I65" s="774" t="str">
        <f>IFERROR(__xludf.DUMMYFUNCTION("""COMPUTED_VALUE"""),"Fly Inverso")</f>
        <v>Fly Inverso</v>
      </c>
      <c r="J65" s="201">
        <f>IFERROR(__xludf.DUMMYFUNCTION("""COMPUTED_VALUE"""),8.0)</f>
        <v>8</v>
      </c>
      <c r="K65" s="776"/>
      <c r="L65" s="774" t="s">
        <v>233</v>
      </c>
      <c r="M65" s="201">
        <v>6.139132535407591</v>
      </c>
    </row>
    <row r="66">
      <c r="A66" s="774" t="str">
        <f>'Semana 1'!BL36</f>
        <v>Fly no peck deck</v>
      </c>
      <c r="B66" s="201">
        <f t="shared" si="1"/>
        <v>0</v>
      </c>
      <c r="D66" s="740">
        <f>'Semana 1'!BE36</f>
        <v>10</v>
      </c>
      <c r="E66" s="775"/>
      <c r="F66" s="774" t="str">
        <f>'Semana 1'!BM36</f>
        <v/>
      </c>
      <c r="G66" s="774" t="str">
        <f>'Semana 1'!BI36</f>
        <v/>
      </c>
      <c r="H66" s="776"/>
      <c r="I66" s="774" t="str">
        <f>IFERROR(__xludf.DUMMYFUNCTION("""COMPUTED_VALUE"""),"Fly no peck deck")</f>
        <v>Fly no peck deck</v>
      </c>
      <c r="J66" s="201">
        <f>IFERROR(__xludf.DUMMYFUNCTION("""COMPUTED_VALUE"""),8.0)</f>
        <v>8</v>
      </c>
      <c r="K66" s="776"/>
      <c r="L66" s="774" t="s">
        <v>234</v>
      </c>
      <c r="M66" s="201">
        <v>6.139132535407591</v>
      </c>
    </row>
    <row r="67">
      <c r="A67" s="774" t="str">
        <f>'Semana 1'!BL38</f>
        <v>Rosca Inclinado</v>
      </c>
      <c r="B67" s="201">
        <f t="shared" si="1"/>
        <v>0</v>
      </c>
      <c r="D67" s="740">
        <f>'Semana 1'!BE38</f>
        <v>10</v>
      </c>
      <c r="E67" s="775"/>
      <c r="F67" s="774" t="str">
        <f>'Semana 1'!BM38</f>
        <v/>
      </c>
      <c r="G67" s="774" t="str">
        <f>'Semana 1'!BI38</f>
        <v/>
      </c>
      <c r="H67" s="776"/>
      <c r="I67" s="774" t="str">
        <f>IFERROR(__xludf.DUMMYFUNCTION("""COMPUTED_VALUE"""),"Remada Alta na Polia")</f>
        <v>Remada Alta na Polia</v>
      </c>
      <c r="J67" s="201">
        <f>IFERROR(__xludf.DUMMYFUNCTION("""COMPUTED_VALUE"""),8.0)</f>
        <v>8</v>
      </c>
      <c r="K67" s="776"/>
      <c r="L67" s="774" t="s">
        <v>269</v>
      </c>
      <c r="M67" s="201">
        <v>5.0</v>
      </c>
    </row>
    <row r="68">
      <c r="A68" s="774" t="str">
        <f>'Semana 1'!BL40</f>
        <v>Fly Inverso</v>
      </c>
      <c r="B68" s="201">
        <f t="shared" si="1"/>
        <v>0</v>
      </c>
      <c r="D68" s="740">
        <f>'Semana 1'!BE40</f>
        <v>10</v>
      </c>
      <c r="E68" s="775"/>
      <c r="F68" s="774" t="str">
        <f>'Semana 1'!BM40</f>
        <v/>
      </c>
      <c r="G68" s="774" t="str">
        <f>'Semana 1'!BI40</f>
        <v/>
      </c>
      <c r="H68" s="776"/>
      <c r="I68" s="774" t="str">
        <f>IFERROR(__xludf.DUMMYFUNCTION("""COMPUTED_VALUE"""),"Lat PullDown")</f>
        <v>Lat PullDown</v>
      </c>
      <c r="J68" s="201">
        <f>IFERROR(__xludf.DUMMYFUNCTION("""COMPUTED_VALUE"""),8.0)</f>
        <v>8</v>
      </c>
      <c r="K68" s="776"/>
      <c r="L68" s="774" t="s">
        <v>269</v>
      </c>
      <c r="M68" s="201">
        <v>4.41</v>
      </c>
    </row>
    <row r="69">
      <c r="A69" s="774" t="str">
        <f>'Semana 1'!BL42</f>
        <v>Tríceps Polia</v>
      </c>
      <c r="B69" s="201">
        <f t="shared" si="1"/>
        <v>0</v>
      </c>
      <c r="D69" s="740">
        <f>'Semana 1'!BE42</f>
        <v>10</v>
      </c>
      <c r="E69" s="775"/>
      <c r="F69" s="774" t="str">
        <f>'Semana 1'!BM42</f>
        <v/>
      </c>
      <c r="G69" s="774" t="str">
        <f>'Semana 1'!BI42</f>
        <v/>
      </c>
      <c r="H69" s="776"/>
      <c r="I69" s="774" t="str">
        <f>IFERROR(__xludf.DUMMYFUNCTION("""COMPUTED_VALUE"""),"Fly Inverso")</f>
        <v>Fly Inverso</v>
      </c>
      <c r="J69" s="201">
        <f>IFERROR(__xludf.DUMMYFUNCTION("""COMPUTED_VALUE"""),7.7175)</f>
        <v>7.7175</v>
      </c>
      <c r="K69" s="776"/>
      <c r="L69" s="774" t="s">
        <v>281</v>
      </c>
      <c r="M69" s="201">
        <v>4.0</v>
      </c>
    </row>
    <row r="70">
      <c r="A70" s="774" t="str">
        <f>'Semana 1'!BL44</f>
        <v>Flexão de braço na bola</v>
      </c>
      <c r="B70" s="201">
        <f t="shared" si="1"/>
        <v>0</v>
      </c>
      <c r="D70" s="740">
        <f>'Semana 1'!BE44</f>
        <v>14</v>
      </c>
      <c r="E70" s="775"/>
      <c r="F70" s="774" t="str">
        <f>'Semana 1'!BM44</f>
        <v/>
      </c>
      <c r="G70" s="774" t="str">
        <f>'Semana 1'!BI44</f>
        <v/>
      </c>
      <c r="H70" s="776"/>
      <c r="I70" s="774" t="str">
        <f>IFERROR(__xludf.DUMMYFUNCTION("""COMPUTED_VALUE"""),"Fly no peck deck")</f>
        <v>Fly no peck deck</v>
      </c>
      <c r="J70" s="201">
        <f>IFERROR(__xludf.DUMMYFUNCTION("""COMPUTED_VALUE"""),7.7175)</f>
        <v>7.7175</v>
      </c>
      <c r="K70" s="776"/>
      <c r="L70" s="774" t="s">
        <v>318</v>
      </c>
      <c r="M70" s="201">
        <v>2.205</v>
      </c>
    </row>
    <row r="71">
      <c r="A71" s="774" t="str">
        <f>'Semana 1'!BL46</f>
        <v>Remada Horizontal com Movimentação do Tronco</v>
      </c>
      <c r="B71" s="201">
        <f t="shared" si="1"/>
        <v>0</v>
      </c>
      <c r="D71" s="740">
        <f>'Semana 1'!BE46</f>
        <v>10</v>
      </c>
      <c r="E71" s="775"/>
      <c r="F71" s="774" t="str">
        <f>'Semana 1'!BM46</f>
        <v/>
      </c>
      <c r="G71" s="774" t="str">
        <f>'Semana 1'!BI46</f>
        <v/>
      </c>
      <c r="H71" s="776"/>
      <c r="I71" s="774" t="str">
        <f>IFERROR(__xludf.DUMMYFUNCTION("""COMPUTED_VALUE"""),"Remada Alta na Polia")</f>
        <v>Remada Alta na Polia</v>
      </c>
      <c r="J71" s="201">
        <f>IFERROR(__xludf.DUMMYFUNCTION("""COMPUTED_VALUE"""),7.7175)</f>
        <v>7.7175</v>
      </c>
      <c r="K71" s="776"/>
      <c r="L71" s="774" t="s">
        <v>318</v>
      </c>
      <c r="M71" s="201">
        <v>2.0</v>
      </c>
    </row>
    <row r="72">
      <c r="A72" s="774" t="str">
        <f>'Semana 1'!BL48</f>
        <v>Corda</v>
      </c>
      <c r="B72" s="201">
        <f t="shared" si="1"/>
        <v>0</v>
      </c>
      <c r="D72" s="740" t="str">
        <f>'Semana 1'!BE48</f>
        <v/>
      </c>
      <c r="E72" s="775"/>
      <c r="F72" s="774" t="str">
        <f>'Semana 1'!BM48</f>
        <v/>
      </c>
      <c r="G72" s="774" t="str">
        <f>'Semana 1'!BI48</f>
        <v/>
      </c>
      <c r="H72" s="776"/>
      <c r="I72" s="774" t="str">
        <f>IFERROR(__xludf.DUMMYFUNCTION("""COMPUTED_VALUE"""),"Lat PullDown")</f>
        <v>Lat PullDown</v>
      </c>
      <c r="J72" s="201">
        <f>IFERROR(__xludf.DUMMYFUNCTION("""COMPUTED_VALUE"""),7.7175)</f>
        <v>7.7175</v>
      </c>
      <c r="K72" s="776"/>
      <c r="L72" s="201"/>
      <c r="M72" s="201"/>
    </row>
    <row r="73">
      <c r="A73" s="774" t="str">
        <f>'Semana 1'!BL50</f>
        <v/>
      </c>
      <c r="B73" s="201">
        <f t="shared" si="1"/>
        <v>0</v>
      </c>
      <c r="D73" s="740" t="str">
        <f>'Semana 1'!BE50</f>
        <v/>
      </c>
      <c r="E73" s="775"/>
      <c r="F73" s="774" t="str">
        <f>'Semana 1'!BM50</f>
        <v/>
      </c>
      <c r="G73" s="774" t="str">
        <f>'Semana 1'!BI50</f>
        <v/>
      </c>
      <c r="H73" s="776"/>
      <c r="I73" s="774" t="str">
        <f>IFERROR(__xludf.DUMMYFUNCTION("""COMPUTED_VALUE"""),"Tríceps Testa polia")</f>
        <v>Tríceps Testa polia</v>
      </c>
      <c r="J73" s="201">
        <f>IFERROR(__xludf.DUMMYFUNCTION("""COMPUTED_VALUE"""),7.0)</f>
        <v>7</v>
      </c>
      <c r="K73" s="776"/>
    </row>
    <row r="74">
      <c r="A74" s="774" t="str">
        <f>'Semana 1'!BL52</f>
        <v/>
      </c>
      <c r="B74" s="201">
        <f t="shared" si="1"/>
        <v>0</v>
      </c>
      <c r="D74" s="740" t="str">
        <f>'Semana 1'!BE52</f>
        <v/>
      </c>
      <c r="E74" s="775"/>
      <c r="F74" s="774" t="str">
        <f>'Semana 1'!BM52</f>
        <v/>
      </c>
      <c r="G74" s="774" t="str">
        <f>'Semana 1'!BI52</f>
        <v/>
      </c>
      <c r="H74" s="776"/>
      <c r="I74" s="774" t="str">
        <f>IFERROR(__xludf.DUMMYFUNCTION("""COMPUTED_VALUE"""),"Arremesso")</f>
        <v>Arremesso</v>
      </c>
      <c r="J74" s="201">
        <f>IFERROR(__xludf.DUMMYFUNCTION("""COMPUTED_VALUE"""),7.0)</f>
        <v>7</v>
      </c>
      <c r="K74" s="776"/>
    </row>
    <row r="75">
      <c r="A75" s="774" t="str">
        <f>'Semana 1'!BL54</f>
        <v/>
      </c>
      <c r="B75" s="201">
        <f t="shared" si="1"/>
        <v>0</v>
      </c>
      <c r="D75" s="740" t="str">
        <f>'Semana 1'!BE54</f>
        <v/>
      </c>
      <c r="E75" s="775"/>
      <c r="F75" s="774" t="str">
        <f>'Semana 1'!BM54</f>
        <v/>
      </c>
      <c r="G75" s="774" t="str">
        <f>'Semana 1'!BI54</f>
        <v/>
      </c>
      <c r="H75" s="776"/>
      <c r="I75" s="774" t="str">
        <f>IFERROR(__xludf.DUMMYFUNCTION("""COMPUTED_VALUE"""),"Tríceps Testa polia")</f>
        <v>Tríceps Testa polia</v>
      </c>
      <c r="J75" s="201">
        <f>IFERROR(__xludf.DUMMYFUNCTION("""COMPUTED_VALUE"""),6.615)</f>
        <v>6.615</v>
      </c>
      <c r="K75" s="776"/>
    </row>
    <row r="76">
      <c r="A76" s="774" t="str">
        <f>'Semana 1'!BL56</f>
        <v/>
      </c>
      <c r="B76" s="201">
        <f t="shared" si="1"/>
        <v>0</v>
      </c>
      <c r="D76" s="740" t="str">
        <f>'Semana 1'!BE56</f>
        <v/>
      </c>
      <c r="E76" s="775"/>
      <c r="F76" s="774" t="str">
        <f>'Semana 1'!BM56</f>
        <v/>
      </c>
      <c r="G76" s="774" t="str">
        <f>'Semana 1'!BI56</f>
        <v/>
      </c>
      <c r="H76" s="776"/>
      <c r="I76" s="774" t="str">
        <f>IFERROR(__xludf.DUMMYFUNCTION("""COMPUTED_VALUE"""),"Arremesso")</f>
        <v>Arremesso</v>
      </c>
      <c r="J76" s="201">
        <f>IFERROR(__xludf.DUMMYFUNCTION("""COMPUTED_VALUE"""),6.615)</f>
        <v>6.615</v>
      </c>
      <c r="K76" s="776"/>
    </row>
    <row r="77">
      <c r="A77" s="774" t="str">
        <f>'Semana 1'!BL58</f>
        <v/>
      </c>
      <c r="B77" s="201">
        <f t="shared" si="1"/>
        <v>0</v>
      </c>
      <c r="D77" s="740" t="str">
        <f>'Semana 1'!BE58</f>
        <v/>
      </c>
      <c r="E77" s="775"/>
      <c r="F77" s="774" t="str">
        <f>'Semana 1'!BM58</f>
        <v/>
      </c>
      <c r="G77" s="774" t="str">
        <f>'Semana 1'!BI58</f>
        <v/>
      </c>
      <c r="H77" s="776"/>
      <c r="I77" s="774" t="str">
        <f>IFERROR(__xludf.DUMMYFUNCTION("""COMPUTED_VALUE"""),"Esteira")</f>
        <v>Esteira</v>
      </c>
      <c r="J77" s="201">
        <f>IFERROR(__xludf.DUMMYFUNCTION("""COMPUTED_VALUE"""),6.139132535407591)</f>
        <v>6.139132535</v>
      </c>
      <c r="K77" s="776"/>
    </row>
    <row r="78">
      <c r="A78" s="774" t="str">
        <f>'Semana 1'!BL60</f>
        <v/>
      </c>
      <c r="B78" s="201">
        <f t="shared" si="1"/>
        <v>0</v>
      </c>
      <c r="D78" s="740" t="str">
        <f>'Semana 1'!BE60</f>
        <v/>
      </c>
      <c r="E78" s="775"/>
      <c r="F78" s="774" t="str">
        <f>'Semana 1'!BM60</f>
        <v/>
      </c>
      <c r="G78" s="774" t="str">
        <f>'Semana 1'!BI60</f>
        <v/>
      </c>
      <c r="H78" s="776"/>
      <c r="I78" s="774" t="str">
        <f>IFERROR(__xludf.DUMMYFUNCTION("""COMPUTED_VALUE"""),"Esteira")</f>
        <v>Esteira</v>
      </c>
      <c r="J78" s="201">
        <f>IFERROR(__xludf.DUMMYFUNCTION("""COMPUTED_VALUE"""),6.139132535407591)</f>
        <v>6.139132535</v>
      </c>
      <c r="K78" s="776"/>
    </row>
    <row r="79">
      <c r="A79" s="774" t="str">
        <f>'Semana 1'!BL62</f>
        <v/>
      </c>
      <c r="B79" s="201">
        <f t="shared" si="1"/>
        <v>0</v>
      </c>
      <c r="D79" s="740" t="str">
        <f>'Semana 1'!BE62</f>
        <v/>
      </c>
      <c r="E79" s="775"/>
      <c r="F79" s="774" t="str">
        <f>'Semana 1'!BM62</f>
        <v/>
      </c>
      <c r="G79" s="774" t="str">
        <f>'Semana 1'!BI62</f>
        <v/>
      </c>
      <c r="H79" s="776"/>
      <c r="I79" s="774" t="str">
        <f>IFERROR(__xludf.DUMMYFUNCTION("""COMPUTED_VALUE"""),"Esteira")</f>
        <v>Esteira</v>
      </c>
      <c r="J79" s="201">
        <f>IFERROR(__xludf.DUMMYFUNCTION("""COMPUTED_VALUE"""),6.139132535407591)</f>
        <v>6.139132535</v>
      </c>
      <c r="K79" s="776"/>
    </row>
    <row r="80">
      <c r="A80" s="774" t="str">
        <f>'Semana 1'!BL64</f>
        <v/>
      </c>
      <c r="B80" s="201">
        <f t="shared" si="1"/>
        <v>0</v>
      </c>
      <c r="D80" s="740" t="str">
        <f>'Semana 1'!BE64</f>
        <v/>
      </c>
      <c r="E80" s="775"/>
      <c r="F80" s="774" t="str">
        <f>'Semana 1'!BM64</f>
        <v/>
      </c>
      <c r="G80" s="774" t="str">
        <f>'Semana 1'!BI64</f>
        <v/>
      </c>
      <c r="H80" s="776"/>
      <c r="I80" s="774" t="str">
        <f>IFERROR(__xludf.DUMMYFUNCTION("""COMPUTED_VALUE"""),"Esteira")</f>
        <v>Esteira</v>
      </c>
      <c r="J80" s="201">
        <f>IFERROR(__xludf.DUMMYFUNCTION("""COMPUTED_VALUE"""),6.139132535407591)</f>
        <v>6.139132535</v>
      </c>
      <c r="K80" s="776"/>
    </row>
    <row r="81">
      <c r="A81" s="774" t="str">
        <f>'Semana 1'!CC26</f>
        <v>Agachamento Búlgaro</v>
      </c>
      <c r="B81" s="201">
        <f t="shared" si="1"/>
        <v>0</v>
      </c>
      <c r="D81" s="740">
        <f>'Semana 1'!BV26</f>
        <v>10</v>
      </c>
      <c r="E81" s="775"/>
      <c r="F81" s="774" t="str">
        <f>'Semana 1'!CD26</f>
        <v/>
      </c>
      <c r="G81" s="774" t="str">
        <f>'Semana 1'!BZ26</f>
        <v/>
      </c>
      <c r="H81" s="776"/>
      <c r="I81" s="774" t="str">
        <f>IFERROR(__xludf.DUMMYFUNCTION("""COMPUTED_VALUE"""),"Esteira")</f>
        <v>Esteira</v>
      </c>
      <c r="J81" s="201">
        <f>IFERROR(__xludf.DUMMYFUNCTION("""COMPUTED_VALUE"""),6.139132535407591)</f>
        <v>6.139132535</v>
      </c>
      <c r="K81" s="776"/>
    </row>
    <row r="82">
      <c r="A82" s="774" t="str">
        <f>'Semana 1'!CC28</f>
        <v>Elevação Pélvica</v>
      </c>
      <c r="B82" s="201">
        <f t="shared" si="1"/>
        <v>0</v>
      </c>
      <c r="D82" s="740">
        <f>'Semana 1'!BV28</f>
        <v>10</v>
      </c>
      <c r="E82" s="775"/>
      <c r="F82" s="774" t="str">
        <f>'Semana 1'!CD28</f>
        <v/>
      </c>
      <c r="G82" s="774" t="str">
        <f>'Semana 1'!BZ28</f>
        <v/>
      </c>
      <c r="H82" s="776"/>
      <c r="I82" s="774" t="str">
        <f>IFERROR(__xludf.DUMMYFUNCTION("""COMPUTED_VALUE"""),"Bicicleta")</f>
        <v>Bicicleta</v>
      </c>
      <c r="J82" s="201">
        <f>IFERROR(__xludf.DUMMYFUNCTION("""COMPUTED_VALUE"""),6.139132535407591)</f>
        <v>6.139132535</v>
      </c>
      <c r="K82" s="776"/>
    </row>
    <row r="83">
      <c r="A83" s="774" t="str">
        <f>'Semana 1'!CC30</f>
        <v>Cadeira Extensora</v>
      </c>
      <c r="B83" s="201">
        <f t="shared" si="1"/>
        <v>0</v>
      </c>
      <c r="D83" s="740">
        <f>'Semana 1'!BV30</f>
        <v>10</v>
      </c>
      <c r="E83" s="775"/>
      <c r="F83" s="774" t="str">
        <f>'Semana 1'!CD30</f>
        <v/>
      </c>
      <c r="G83" s="774" t="str">
        <f>'Semana 1'!BZ30</f>
        <v/>
      </c>
      <c r="H83" s="776"/>
      <c r="I83" s="774" t="str">
        <f>IFERROR(__xludf.DUMMYFUNCTION("""COMPUTED_VALUE"""),"Bicicleta")</f>
        <v>Bicicleta</v>
      </c>
      <c r="J83" s="201">
        <f>IFERROR(__xludf.DUMMYFUNCTION("""COMPUTED_VALUE"""),6.139132535407591)</f>
        <v>6.139132535</v>
      </c>
      <c r="K83" s="776"/>
    </row>
    <row r="84">
      <c r="A84" s="774" t="str">
        <f>'Semana 1'!CC32</f>
        <v>Panturrilha Leg Press</v>
      </c>
      <c r="B84" s="201">
        <f t="shared" si="1"/>
        <v>0</v>
      </c>
      <c r="D84" s="740">
        <f>'Semana 1'!BV32</f>
        <v>10</v>
      </c>
      <c r="E84" s="775"/>
      <c r="F84" s="774" t="str">
        <f>'Semana 1'!CD32</f>
        <v/>
      </c>
      <c r="G84" s="774" t="str">
        <f>'Semana 1'!BZ32</f>
        <v/>
      </c>
      <c r="H84" s="776"/>
      <c r="I84" s="774" t="str">
        <f>IFERROR(__xludf.DUMMYFUNCTION("""COMPUTED_VALUE"""),"Bicicleta")</f>
        <v>Bicicleta</v>
      </c>
      <c r="J84" s="201">
        <f>IFERROR(__xludf.DUMMYFUNCTION("""COMPUTED_VALUE"""),6.139132535407591)</f>
        <v>6.139132535</v>
      </c>
      <c r="K84" s="776"/>
    </row>
    <row r="85">
      <c r="A85" s="774" t="str">
        <f>'Semana 1'!CC34</f>
        <v>Pulley com pegada Supinada</v>
      </c>
      <c r="B85" s="201">
        <f t="shared" si="1"/>
        <v>0</v>
      </c>
      <c r="D85" s="740">
        <f>'Semana 1'!BV34</f>
        <v>10</v>
      </c>
      <c r="E85" s="775"/>
      <c r="F85" s="774" t="str">
        <f>'Semana 1'!CD34</f>
        <v/>
      </c>
      <c r="G85" s="774" t="str">
        <f>'Semana 1'!BZ34</f>
        <v/>
      </c>
      <c r="H85" s="776"/>
      <c r="I85" s="774" t="str">
        <f>IFERROR(__xludf.DUMMYFUNCTION("""COMPUTED_VALUE"""),"Bicicleta")</f>
        <v>Bicicleta</v>
      </c>
      <c r="J85" s="201">
        <f>IFERROR(__xludf.DUMMYFUNCTION("""COMPUTED_VALUE"""),6.139132535407591)</f>
        <v>6.139132535</v>
      </c>
      <c r="K85" s="776"/>
    </row>
    <row r="86">
      <c r="A86" s="774" t="str">
        <f>'Semana 1'!CC36</f>
        <v>Abdominal Obliquo na polia média</v>
      </c>
      <c r="B86" s="201">
        <f t="shared" si="1"/>
        <v>0</v>
      </c>
      <c r="D86" s="740">
        <f>'Semana 1'!BV36</f>
        <v>10</v>
      </c>
      <c r="E86" s="775"/>
      <c r="F86" s="774" t="str">
        <f>'Semana 1'!CD36</f>
        <v/>
      </c>
      <c r="G86" s="774" t="str">
        <f>'Semana 1'!BZ36</f>
        <v/>
      </c>
      <c r="H86" s="776"/>
      <c r="I86" s="774" t="str">
        <f>IFERROR(__xludf.DUMMYFUNCTION("""COMPUTED_VALUE"""),"Bicicleta")</f>
        <v>Bicicleta</v>
      </c>
      <c r="J86" s="201">
        <f>IFERROR(__xludf.DUMMYFUNCTION("""COMPUTED_VALUE"""),6.139132535407591)</f>
        <v>6.139132535</v>
      </c>
      <c r="K86" s="776"/>
    </row>
    <row r="87">
      <c r="A87" s="774" t="str">
        <f>'Semana 1'!CC38</f>
        <v>Remada Alta na Polia</v>
      </c>
      <c r="B87" s="201">
        <f t="shared" si="1"/>
        <v>0</v>
      </c>
      <c r="D87" s="740">
        <f>'Semana 1'!BV38</f>
        <v>10</v>
      </c>
      <c r="E87" s="775"/>
      <c r="F87" s="774" t="str">
        <f>'Semana 1'!CD38</f>
        <v/>
      </c>
      <c r="G87" s="774" t="str">
        <f>'Semana 1'!BZ38</f>
        <v/>
      </c>
      <c r="H87" s="776"/>
      <c r="I87" s="774" t="str">
        <f>IFERROR(__xludf.DUMMYFUNCTION("""COMPUTED_VALUE"""),"Esteira")</f>
        <v>Esteira</v>
      </c>
      <c r="J87" s="201">
        <f>IFERROR(__xludf.DUMMYFUNCTION("""COMPUTED_VALUE"""),6.139132535407591)</f>
        <v>6.139132535</v>
      </c>
      <c r="K87" s="776"/>
    </row>
    <row r="88">
      <c r="A88" s="774" t="str">
        <f>'Semana 1'!CC40</f>
        <v>Abdominal Canoa</v>
      </c>
      <c r="B88" s="201">
        <f t="shared" si="1"/>
        <v>0</v>
      </c>
      <c r="D88" s="740">
        <f>'Semana 1'!BV40</f>
        <v>10</v>
      </c>
      <c r="E88" s="775"/>
      <c r="F88" s="774" t="str">
        <f>'Semana 1'!CD40</f>
        <v/>
      </c>
      <c r="G88" s="774" t="str">
        <f>'Semana 1'!BZ40</f>
        <v/>
      </c>
      <c r="H88" s="776"/>
      <c r="I88" s="774" t="str">
        <f>IFERROR(__xludf.DUMMYFUNCTION("""COMPUTED_VALUE"""),"Esteira")</f>
        <v>Esteira</v>
      </c>
      <c r="J88" s="201">
        <f>IFERROR(__xludf.DUMMYFUNCTION("""COMPUTED_VALUE"""),6.139132535407591)</f>
        <v>6.139132535</v>
      </c>
      <c r="K88" s="776"/>
    </row>
    <row r="89">
      <c r="A89" s="774" t="str">
        <f>'Semana 1'!CC42</f>
        <v>Arremesso</v>
      </c>
      <c r="B89" s="201">
        <f t="shared" si="1"/>
        <v>0</v>
      </c>
      <c r="D89" s="740">
        <f>'Semana 1'!BV42</f>
        <v>10</v>
      </c>
      <c r="E89" s="775"/>
      <c r="F89" s="774" t="str">
        <f>'Semana 1'!CD42</f>
        <v/>
      </c>
      <c r="G89" s="774" t="str">
        <f>'Semana 1'!BZ42</f>
        <v/>
      </c>
      <c r="H89" s="776"/>
      <c r="I89" s="774" t="str">
        <f>IFERROR(__xludf.DUMMYFUNCTION("""COMPUTED_VALUE"""),"Esteira")</f>
        <v>Esteira</v>
      </c>
      <c r="J89" s="201">
        <f>IFERROR(__xludf.DUMMYFUNCTION("""COMPUTED_VALUE"""),6.139132535407591)</f>
        <v>6.139132535</v>
      </c>
      <c r="K89" s="776"/>
    </row>
    <row r="90">
      <c r="A90" s="774" t="str">
        <f>'Semana 1'!CC44</f>
        <v>Rosca Direta</v>
      </c>
      <c r="B90" s="201">
        <f t="shared" si="1"/>
        <v>0</v>
      </c>
      <c r="D90" s="740">
        <f>'Semana 1'!BV44</f>
        <v>10</v>
      </c>
      <c r="E90" s="775"/>
      <c r="F90" s="774" t="str">
        <f>'Semana 1'!CD44</f>
        <v/>
      </c>
      <c r="G90" s="774" t="str">
        <f>'Semana 1'!BZ44</f>
        <v/>
      </c>
      <c r="H90" s="776"/>
      <c r="I90" s="774" t="str">
        <f>IFERROR(__xludf.DUMMYFUNCTION("""COMPUTED_VALUE"""),"Esteira")</f>
        <v>Esteira</v>
      </c>
      <c r="J90" s="201">
        <f>IFERROR(__xludf.DUMMYFUNCTION("""COMPUTED_VALUE"""),6.139132535407591)</f>
        <v>6.139132535</v>
      </c>
      <c r="K90" s="776"/>
    </row>
    <row r="91">
      <c r="A91" s="774" t="str">
        <f>'Semana 1'!CC46</f>
        <v>Esteira</v>
      </c>
      <c r="B91" s="201">
        <f t="shared" si="1"/>
        <v>0</v>
      </c>
      <c r="D91" s="740" t="str">
        <f>'Semana 1'!BV46</f>
        <v/>
      </c>
      <c r="E91" s="775"/>
      <c r="F91" s="774" t="str">
        <f>'Semana 1'!CD46</f>
        <v/>
      </c>
      <c r="G91" s="774" t="str">
        <f>'Semana 1'!BZ46</f>
        <v/>
      </c>
      <c r="H91" s="776"/>
      <c r="I91" s="774" t="str">
        <f>IFERROR(__xludf.DUMMYFUNCTION("""COMPUTED_VALUE"""),"Esteira")</f>
        <v>Esteira</v>
      </c>
      <c r="J91" s="201">
        <f>IFERROR(__xludf.DUMMYFUNCTION("""COMPUTED_VALUE"""),6.139132535407591)</f>
        <v>6.139132535</v>
      </c>
      <c r="K91" s="776"/>
    </row>
    <row r="92">
      <c r="A92" s="774" t="str">
        <f>'Semana 1'!CC48</f>
        <v/>
      </c>
      <c r="B92" s="201">
        <f t="shared" si="1"/>
        <v>0</v>
      </c>
      <c r="D92" s="740" t="str">
        <f>'Semana 1'!BV48</f>
        <v/>
      </c>
      <c r="E92" s="775"/>
      <c r="F92" s="774" t="str">
        <f>'Semana 1'!CD48</f>
        <v/>
      </c>
      <c r="G92" s="774" t="str">
        <f>'Semana 1'!BZ48</f>
        <v/>
      </c>
      <c r="H92" s="776"/>
      <c r="I92" s="774" t="str">
        <f>IFERROR(__xludf.DUMMYFUNCTION("""COMPUTED_VALUE"""),"Bicicleta")</f>
        <v>Bicicleta</v>
      </c>
      <c r="J92" s="201">
        <f>IFERROR(__xludf.DUMMYFUNCTION("""COMPUTED_VALUE"""),6.139132535407591)</f>
        <v>6.139132535</v>
      </c>
      <c r="K92" s="776"/>
    </row>
    <row r="93">
      <c r="A93" s="774" t="str">
        <f>'Semana 1'!CC50</f>
        <v/>
      </c>
      <c r="B93" s="201">
        <f t="shared" si="1"/>
        <v>0</v>
      </c>
      <c r="D93" s="740" t="str">
        <f>'Semana 1'!BV50</f>
        <v/>
      </c>
      <c r="E93" s="775"/>
      <c r="F93" s="774" t="str">
        <f>'Semana 1'!CD50</f>
        <v/>
      </c>
      <c r="G93" s="774" t="str">
        <f>'Semana 1'!BZ50</f>
        <v/>
      </c>
      <c r="H93" s="776"/>
      <c r="I93" s="774" t="str">
        <f>IFERROR(__xludf.DUMMYFUNCTION("""COMPUTED_VALUE"""),"Bicicleta")</f>
        <v>Bicicleta</v>
      </c>
      <c r="J93" s="201">
        <f>IFERROR(__xludf.DUMMYFUNCTION("""COMPUTED_VALUE"""),6.139132535407591)</f>
        <v>6.139132535</v>
      </c>
      <c r="K93" s="776"/>
    </row>
    <row r="94">
      <c r="A94" s="774" t="str">
        <f>'Semana 1'!CC52</f>
        <v/>
      </c>
      <c r="B94" s="201">
        <f t="shared" si="1"/>
        <v>0</v>
      </c>
      <c r="D94" s="740" t="str">
        <f>'Semana 1'!BV52</f>
        <v/>
      </c>
      <c r="E94" s="775"/>
      <c r="F94" s="774" t="str">
        <f>'Semana 1'!CD52</f>
        <v/>
      </c>
      <c r="G94" s="774" t="str">
        <f>'Semana 1'!BZ52</f>
        <v/>
      </c>
      <c r="H94" s="776"/>
      <c r="I94" s="774" t="str">
        <f>IFERROR(__xludf.DUMMYFUNCTION("""COMPUTED_VALUE"""),"Bicicleta")</f>
        <v>Bicicleta</v>
      </c>
      <c r="J94" s="201">
        <f>IFERROR(__xludf.DUMMYFUNCTION("""COMPUTED_VALUE"""),6.139132535407591)</f>
        <v>6.139132535</v>
      </c>
      <c r="K94" s="776"/>
    </row>
    <row r="95">
      <c r="A95" s="774" t="str">
        <f>'Semana 1'!CC54</f>
        <v/>
      </c>
      <c r="B95" s="201">
        <f t="shared" si="1"/>
        <v>0</v>
      </c>
      <c r="D95" s="740" t="str">
        <f>'Semana 1'!BV54</f>
        <v/>
      </c>
      <c r="E95" s="775"/>
      <c r="F95" s="774" t="str">
        <f>'Semana 1'!CD54</f>
        <v/>
      </c>
      <c r="G95" s="774" t="str">
        <f>'Semana 1'!BZ54</f>
        <v/>
      </c>
      <c r="H95" s="776"/>
      <c r="I95" s="774" t="str">
        <f>IFERROR(__xludf.DUMMYFUNCTION("""COMPUTED_VALUE"""),"Bicicleta")</f>
        <v>Bicicleta</v>
      </c>
      <c r="J95" s="201">
        <f>IFERROR(__xludf.DUMMYFUNCTION("""COMPUTED_VALUE"""),6.139132535407591)</f>
        <v>6.139132535</v>
      </c>
      <c r="K95" s="776"/>
    </row>
    <row r="96">
      <c r="A96" s="774" t="str">
        <f>'Semana 1'!CC56</f>
        <v/>
      </c>
      <c r="B96" s="201">
        <f t="shared" si="1"/>
        <v>0</v>
      </c>
      <c r="D96" s="740" t="str">
        <f>'Semana 1'!BV56</f>
        <v/>
      </c>
      <c r="E96" s="775"/>
      <c r="F96" s="774" t="str">
        <f>'Semana 1'!CD56</f>
        <v/>
      </c>
      <c r="G96" s="774" t="str">
        <f>'Semana 1'!BZ56</f>
        <v/>
      </c>
      <c r="H96" s="776"/>
      <c r="I96" s="774" t="str">
        <f>IFERROR(__xludf.DUMMYFUNCTION("""COMPUTED_VALUE"""),"Bicicleta")</f>
        <v>Bicicleta</v>
      </c>
      <c r="J96" s="201">
        <f>IFERROR(__xludf.DUMMYFUNCTION("""COMPUTED_VALUE"""),6.139132535407591)</f>
        <v>6.139132535</v>
      </c>
      <c r="K96" s="776"/>
    </row>
    <row r="97">
      <c r="A97" s="774" t="str">
        <f>'Semana 1'!CC58</f>
        <v/>
      </c>
      <c r="B97" s="201">
        <f t="shared" si="1"/>
        <v>0</v>
      </c>
      <c r="D97" s="740" t="str">
        <f>'Semana 1'!BV58</f>
        <v/>
      </c>
      <c r="E97" s="775"/>
      <c r="F97" s="774" t="str">
        <f>'Semana 1'!CD58</f>
        <v/>
      </c>
      <c r="G97" s="774" t="str">
        <f>'Semana 1'!BZ58</f>
        <v/>
      </c>
      <c r="H97" s="776"/>
      <c r="I97" s="774" t="str">
        <f>IFERROR(__xludf.DUMMYFUNCTION("""COMPUTED_VALUE"""),"Esteira")</f>
        <v>Esteira</v>
      </c>
      <c r="J97" s="201">
        <f>IFERROR(__xludf.DUMMYFUNCTION("""COMPUTED_VALUE"""),6.139132535407591)</f>
        <v>6.139132535</v>
      </c>
      <c r="K97" s="776"/>
    </row>
    <row r="98">
      <c r="A98" s="774" t="str">
        <f>'Semana 1'!CC60</f>
        <v/>
      </c>
      <c r="B98" s="201">
        <f t="shared" si="1"/>
        <v>0</v>
      </c>
      <c r="D98" s="740" t="str">
        <f>'Semana 1'!BV60</f>
        <v/>
      </c>
      <c r="E98" s="775"/>
      <c r="F98" s="774" t="str">
        <f>'Semana 1'!CD60</f>
        <v/>
      </c>
      <c r="G98" s="774" t="str">
        <f>'Semana 1'!BZ60</f>
        <v/>
      </c>
      <c r="H98" s="776"/>
      <c r="I98" s="774" t="str">
        <f>IFERROR(__xludf.DUMMYFUNCTION("""COMPUTED_VALUE"""),"Corda")</f>
        <v>Corda</v>
      </c>
      <c r="J98" s="201">
        <f>IFERROR(__xludf.DUMMYFUNCTION("""COMPUTED_VALUE"""),6.139132535407591)</f>
        <v>6.139132535</v>
      </c>
      <c r="K98" s="776"/>
    </row>
    <row r="99">
      <c r="A99" s="774" t="str">
        <f>'Semana 1'!CC62</f>
        <v/>
      </c>
      <c r="B99" s="201">
        <f t="shared" si="1"/>
        <v>0</v>
      </c>
      <c r="D99" s="740" t="str">
        <f>'Semana 1'!BV62</f>
        <v/>
      </c>
      <c r="E99" s="775"/>
      <c r="F99" s="774" t="str">
        <f>'Semana 1'!CD62</f>
        <v/>
      </c>
      <c r="G99" s="774" t="str">
        <f>'Semana 1'!BZ62</f>
        <v/>
      </c>
      <c r="H99" s="776"/>
      <c r="I99" s="774" t="str">
        <f>IFERROR(__xludf.DUMMYFUNCTION("""COMPUTED_VALUE"""),"Corda")</f>
        <v>Corda</v>
      </c>
      <c r="J99" s="201">
        <f>IFERROR(__xludf.DUMMYFUNCTION("""COMPUTED_VALUE"""),6.139132535407591)</f>
        <v>6.139132535</v>
      </c>
      <c r="K99" s="776"/>
    </row>
    <row r="100">
      <c r="A100" s="774" t="str">
        <f>'Semana 1'!CC64</f>
        <v/>
      </c>
      <c r="B100" s="201">
        <f t="shared" si="1"/>
        <v>0</v>
      </c>
      <c r="D100" s="740" t="str">
        <f>'Semana 1'!BV64</f>
        <v/>
      </c>
      <c r="E100" s="775"/>
      <c r="F100" s="774" t="str">
        <f>'Semana 1'!CD64</f>
        <v/>
      </c>
      <c r="G100" s="774" t="str">
        <f>'Semana 1'!BZ64</f>
        <v/>
      </c>
      <c r="H100" s="776"/>
      <c r="I100" s="774" t="str">
        <f>IFERROR(__xludf.DUMMYFUNCTION("""COMPUTED_VALUE"""),"Cadeira Abdutora")</f>
        <v>Cadeira Abdutora</v>
      </c>
      <c r="J100" s="201">
        <f>IFERROR(__xludf.DUMMYFUNCTION("""COMPUTED_VALUE"""),5.0)</f>
        <v>5</v>
      </c>
      <c r="K100" s="776"/>
    </row>
    <row r="101">
      <c r="A101" s="774" t="str">
        <f>'Semana 1'!CT26</f>
        <v>Pista</v>
      </c>
      <c r="B101" s="201">
        <f t="shared" si="1"/>
        <v>0</v>
      </c>
      <c r="D101" s="740" t="str">
        <f>'Semana 1'!CM26</f>
        <v/>
      </c>
      <c r="E101" s="775"/>
      <c r="F101" s="774" t="str">
        <f>'Semana 1'!CU26</f>
        <v/>
      </c>
      <c r="G101" s="774" t="str">
        <f>'Semana 1'!CQ26</f>
        <v/>
      </c>
      <c r="H101" s="776"/>
      <c r="I101" s="774" t="str">
        <f>IFERROR(__xludf.DUMMYFUNCTION("""COMPUTED_VALUE"""),"Cadeira Abdutora")</f>
        <v>Cadeira Abdutora</v>
      </c>
      <c r="J101" s="201">
        <f>IFERROR(__xludf.DUMMYFUNCTION("""COMPUTED_VALUE"""),4.41)</f>
        <v>4.41</v>
      </c>
      <c r="K101" s="776"/>
    </row>
    <row r="102">
      <c r="A102" s="774" t="str">
        <f>'Semana 1'!CT28</f>
        <v/>
      </c>
      <c r="B102" s="201">
        <f t="shared" si="1"/>
        <v>0</v>
      </c>
      <c r="D102" s="740" t="str">
        <f>'Semana 1'!CM28</f>
        <v/>
      </c>
      <c r="E102" s="775"/>
      <c r="F102" s="774" t="str">
        <f>'Semana 1'!CU28</f>
        <v/>
      </c>
      <c r="G102" s="774" t="str">
        <f>'Semana 1'!CQ28</f>
        <v/>
      </c>
      <c r="H102" s="776"/>
      <c r="I102" s="774" t="str">
        <f>IFERROR(__xludf.DUMMYFUNCTION("""COMPUTED_VALUE"""),"Abdominal Obliquo na polia média")</f>
        <v>Abdominal Obliquo na polia média</v>
      </c>
      <c r="J102" s="201">
        <f>IFERROR(__xludf.DUMMYFUNCTION("""COMPUTED_VALUE"""),4.0)</f>
        <v>4</v>
      </c>
      <c r="K102" s="776"/>
    </row>
    <row r="103">
      <c r="A103" s="774" t="str">
        <f>'Semana 1'!CT30</f>
        <v/>
      </c>
      <c r="B103" s="201">
        <f t="shared" si="1"/>
        <v>0</v>
      </c>
      <c r="D103" s="740" t="str">
        <f>'Semana 1'!CM30</f>
        <v/>
      </c>
      <c r="E103" s="775"/>
      <c r="F103" s="774" t="str">
        <f>'Semana 1'!CU30</f>
        <v/>
      </c>
      <c r="G103" s="774" t="str">
        <f>'Semana 1'!CQ30</f>
        <v/>
      </c>
      <c r="H103" s="776"/>
      <c r="I103" s="774" t="str">
        <f>IFERROR(__xludf.DUMMYFUNCTION("""COMPUTED_VALUE"""),"Abdominal Obliquo na polia média")</f>
        <v>Abdominal Obliquo na polia média</v>
      </c>
      <c r="J103" s="201">
        <f>IFERROR(__xludf.DUMMYFUNCTION("""COMPUTED_VALUE"""),4.0)</f>
        <v>4</v>
      </c>
      <c r="K103" s="776"/>
    </row>
    <row r="104">
      <c r="A104" s="774" t="str">
        <f>'Semana 1'!CT32</f>
        <v/>
      </c>
      <c r="B104" s="201">
        <f t="shared" si="1"/>
        <v>0</v>
      </c>
      <c r="D104" s="740" t="str">
        <f>'Semana 1'!CM32</f>
        <v/>
      </c>
      <c r="E104" s="775"/>
      <c r="F104" s="774" t="str">
        <f>'Semana 1'!CU32</f>
        <v/>
      </c>
      <c r="G104" s="774" t="str">
        <f>'Semana 1'!CQ32</f>
        <v/>
      </c>
      <c r="H104" s="776"/>
      <c r="I104" s="774" t="str">
        <f>IFERROR(__xludf.DUMMYFUNCTION("""COMPUTED_VALUE"""),"Triceps Coice na Polia")</f>
        <v>Triceps Coice na Polia</v>
      </c>
      <c r="J104" s="201">
        <f>IFERROR(__xludf.DUMMYFUNCTION("""COMPUTED_VALUE"""),2.205)</f>
        <v>2.205</v>
      </c>
      <c r="K104" s="776"/>
    </row>
    <row r="105">
      <c r="A105" s="774" t="str">
        <f>'Semana 1'!CT34</f>
        <v/>
      </c>
      <c r="B105" s="201">
        <f t="shared" si="1"/>
        <v>0</v>
      </c>
      <c r="D105" s="740" t="str">
        <f>'Semana 1'!CM34</f>
        <v/>
      </c>
      <c r="E105" s="775"/>
      <c r="F105" s="774" t="str">
        <f>'Semana 1'!CU34</f>
        <v/>
      </c>
      <c r="G105" s="774" t="str">
        <f>'Semana 1'!CQ34</f>
        <v/>
      </c>
      <c r="H105" s="776"/>
      <c r="I105" s="774" t="str">
        <f>IFERROR(__xludf.DUMMYFUNCTION("""COMPUTED_VALUE"""),"Triceps Coice na Polia")</f>
        <v>Triceps Coice na Polia</v>
      </c>
      <c r="J105" s="201">
        <f>IFERROR(__xludf.DUMMYFUNCTION("""COMPUTED_VALUE"""),2.0)</f>
        <v>2</v>
      </c>
      <c r="K105" s="776"/>
    </row>
    <row r="106">
      <c r="A106" s="774" t="str">
        <f>'Semana 1'!CT36</f>
        <v/>
      </c>
      <c r="B106" s="201">
        <f t="shared" si="1"/>
        <v>0</v>
      </c>
      <c r="D106" s="740" t="str">
        <f>'Semana 1'!CM36</f>
        <v/>
      </c>
      <c r="E106" s="775"/>
      <c r="F106" s="774" t="str">
        <f>'Semana 1'!CU36</f>
        <v/>
      </c>
      <c r="G106" s="774" t="str">
        <f>'Semana 1'!CQ36</f>
        <v/>
      </c>
      <c r="H106" s="776"/>
      <c r="K106" s="776"/>
    </row>
    <row r="107">
      <c r="A107" s="774" t="str">
        <f>'Semana 1'!CT38</f>
        <v/>
      </c>
      <c r="B107" s="201">
        <f t="shared" si="1"/>
        <v>0</v>
      </c>
      <c r="D107" s="740" t="str">
        <f>'Semana 1'!CM38</f>
        <v/>
      </c>
      <c r="E107" s="775"/>
      <c r="F107" s="774" t="str">
        <f>'Semana 1'!CU38</f>
        <v/>
      </c>
      <c r="G107" s="774" t="str">
        <f>'Semana 1'!CQ38</f>
        <v/>
      </c>
      <c r="H107" s="776"/>
      <c r="K107" s="776"/>
    </row>
    <row r="108">
      <c r="A108" s="774" t="str">
        <f>'Semana 1'!CT40</f>
        <v/>
      </c>
      <c r="B108" s="201">
        <f t="shared" si="1"/>
        <v>0</v>
      </c>
      <c r="D108" s="740" t="str">
        <f>'Semana 1'!CM40</f>
        <v/>
      </c>
      <c r="E108" s="775"/>
      <c r="F108" s="774" t="str">
        <f>'Semana 1'!CU40</f>
        <v/>
      </c>
      <c r="G108" s="774" t="str">
        <f>'Semana 1'!CQ40</f>
        <v/>
      </c>
      <c r="H108" s="776"/>
      <c r="K108" s="776"/>
    </row>
    <row r="109">
      <c r="A109" s="774" t="str">
        <f>'Semana 1'!CT42</f>
        <v/>
      </c>
      <c r="B109" s="201">
        <f t="shared" si="1"/>
        <v>0</v>
      </c>
      <c r="D109" s="740" t="str">
        <f>'Semana 1'!CM42</f>
        <v/>
      </c>
      <c r="E109" s="775"/>
      <c r="F109" s="774" t="str">
        <f>'Semana 1'!CU42</f>
        <v/>
      </c>
      <c r="G109" s="774" t="str">
        <f>'Semana 1'!CQ42</f>
        <v/>
      </c>
      <c r="H109" s="776"/>
      <c r="K109" s="776"/>
    </row>
    <row r="110">
      <c r="A110" s="774" t="str">
        <f>'Semana 1'!CT44</f>
        <v/>
      </c>
      <c r="B110" s="201">
        <f t="shared" si="1"/>
        <v>0</v>
      </c>
      <c r="D110" s="740" t="str">
        <f>'Semana 1'!CM44</f>
        <v/>
      </c>
      <c r="E110" s="775"/>
      <c r="F110" s="774" t="str">
        <f>'Semana 1'!CU44</f>
        <v/>
      </c>
      <c r="G110" s="774" t="str">
        <f>'Semana 1'!CQ44</f>
        <v/>
      </c>
      <c r="H110" s="776"/>
      <c r="K110" s="776"/>
    </row>
    <row r="111">
      <c r="A111" s="774" t="str">
        <f>'Semana 1'!CT46</f>
        <v/>
      </c>
      <c r="B111" s="201">
        <f t="shared" si="1"/>
        <v>0</v>
      </c>
      <c r="D111" s="740" t="str">
        <f>'Semana 1'!CM46</f>
        <v/>
      </c>
      <c r="E111" s="775"/>
      <c r="F111" s="774" t="str">
        <f>'Semana 1'!CU46</f>
        <v/>
      </c>
      <c r="G111" s="774" t="str">
        <f>'Semana 1'!CQ46</f>
        <v/>
      </c>
      <c r="H111" s="776"/>
      <c r="K111" s="776"/>
    </row>
    <row r="112">
      <c r="A112" s="774" t="str">
        <f>'Semana 1'!CT48</f>
        <v/>
      </c>
      <c r="B112" s="201">
        <f t="shared" si="1"/>
        <v>0</v>
      </c>
      <c r="D112" s="740" t="str">
        <f>'Semana 1'!CM48</f>
        <v/>
      </c>
      <c r="E112" s="775"/>
      <c r="F112" s="774" t="str">
        <f>'Semana 1'!CU48</f>
        <v/>
      </c>
      <c r="G112" s="774" t="str">
        <f>'Semana 1'!CQ48</f>
        <v/>
      </c>
      <c r="H112" s="776"/>
      <c r="K112" s="776"/>
    </row>
    <row r="113">
      <c r="A113" s="774" t="str">
        <f>'Semana 1'!CT50</f>
        <v/>
      </c>
      <c r="B113" s="201">
        <f t="shared" si="1"/>
        <v>0</v>
      </c>
      <c r="D113" s="740" t="str">
        <f>'Semana 1'!CM50</f>
        <v/>
      </c>
      <c r="E113" s="775"/>
      <c r="F113" s="774" t="str">
        <f>'Semana 1'!CU50</f>
        <v/>
      </c>
      <c r="G113" s="774" t="str">
        <f>'Semana 1'!CQ50</f>
        <v/>
      </c>
      <c r="H113" s="776"/>
      <c r="K113" s="776"/>
    </row>
    <row r="114">
      <c r="A114" s="774" t="str">
        <f>'Semana 1'!CT52</f>
        <v/>
      </c>
      <c r="B114" s="201">
        <f t="shared" si="1"/>
        <v>0</v>
      </c>
      <c r="D114" s="740" t="str">
        <f>'Semana 1'!CM52</f>
        <v/>
      </c>
      <c r="E114" s="775"/>
      <c r="F114" s="774" t="str">
        <f>'Semana 1'!CU52</f>
        <v/>
      </c>
      <c r="G114" s="774" t="str">
        <f>'Semana 1'!CQ52</f>
        <v/>
      </c>
      <c r="H114" s="776"/>
      <c r="K114" s="776"/>
    </row>
    <row r="115">
      <c r="A115" s="774" t="str">
        <f>'Semana 1'!CT54</f>
        <v/>
      </c>
      <c r="B115" s="201">
        <f t="shared" si="1"/>
        <v>0</v>
      </c>
      <c r="D115" s="740" t="str">
        <f>'Semana 1'!CM54</f>
        <v/>
      </c>
      <c r="E115" s="775"/>
      <c r="F115" s="774" t="str">
        <f>'Semana 1'!CU54</f>
        <v/>
      </c>
      <c r="G115" s="774" t="str">
        <f>'Semana 1'!CQ54</f>
        <v/>
      </c>
      <c r="H115" s="776"/>
      <c r="K115" s="776"/>
    </row>
    <row r="116">
      <c r="A116" s="774" t="str">
        <f>'Semana 1'!CT56</f>
        <v/>
      </c>
      <c r="B116" s="201">
        <f t="shared" si="1"/>
        <v>0</v>
      </c>
      <c r="D116" s="740" t="str">
        <f>'Semana 1'!CM56</f>
        <v/>
      </c>
      <c r="E116" s="775"/>
      <c r="F116" s="774" t="str">
        <f>'Semana 1'!CU56</f>
        <v/>
      </c>
      <c r="G116" s="774" t="str">
        <f>'Semana 1'!CQ56</f>
        <v/>
      </c>
      <c r="H116" s="776"/>
      <c r="K116" s="776"/>
    </row>
    <row r="117">
      <c r="A117" s="774" t="str">
        <f>'Semana 1'!CT58</f>
        <v/>
      </c>
      <c r="B117" s="201">
        <f t="shared" si="1"/>
        <v>0</v>
      </c>
      <c r="D117" s="740" t="str">
        <f>'Semana 1'!CM58</f>
        <v/>
      </c>
      <c r="E117" s="775"/>
      <c r="F117" s="774" t="str">
        <f>'Semana 1'!CU58</f>
        <v/>
      </c>
      <c r="G117" s="774" t="str">
        <f>'Semana 1'!CQ58</f>
        <v/>
      </c>
      <c r="H117" s="776"/>
      <c r="K117" s="776"/>
    </row>
    <row r="118">
      <c r="A118" s="774" t="str">
        <f>'Semana 1'!CT60</f>
        <v/>
      </c>
      <c r="B118" s="201">
        <f t="shared" si="1"/>
        <v>0</v>
      </c>
      <c r="D118" s="740" t="str">
        <f>'Semana 1'!CM60</f>
        <v/>
      </c>
      <c r="E118" s="775"/>
      <c r="F118" s="774" t="str">
        <f>'Semana 1'!CU60</f>
        <v/>
      </c>
      <c r="G118" s="774" t="str">
        <f>'Semana 1'!CQ60</f>
        <v/>
      </c>
      <c r="H118" s="776"/>
      <c r="K118" s="776"/>
    </row>
    <row r="119">
      <c r="A119" s="774" t="str">
        <f>'Semana 1'!CT62</f>
        <v/>
      </c>
      <c r="B119" s="201">
        <f t="shared" si="1"/>
        <v>0</v>
      </c>
      <c r="D119" s="740" t="str">
        <f>'Semana 1'!CM62</f>
        <v/>
      </c>
      <c r="E119" s="775"/>
      <c r="F119" s="774" t="str">
        <f>'Semana 1'!CU62</f>
        <v/>
      </c>
      <c r="G119" s="774" t="str">
        <f>'Semana 1'!CQ62</f>
        <v/>
      </c>
      <c r="H119" s="776"/>
      <c r="K119" s="776"/>
    </row>
    <row r="120">
      <c r="A120" s="774" t="str">
        <f>'Semana 1'!CT64</f>
        <v/>
      </c>
      <c r="B120" s="201">
        <f t="shared" si="1"/>
        <v>0</v>
      </c>
      <c r="D120" s="740" t="str">
        <f>'Semana 1'!CM64</f>
        <v/>
      </c>
      <c r="E120" s="775"/>
      <c r="F120" s="774" t="str">
        <f>'Semana 1'!CU64</f>
        <v/>
      </c>
      <c r="G120" s="774" t="str">
        <f>'Semana 1'!CQ64</f>
        <v/>
      </c>
      <c r="H120" s="776"/>
      <c r="K120" s="776"/>
    </row>
    <row r="121">
      <c r="A121" s="774" t="str">
        <f>'Semana 1'!DK26</f>
        <v/>
      </c>
      <c r="B121" s="201">
        <f t="shared" si="1"/>
        <v>0</v>
      </c>
      <c r="D121" s="740" t="str">
        <f>'Semana 1'!DD26</f>
        <v/>
      </c>
      <c r="E121" s="775"/>
      <c r="F121" s="774" t="str">
        <f>'Semana 1'!DL26</f>
        <v/>
      </c>
      <c r="G121" s="774" t="str">
        <f>'Semana 1'!DH26</f>
        <v/>
      </c>
      <c r="H121" s="776"/>
      <c r="K121" s="776"/>
    </row>
    <row r="122">
      <c r="A122" s="774" t="str">
        <f>'Semana 1'!DK28</f>
        <v/>
      </c>
      <c r="B122" s="201">
        <f t="shared" si="1"/>
        <v>0</v>
      </c>
      <c r="D122" s="740" t="str">
        <f>'Semana 1'!DD28</f>
        <v/>
      </c>
      <c r="E122" s="775"/>
      <c r="F122" s="774" t="str">
        <f>'Semana 1'!DL28</f>
        <v/>
      </c>
      <c r="G122" s="774" t="str">
        <f>'Semana 1'!DH28</f>
        <v/>
      </c>
      <c r="H122" s="776"/>
      <c r="K122" s="776"/>
    </row>
    <row r="123">
      <c r="A123" s="774" t="str">
        <f>'Semana 1'!DK30</f>
        <v/>
      </c>
      <c r="B123" s="201">
        <f t="shared" si="1"/>
        <v>0</v>
      </c>
      <c r="D123" s="740" t="str">
        <f>'Semana 1'!DD30</f>
        <v/>
      </c>
      <c r="E123" s="775"/>
      <c r="F123" s="774" t="str">
        <f>'Semana 1'!DL30</f>
        <v/>
      </c>
      <c r="G123" s="774" t="str">
        <f>'Semana 1'!DH30</f>
        <v/>
      </c>
      <c r="H123" s="776"/>
      <c r="K123" s="776"/>
    </row>
    <row r="124">
      <c r="A124" s="774" t="str">
        <f>'Semana 1'!DK32</f>
        <v/>
      </c>
      <c r="B124" s="201">
        <f t="shared" si="1"/>
        <v>0</v>
      </c>
      <c r="D124" s="740" t="str">
        <f>'Semana 1'!DD32</f>
        <v/>
      </c>
      <c r="E124" s="775"/>
      <c r="F124" s="774" t="str">
        <f>'Semana 1'!DL32</f>
        <v/>
      </c>
      <c r="G124" s="774" t="str">
        <f>'Semana 1'!DH32</f>
        <v/>
      </c>
      <c r="H124" s="776"/>
      <c r="K124" s="776"/>
    </row>
    <row r="125">
      <c r="A125" s="774" t="str">
        <f>'Semana 1'!DK34</f>
        <v/>
      </c>
      <c r="B125" s="201">
        <f t="shared" si="1"/>
        <v>0</v>
      </c>
      <c r="D125" s="740" t="str">
        <f>'Semana 1'!DD34</f>
        <v/>
      </c>
      <c r="E125" s="775"/>
      <c r="F125" s="774" t="str">
        <f>'Semana 1'!DL34</f>
        <v/>
      </c>
      <c r="G125" s="774" t="str">
        <f>'Semana 1'!DH34</f>
        <v/>
      </c>
      <c r="H125" s="776"/>
      <c r="K125" s="776"/>
    </row>
    <row r="126">
      <c r="A126" s="774" t="str">
        <f>'Semana 1'!DK36</f>
        <v/>
      </c>
      <c r="B126" s="201">
        <f t="shared" si="1"/>
        <v>0</v>
      </c>
      <c r="D126" s="740" t="str">
        <f>'Semana 1'!DD36</f>
        <v/>
      </c>
      <c r="E126" s="775"/>
      <c r="F126" s="774" t="str">
        <f>'Semana 1'!DL36</f>
        <v/>
      </c>
      <c r="G126" s="774" t="str">
        <f>'Semana 1'!DH36</f>
        <v/>
      </c>
      <c r="H126" s="776"/>
      <c r="K126" s="776"/>
    </row>
    <row r="127">
      <c r="A127" s="774" t="str">
        <f>'Semana 1'!DK38</f>
        <v/>
      </c>
      <c r="B127" s="201">
        <f t="shared" si="1"/>
        <v>0</v>
      </c>
      <c r="D127" s="740" t="str">
        <f>'Semana 1'!DD38</f>
        <v/>
      </c>
      <c r="E127" s="775"/>
      <c r="F127" s="774" t="str">
        <f>'Semana 1'!DL38</f>
        <v/>
      </c>
      <c r="G127" s="774" t="str">
        <f>'Semana 1'!DH38</f>
        <v/>
      </c>
      <c r="H127" s="776"/>
      <c r="K127" s="776"/>
    </row>
    <row r="128">
      <c r="A128" s="774" t="str">
        <f>'Semana 1'!DK40</f>
        <v/>
      </c>
      <c r="B128" s="201">
        <f t="shared" si="1"/>
        <v>0</v>
      </c>
      <c r="D128" s="740" t="str">
        <f>'Semana 1'!DD40</f>
        <v/>
      </c>
      <c r="E128" s="775"/>
      <c r="F128" s="774" t="str">
        <f>'Semana 1'!DL40</f>
        <v/>
      </c>
      <c r="G128" s="774" t="str">
        <f>'Semana 1'!DH40</f>
        <v/>
      </c>
      <c r="H128" s="776"/>
      <c r="K128" s="776"/>
    </row>
    <row r="129">
      <c r="A129" s="774" t="str">
        <f>'Semana 1'!DK42</f>
        <v/>
      </c>
      <c r="B129" s="201">
        <f t="shared" si="1"/>
        <v>0</v>
      </c>
      <c r="D129" s="740" t="str">
        <f>'Semana 1'!DD42</f>
        <v/>
      </c>
      <c r="E129" s="775"/>
      <c r="F129" s="774" t="str">
        <f>'Semana 1'!DL42</f>
        <v/>
      </c>
      <c r="G129" s="774" t="str">
        <f>'Semana 1'!DH42</f>
        <v/>
      </c>
      <c r="H129" s="776"/>
      <c r="K129" s="776"/>
    </row>
    <row r="130">
      <c r="A130" s="774" t="str">
        <f>'Semana 1'!DK44</f>
        <v/>
      </c>
      <c r="B130" s="201">
        <f t="shared" si="1"/>
        <v>0</v>
      </c>
      <c r="D130" s="740" t="str">
        <f>'Semana 1'!DD44</f>
        <v/>
      </c>
      <c r="E130" s="775"/>
      <c r="F130" s="774" t="str">
        <f>'Semana 1'!DL44</f>
        <v/>
      </c>
      <c r="G130" s="774" t="str">
        <f>'Semana 1'!DH44</f>
        <v/>
      </c>
      <c r="H130" s="776"/>
      <c r="K130" s="776"/>
    </row>
    <row r="131">
      <c r="A131" s="774" t="str">
        <f>'Semana 1'!DK46</f>
        <v/>
      </c>
      <c r="B131" s="201">
        <f t="shared" si="1"/>
        <v>0</v>
      </c>
      <c r="D131" s="740" t="str">
        <f>'Semana 1'!DD46</f>
        <v/>
      </c>
      <c r="E131" s="775"/>
      <c r="F131" s="774" t="str">
        <f>'Semana 1'!DL46</f>
        <v/>
      </c>
      <c r="G131" s="774" t="str">
        <f>'Semana 1'!DH46</f>
        <v/>
      </c>
      <c r="H131" s="776"/>
      <c r="K131" s="776"/>
    </row>
    <row r="132">
      <c r="A132" s="774" t="str">
        <f>'Semana 1'!DK48</f>
        <v/>
      </c>
      <c r="B132" s="201">
        <f t="shared" si="1"/>
        <v>0</v>
      </c>
      <c r="D132" s="740" t="str">
        <f>'Semana 1'!DD48</f>
        <v/>
      </c>
      <c r="E132" s="775"/>
      <c r="F132" s="774" t="str">
        <f>'Semana 1'!DL48</f>
        <v/>
      </c>
      <c r="G132" s="774" t="str">
        <f>'Semana 1'!DH48</f>
        <v/>
      </c>
      <c r="H132" s="776"/>
      <c r="K132" s="776"/>
    </row>
    <row r="133">
      <c r="A133" s="774" t="str">
        <f>'Semana 1'!DK50</f>
        <v/>
      </c>
      <c r="B133" s="201">
        <f t="shared" si="1"/>
        <v>0</v>
      </c>
      <c r="D133" s="740" t="str">
        <f>'Semana 1'!DD50</f>
        <v/>
      </c>
      <c r="E133" s="775"/>
      <c r="F133" s="774" t="str">
        <f>'Semana 1'!DL50</f>
        <v/>
      </c>
      <c r="G133" s="774" t="str">
        <f>'Semana 1'!DH50</f>
        <v/>
      </c>
      <c r="H133" s="776"/>
      <c r="K133" s="776"/>
    </row>
    <row r="134">
      <c r="A134" s="774" t="str">
        <f>'Semana 1'!DK52</f>
        <v/>
      </c>
      <c r="B134" s="201">
        <f t="shared" si="1"/>
        <v>0</v>
      </c>
      <c r="D134" s="740" t="str">
        <f>'Semana 1'!DD52</f>
        <v/>
      </c>
      <c r="E134" s="775"/>
      <c r="F134" s="774" t="str">
        <f>'Semana 1'!DL52</f>
        <v/>
      </c>
      <c r="G134" s="774" t="str">
        <f>'Semana 1'!DH52</f>
        <v/>
      </c>
      <c r="H134" s="776"/>
      <c r="K134" s="776"/>
    </row>
    <row r="135">
      <c r="A135" s="774" t="str">
        <f>'Semana 1'!DK54</f>
        <v/>
      </c>
      <c r="B135" s="201">
        <f t="shared" si="1"/>
        <v>0</v>
      </c>
      <c r="D135" s="740" t="str">
        <f>'Semana 1'!DD54</f>
        <v/>
      </c>
      <c r="E135" s="775"/>
      <c r="F135" s="774" t="str">
        <f>'Semana 1'!DL54</f>
        <v/>
      </c>
      <c r="G135" s="774" t="str">
        <f>'Semana 1'!DH54</f>
        <v/>
      </c>
      <c r="H135" s="776"/>
      <c r="K135" s="776"/>
    </row>
    <row r="136">
      <c r="A136" s="774" t="str">
        <f>'Semana 1'!DK56</f>
        <v/>
      </c>
      <c r="B136" s="201">
        <f t="shared" si="1"/>
        <v>0</v>
      </c>
      <c r="D136" s="740" t="str">
        <f>'Semana 1'!DD56</f>
        <v/>
      </c>
      <c r="E136" s="775"/>
      <c r="F136" s="774" t="str">
        <f>'Semana 1'!DL56</f>
        <v/>
      </c>
      <c r="G136" s="774" t="str">
        <f>'Semana 1'!DH56</f>
        <v/>
      </c>
      <c r="H136" s="776"/>
      <c r="K136" s="776"/>
    </row>
    <row r="137">
      <c r="A137" s="774" t="str">
        <f>'Semana 1'!DK58</f>
        <v/>
      </c>
      <c r="B137" s="201">
        <f t="shared" si="1"/>
        <v>0</v>
      </c>
      <c r="D137" s="740" t="str">
        <f>'Semana 1'!DD58</f>
        <v/>
      </c>
      <c r="E137" s="775"/>
      <c r="F137" s="774" t="str">
        <f>'Semana 1'!DL58</f>
        <v/>
      </c>
      <c r="G137" s="774" t="str">
        <f>'Semana 1'!DH58</f>
        <v/>
      </c>
      <c r="H137" s="776"/>
      <c r="K137" s="776"/>
    </row>
    <row r="138">
      <c r="A138" s="774" t="str">
        <f>'Semana 1'!DK60</f>
        <v/>
      </c>
      <c r="B138" s="201">
        <f t="shared" si="1"/>
        <v>0</v>
      </c>
      <c r="D138" s="740" t="str">
        <f>'Semana 1'!DD60</f>
        <v/>
      </c>
      <c r="E138" s="775"/>
      <c r="F138" s="774" t="str">
        <f>'Semana 1'!DL60</f>
        <v/>
      </c>
      <c r="G138" s="774" t="str">
        <f>'Semana 1'!DH60</f>
        <v/>
      </c>
      <c r="H138" s="776"/>
      <c r="K138" s="776"/>
    </row>
    <row r="139">
      <c r="A139" s="774" t="str">
        <f>'Semana 1'!DK62</f>
        <v/>
      </c>
      <c r="B139" s="201">
        <f t="shared" si="1"/>
        <v>0</v>
      </c>
      <c r="D139" s="740" t="str">
        <f>'Semana 1'!DD62</f>
        <v/>
      </c>
      <c r="E139" s="775"/>
      <c r="F139" s="774" t="str">
        <f>'Semana 1'!DL62</f>
        <v/>
      </c>
      <c r="G139" s="774" t="str">
        <f>'Semana 1'!DH62</f>
        <v/>
      </c>
      <c r="H139" s="776"/>
      <c r="K139" s="776"/>
    </row>
    <row r="140">
      <c r="A140" s="774" t="str">
        <f>'Semana 1'!DK64</f>
        <v/>
      </c>
      <c r="B140" s="201">
        <f t="shared" si="1"/>
        <v>0</v>
      </c>
      <c r="D140" s="740" t="str">
        <f>'Semana 1'!DD64</f>
        <v/>
      </c>
      <c r="E140" s="775"/>
      <c r="F140" s="774" t="str">
        <f>'Semana 1'!DL64</f>
        <v/>
      </c>
      <c r="G140" s="774" t="str">
        <f>'Semana 1'!DH64</f>
        <v/>
      </c>
      <c r="H140" s="776"/>
      <c r="K140" s="776"/>
    </row>
    <row r="141">
      <c r="A141" s="774" t="str">
        <f>'Semana 2'!M26</f>
        <v>Esteira</v>
      </c>
      <c r="B141" s="201">
        <f t="shared" si="1"/>
        <v>6.139132535</v>
      </c>
      <c r="D141" s="740" t="str">
        <f>'Semana 2'!F26</f>
        <v/>
      </c>
      <c r="E141" s="775"/>
      <c r="F141" s="774" t="str">
        <f>'Semana 2'!N26</f>
        <v/>
      </c>
      <c r="G141" s="774">
        <f>'Semana 2'!J26</f>
        <v>10</v>
      </c>
      <c r="H141" s="776"/>
      <c r="K141" s="776"/>
    </row>
    <row r="142">
      <c r="A142" s="774" t="str">
        <f>'Semana 2'!M28</f>
        <v>Supino</v>
      </c>
      <c r="B142" s="201">
        <f t="shared" si="1"/>
        <v>59.535</v>
      </c>
      <c r="D142" s="740">
        <f>'Semana 2'!F28</f>
        <v>12</v>
      </c>
      <c r="E142" s="775"/>
      <c r="F142" s="774" t="str">
        <f>'Semana 2'!N28</f>
        <v/>
      </c>
      <c r="G142" s="774">
        <f>'Semana 2'!J28</f>
        <v>54</v>
      </c>
      <c r="H142" s="776"/>
      <c r="K142" s="776"/>
    </row>
    <row r="143">
      <c r="A143" s="774" t="str">
        <f>'Semana 2'!M30</f>
        <v>Remada Frontal Máquina</v>
      </c>
      <c r="B143" s="201">
        <f t="shared" si="1"/>
        <v>66.15</v>
      </c>
      <c r="D143" s="740">
        <f>'Semana 2'!F30</f>
        <v>12</v>
      </c>
      <c r="E143" s="775"/>
      <c r="F143" s="774" t="str">
        <f>'Semana 2'!N30</f>
        <v/>
      </c>
      <c r="G143" s="774">
        <f>'Semana 2'!J30</f>
        <v>60</v>
      </c>
      <c r="H143" s="776"/>
      <c r="K143" s="776"/>
    </row>
    <row r="144">
      <c r="A144" s="774" t="str">
        <f>'Semana 2'!M32</f>
        <v>Esteira</v>
      </c>
      <c r="B144" s="201">
        <f t="shared" si="1"/>
        <v>6.139132535</v>
      </c>
      <c r="D144" s="740" t="str">
        <f>'Semana 2'!F32</f>
        <v/>
      </c>
      <c r="E144" s="775"/>
      <c r="F144" s="774" t="str">
        <f>'Semana 2'!N32</f>
        <v/>
      </c>
      <c r="G144" s="774">
        <f>'Semana 2'!J32</f>
        <v>10</v>
      </c>
      <c r="H144" s="776"/>
      <c r="K144" s="776"/>
    </row>
    <row r="145">
      <c r="A145" s="774" t="str">
        <f>'Semana 2'!M34</f>
        <v>Supino Inclinado</v>
      </c>
      <c r="B145" s="201">
        <f t="shared" si="1"/>
        <v>48.51</v>
      </c>
      <c r="D145" s="740">
        <f>'Semana 2'!F34</f>
        <v>12</v>
      </c>
      <c r="E145" s="775"/>
      <c r="F145" s="774" t="str">
        <f>'Semana 2'!N34</f>
        <v/>
      </c>
      <c r="G145" s="774">
        <f>'Semana 2'!J34</f>
        <v>44</v>
      </c>
      <c r="H145" s="776"/>
      <c r="K145" s="776"/>
    </row>
    <row r="146">
      <c r="A146" s="774" t="str">
        <f>'Semana 2'!M36</f>
        <v>Pulley frente</v>
      </c>
      <c r="B146" s="201">
        <f t="shared" si="1"/>
        <v>8.82</v>
      </c>
      <c r="D146" s="740">
        <f>'Semana 2'!F36</f>
        <v>12</v>
      </c>
      <c r="E146" s="775"/>
      <c r="F146" s="774" t="str">
        <f>'Semana 2'!N36</f>
        <v/>
      </c>
      <c r="G146" s="774">
        <f>'Semana 2'!J36</f>
        <v>8</v>
      </c>
      <c r="H146" s="776"/>
      <c r="K146" s="776"/>
    </row>
    <row r="147">
      <c r="A147" s="774" t="str">
        <f>'Semana 2'!M38</f>
        <v>Esteira</v>
      </c>
      <c r="B147" s="201">
        <f t="shared" si="1"/>
        <v>6.139132535</v>
      </c>
      <c r="D147" s="740" t="str">
        <f>'Semana 2'!F38</f>
        <v/>
      </c>
      <c r="E147" s="775"/>
      <c r="F147" s="774" t="str">
        <f>'Semana 2'!N38</f>
        <v/>
      </c>
      <c r="G147" s="774">
        <f>'Semana 2'!J38</f>
        <v>10</v>
      </c>
      <c r="H147" s="776"/>
      <c r="K147" s="776"/>
    </row>
    <row r="148">
      <c r="A148" s="774" t="str">
        <f>'Semana 2'!M40</f>
        <v>Fly Inverso</v>
      </c>
      <c r="B148" s="201">
        <f t="shared" si="1"/>
        <v>7.7175</v>
      </c>
      <c r="D148" s="740">
        <f>'Semana 2'!F40</f>
        <v>12</v>
      </c>
      <c r="E148" s="775"/>
      <c r="F148" s="774" t="str">
        <f>'Semana 2'!N40</f>
        <v/>
      </c>
      <c r="G148" s="774">
        <f>'Semana 2'!J40</f>
        <v>7</v>
      </c>
      <c r="H148" s="776"/>
      <c r="K148" s="776"/>
    </row>
    <row r="149">
      <c r="A149" s="774" t="str">
        <f>'Semana 2'!M42</f>
        <v>Rosca Direta</v>
      </c>
      <c r="B149" s="201">
        <f t="shared" si="1"/>
        <v>19.845</v>
      </c>
      <c r="D149" s="740">
        <f>'Semana 2'!F42</f>
        <v>12</v>
      </c>
      <c r="E149" s="775"/>
      <c r="F149" s="774" t="str">
        <f>'Semana 2'!N42</f>
        <v/>
      </c>
      <c r="G149" s="774">
        <f>'Semana 2'!J42</f>
        <v>18</v>
      </c>
      <c r="H149" s="776"/>
      <c r="K149" s="776"/>
    </row>
    <row r="150">
      <c r="A150" s="774" t="str">
        <f>'Semana 2'!M44</f>
        <v>Esteira</v>
      </c>
      <c r="B150" s="201">
        <f t="shared" si="1"/>
        <v>6.139132535</v>
      </c>
      <c r="D150" s="740" t="str">
        <f>'Semana 2'!F44</f>
        <v/>
      </c>
      <c r="E150" s="775"/>
      <c r="F150" s="774" t="str">
        <f>'Semana 2'!N44</f>
        <v/>
      </c>
      <c r="G150" s="774">
        <f>'Semana 2'!J44</f>
        <v>10</v>
      </c>
      <c r="H150" s="776"/>
      <c r="K150" s="776"/>
    </row>
    <row r="151">
      <c r="A151" s="774" t="str">
        <f>'Semana 2'!M46</f>
        <v>Fly no peck deck</v>
      </c>
      <c r="B151" s="201">
        <f t="shared" si="1"/>
        <v>7.7175</v>
      </c>
      <c r="D151" s="740">
        <f>'Semana 2'!F46</f>
        <v>12</v>
      </c>
      <c r="E151" s="775"/>
      <c r="F151" s="774" t="str">
        <f>'Semana 2'!N46</f>
        <v/>
      </c>
      <c r="G151" s="774">
        <f>'Semana 2'!J46</f>
        <v>7</v>
      </c>
      <c r="H151" s="776"/>
      <c r="K151" s="776"/>
    </row>
    <row r="152">
      <c r="A152" s="774" t="str">
        <f>'Semana 2'!M48</f>
        <v>Tríceps Testa polia</v>
      </c>
      <c r="B152" s="201">
        <f t="shared" si="1"/>
        <v>6.615</v>
      </c>
      <c r="D152" s="740">
        <f>'Semana 2'!F48</f>
        <v>12</v>
      </c>
      <c r="E152" s="775"/>
      <c r="F152" s="774" t="str">
        <f>'Semana 2'!N48</f>
        <v/>
      </c>
      <c r="G152" s="774">
        <f>'Semana 2'!J48</f>
        <v>6</v>
      </c>
      <c r="H152" s="776"/>
      <c r="K152" s="776"/>
    </row>
    <row r="153">
      <c r="A153" s="774" t="str">
        <f>'Semana 2'!M50</f>
        <v>Esteira</v>
      </c>
      <c r="B153" s="201">
        <f t="shared" si="1"/>
        <v>6.139132535</v>
      </c>
      <c r="D153" s="740" t="str">
        <f>'Semana 2'!F50</f>
        <v/>
      </c>
      <c r="E153" s="775"/>
      <c r="F153" s="774" t="str">
        <f>'Semana 2'!N50</f>
        <v/>
      </c>
      <c r="G153" s="774">
        <f>'Semana 2'!J50</f>
        <v>10</v>
      </c>
      <c r="H153" s="776"/>
      <c r="K153" s="776"/>
    </row>
    <row r="154">
      <c r="A154" s="774" t="str">
        <f>'Semana 2'!M52</f>
        <v>Abdominal canoa</v>
      </c>
      <c r="B154" s="201">
        <f t="shared" si="1"/>
        <v>12.76281563</v>
      </c>
      <c r="D154" s="740">
        <f>'Semana 2'!F52</f>
        <v>15</v>
      </c>
      <c r="E154" s="775"/>
      <c r="F154" s="774" t="str">
        <f>'Semana 2'!N52</f>
        <v/>
      </c>
      <c r="G154" s="774">
        <f>'Semana 2'!J52</f>
        <v>10</v>
      </c>
      <c r="H154" s="776"/>
      <c r="K154" s="776"/>
    </row>
    <row r="155">
      <c r="A155" s="774" t="str">
        <f>'Semana 2'!M54</f>
        <v>Abdominal Remador</v>
      </c>
      <c r="B155" s="201">
        <f t="shared" si="1"/>
        <v>12.76281563</v>
      </c>
      <c r="D155" s="740">
        <f>'Semana 2'!F54</f>
        <v>15</v>
      </c>
      <c r="E155" s="775"/>
      <c r="F155" s="774" t="str">
        <f>'Semana 2'!N54</f>
        <v/>
      </c>
      <c r="G155" s="774">
        <f>'Semana 2'!J54</f>
        <v>10</v>
      </c>
      <c r="H155" s="776"/>
      <c r="K155" s="776"/>
    </row>
    <row r="156">
      <c r="A156" s="774" t="str">
        <f>'Semana 2'!M56</f>
        <v/>
      </c>
      <c r="B156" s="201">
        <f t="shared" si="1"/>
        <v>0</v>
      </c>
      <c r="D156" s="740" t="str">
        <f>'Semana 2'!F56</f>
        <v/>
      </c>
      <c r="E156" s="775"/>
      <c r="F156" s="774" t="str">
        <f>'Semana 2'!N56</f>
        <v/>
      </c>
      <c r="G156" s="774" t="str">
        <f>'Semana 2'!J56</f>
        <v/>
      </c>
      <c r="H156" s="776"/>
      <c r="K156" s="776"/>
    </row>
    <row r="157">
      <c r="A157" s="774" t="str">
        <f>'Semana 2'!M58</f>
        <v/>
      </c>
      <c r="B157" s="201">
        <f t="shared" si="1"/>
        <v>0</v>
      </c>
      <c r="D157" s="740" t="str">
        <f>'Semana 2'!F58</f>
        <v/>
      </c>
      <c r="E157" s="775"/>
      <c r="F157" s="774" t="str">
        <f>'Semana 2'!N58</f>
        <v/>
      </c>
      <c r="G157" s="774" t="str">
        <f>'Semana 2'!J58</f>
        <v/>
      </c>
      <c r="H157" s="776"/>
      <c r="K157" s="776"/>
    </row>
    <row r="158">
      <c r="A158" s="774" t="str">
        <f>'Semana 2'!M60</f>
        <v/>
      </c>
      <c r="B158" s="201">
        <f t="shared" si="1"/>
        <v>0</v>
      </c>
      <c r="D158" s="740" t="str">
        <f>'Semana 2'!F60</f>
        <v/>
      </c>
      <c r="E158" s="775"/>
      <c r="F158" s="774" t="str">
        <f>'Semana 2'!N60</f>
        <v/>
      </c>
      <c r="G158" s="774" t="str">
        <f>'Semana 2'!J60</f>
        <v/>
      </c>
      <c r="H158" s="776"/>
      <c r="K158" s="776"/>
    </row>
    <row r="159">
      <c r="A159" s="774" t="str">
        <f>'Semana 2'!M62</f>
        <v/>
      </c>
      <c r="B159" s="201">
        <f t="shared" si="1"/>
        <v>0</v>
      </c>
      <c r="D159" s="740" t="str">
        <f>'Semana 2'!F62</f>
        <v/>
      </c>
      <c r="E159" s="775"/>
      <c r="F159" s="774" t="str">
        <f>'Semana 2'!N62</f>
        <v/>
      </c>
      <c r="G159" s="774" t="str">
        <f>'Semana 2'!J62</f>
        <v/>
      </c>
      <c r="H159" s="776"/>
      <c r="K159" s="776"/>
    </row>
    <row r="160">
      <c r="A160" s="774" t="str">
        <f>'Semana 2'!M64</f>
        <v/>
      </c>
      <c r="B160" s="201">
        <f t="shared" si="1"/>
        <v>0</v>
      </c>
      <c r="D160" s="740" t="str">
        <f>'Semana 2'!F64</f>
        <v/>
      </c>
      <c r="E160" s="775"/>
      <c r="F160" s="774" t="str">
        <f>'Semana 2'!N64</f>
        <v/>
      </c>
      <c r="G160" s="774" t="str">
        <f>'Semana 2'!J64</f>
        <v/>
      </c>
      <c r="H160" s="776"/>
      <c r="K160" s="776"/>
    </row>
    <row r="161">
      <c r="A161" s="774" t="str">
        <f>'Semana 2'!AD26</f>
        <v>Bicicleta</v>
      </c>
      <c r="B161" s="201">
        <f t="shared" si="1"/>
        <v>6.139132535</v>
      </c>
      <c r="D161" s="740" t="str">
        <f>'Semana 2'!W26</f>
        <v/>
      </c>
      <c r="E161" s="775"/>
      <c r="F161" s="774" t="str">
        <f>'Semana 2'!AE26</f>
        <v/>
      </c>
      <c r="G161" s="774">
        <f>'Semana 2'!AA26</f>
        <v>10</v>
      </c>
      <c r="H161" s="776"/>
      <c r="K161" s="776"/>
    </row>
    <row r="162">
      <c r="A162" s="774" t="str">
        <f>'Semana 2'!AD28</f>
        <v>Agachamento</v>
      </c>
      <c r="B162" s="201">
        <f t="shared" si="1"/>
        <v>88.2</v>
      </c>
      <c r="D162" s="740">
        <f>'Semana 2'!W28</f>
        <v>12</v>
      </c>
      <c r="E162" s="775"/>
      <c r="F162" s="774" t="str">
        <f>'Semana 2'!AE28</f>
        <v/>
      </c>
      <c r="G162" s="774">
        <f>'Semana 2'!AA28</f>
        <v>80</v>
      </c>
      <c r="H162" s="776"/>
      <c r="K162" s="776"/>
    </row>
    <row r="163">
      <c r="A163" s="774" t="str">
        <f>'Semana 2'!AD30</f>
        <v>Stiff</v>
      </c>
      <c r="B163" s="201">
        <f t="shared" si="1"/>
        <v>99.225</v>
      </c>
      <c r="D163" s="740">
        <f>'Semana 2'!W30</f>
        <v>12</v>
      </c>
      <c r="E163" s="775"/>
      <c r="F163" s="774" t="str">
        <f>'Semana 2'!AE30</f>
        <v/>
      </c>
      <c r="G163" s="774">
        <f>'Semana 2'!AA30</f>
        <v>90</v>
      </c>
      <c r="H163" s="776"/>
      <c r="K163" s="776"/>
    </row>
    <row r="164">
      <c r="A164" s="774" t="str">
        <f>'Semana 2'!AD32</f>
        <v>Bicicleta</v>
      </c>
      <c r="B164" s="201">
        <f t="shared" si="1"/>
        <v>6.139132535</v>
      </c>
      <c r="D164" s="740" t="str">
        <f>'Semana 2'!W32</f>
        <v/>
      </c>
      <c r="E164" s="775"/>
      <c r="F164" s="774" t="str">
        <f>'Semana 2'!AE32</f>
        <v/>
      </c>
      <c r="G164" s="774">
        <f>'Semana 2'!AA32</f>
        <v>10</v>
      </c>
      <c r="H164" s="776"/>
      <c r="K164" s="776"/>
    </row>
    <row r="165">
      <c r="A165" s="774" t="str">
        <f>'Semana 2'!AD34</f>
        <v>Elevação Pélvica</v>
      </c>
      <c r="B165" s="201">
        <f t="shared" si="1"/>
        <v>110.25</v>
      </c>
      <c r="D165" s="740">
        <f>'Semana 2'!W34</f>
        <v>12</v>
      </c>
      <c r="E165" s="775"/>
      <c r="F165" s="774" t="str">
        <f>'Semana 2'!AE34</f>
        <v/>
      </c>
      <c r="G165" s="774">
        <f>'Semana 2'!AA34</f>
        <v>100</v>
      </c>
      <c r="H165" s="776"/>
      <c r="K165" s="776"/>
    </row>
    <row r="166">
      <c r="A166" s="774" t="str">
        <f>'Semana 2'!AD36</f>
        <v>Cadeira Abdutora</v>
      </c>
      <c r="B166" s="201">
        <f t="shared" si="1"/>
        <v>4.41</v>
      </c>
      <c r="D166" s="740">
        <f>'Semana 2'!W36</f>
        <v>12</v>
      </c>
      <c r="E166" s="775"/>
      <c r="F166" s="774" t="str">
        <f>'Semana 2'!AE36</f>
        <v/>
      </c>
      <c r="G166" s="774">
        <f>'Semana 2'!AA36</f>
        <v>4</v>
      </c>
      <c r="H166" s="776"/>
      <c r="K166" s="776"/>
    </row>
    <row r="167">
      <c r="A167" s="774" t="str">
        <f>'Semana 2'!AD38</f>
        <v>Bicicleta</v>
      </c>
      <c r="B167" s="201">
        <f t="shared" si="1"/>
        <v>6.139132535</v>
      </c>
      <c r="D167" s="740" t="str">
        <f>'Semana 2'!W38</f>
        <v/>
      </c>
      <c r="E167" s="775"/>
      <c r="F167" s="774" t="str">
        <f>'Semana 2'!AE38</f>
        <v/>
      </c>
      <c r="G167" s="774">
        <f>'Semana 2'!AA38</f>
        <v>10</v>
      </c>
      <c r="H167" s="776"/>
      <c r="K167" s="776"/>
    </row>
    <row r="168">
      <c r="A168" s="774" t="str">
        <f>'Semana 2'!AD40</f>
        <v>Leg Press</v>
      </c>
      <c r="B168" s="201">
        <f t="shared" si="1"/>
        <v>165.375</v>
      </c>
      <c r="D168" s="740">
        <f>'Semana 2'!W40</f>
        <v>12</v>
      </c>
      <c r="E168" s="775"/>
      <c r="F168" s="774" t="str">
        <f>'Semana 2'!AE40</f>
        <v/>
      </c>
      <c r="G168" s="774">
        <f>'Semana 2'!AA40</f>
        <v>150</v>
      </c>
      <c r="H168" s="776"/>
      <c r="K168" s="776"/>
    </row>
    <row r="169">
      <c r="A169" s="774" t="str">
        <f>'Semana 2'!AD42</f>
        <v>Panturrilha Leg Press</v>
      </c>
      <c r="B169" s="201">
        <f t="shared" si="1"/>
        <v>220.5</v>
      </c>
      <c r="D169" s="740">
        <f>'Semana 2'!W42</f>
        <v>12</v>
      </c>
      <c r="E169" s="775"/>
      <c r="F169" s="774" t="str">
        <f>'Semana 2'!AE42</f>
        <v/>
      </c>
      <c r="G169" s="774">
        <f>'Semana 2'!AA42</f>
        <v>200</v>
      </c>
      <c r="H169" s="776"/>
      <c r="K169" s="776"/>
    </row>
    <row r="170">
      <c r="A170" s="774" t="str">
        <f>'Semana 2'!AD44</f>
        <v>Bicicleta</v>
      </c>
      <c r="B170" s="201">
        <f t="shared" si="1"/>
        <v>6.139132535</v>
      </c>
      <c r="D170" s="740" t="str">
        <f>'Semana 2'!W44</f>
        <v/>
      </c>
      <c r="E170" s="775"/>
      <c r="F170" s="774" t="str">
        <f>'Semana 2'!AE44</f>
        <v/>
      </c>
      <c r="G170" s="774">
        <f>'Semana 2'!AA44</f>
        <v>10</v>
      </c>
      <c r="H170" s="776"/>
      <c r="K170" s="776"/>
    </row>
    <row r="171">
      <c r="A171" s="774" t="str">
        <f>'Semana 2'!AD46</f>
        <v>Afundo</v>
      </c>
      <c r="B171" s="201">
        <f t="shared" si="1"/>
        <v>35.28</v>
      </c>
      <c r="D171" s="740">
        <f>'Semana 2'!W46</f>
        <v>12</v>
      </c>
      <c r="E171" s="775"/>
      <c r="F171" s="774" t="str">
        <f>'Semana 2'!AE46</f>
        <v/>
      </c>
      <c r="G171" s="774">
        <f>'Semana 2'!AA46</f>
        <v>32</v>
      </c>
      <c r="H171" s="776"/>
      <c r="K171" s="776"/>
    </row>
    <row r="172">
      <c r="A172" s="774" t="str">
        <f>'Semana 2'!AD48</f>
        <v>Flexão Plantar na Máquina</v>
      </c>
      <c r="B172" s="201">
        <f t="shared" si="1"/>
        <v>149.94</v>
      </c>
      <c r="D172" s="740">
        <f>'Semana 2'!W48</f>
        <v>12</v>
      </c>
      <c r="E172" s="775"/>
      <c r="F172" s="774" t="str">
        <f>'Semana 2'!AE48</f>
        <v/>
      </c>
      <c r="G172" s="774">
        <f>'Semana 2'!AA48</f>
        <v>136</v>
      </c>
      <c r="H172" s="776"/>
      <c r="K172" s="776"/>
    </row>
    <row r="173">
      <c r="A173" s="774" t="str">
        <f>'Semana 2'!AD50</f>
        <v>Bicicleta</v>
      </c>
      <c r="B173" s="201">
        <f t="shared" si="1"/>
        <v>6.139132535</v>
      </c>
      <c r="D173" s="740" t="str">
        <f>'Semana 2'!W50</f>
        <v/>
      </c>
      <c r="E173" s="775"/>
      <c r="F173" s="774" t="str">
        <f>'Semana 2'!AE50</f>
        <v/>
      </c>
      <c r="G173" s="774">
        <f>'Semana 2'!AA50</f>
        <v>10</v>
      </c>
      <c r="H173" s="776"/>
      <c r="K173" s="776"/>
    </row>
    <row r="174">
      <c r="A174" s="774" t="str">
        <f>'Semana 2'!AD52</f>
        <v>Abdominal roda</v>
      </c>
      <c r="B174" s="201">
        <f t="shared" si="1"/>
        <v>12.76281563</v>
      </c>
      <c r="D174" s="740">
        <f>'Semana 2'!W52</f>
        <v>15</v>
      </c>
      <c r="E174" s="775"/>
      <c r="F174" s="774" t="str">
        <f>'Semana 2'!AE52</f>
        <v/>
      </c>
      <c r="G174" s="774">
        <f>'Semana 2'!AA52</f>
        <v>10</v>
      </c>
      <c r="H174" s="776"/>
      <c r="K174" s="776"/>
    </row>
    <row r="175">
      <c r="A175" s="774" t="str">
        <f>'Semana 2'!AD54</f>
        <v>Abdominal Obliquo na polia média</v>
      </c>
      <c r="B175" s="201">
        <f t="shared" si="1"/>
        <v>4</v>
      </c>
      <c r="D175" s="740">
        <f>'Semana 2'!W54</f>
        <v>10</v>
      </c>
      <c r="E175" s="775"/>
      <c r="F175" s="774" t="str">
        <f>'Semana 2'!AE54</f>
        <v/>
      </c>
      <c r="G175" s="774">
        <f>'Semana 2'!AA54</f>
        <v>4</v>
      </c>
      <c r="H175" s="776"/>
      <c r="K175" s="776"/>
    </row>
    <row r="176">
      <c r="A176" s="774" t="str">
        <f>'Semana 2'!AD56</f>
        <v/>
      </c>
      <c r="B176" s="201">
        <f t="shared" si="1"/>
        <v>0</v>
      </c>
      <c r="D176" s="740" t="str">
        <f>'Semana 2'!W56</f>
        <v/>
      </c>
      <c r="E176" s="775"/>
      <c r="F176" s="774" t="str">
        <f>'Semana 2'!AE56</f>
        <v/>
      </c>
      <c r="G176" s="774" t="str">
        <f>'Semana 2'!AA56</f>
        <v/>
      </c>
      <c r="H176" s="776"/>
      <c r="K176" s="776"/>
    </row>
    <row r="177">
      <c r="A177" s="774" t="str">
        <f>'Semana 2'!AD58</f>
        <v/>
      </c>
      <c r="B177" s="201">
        <f t="shared" si="1"/>
        <v>0</v>
      </c>
      <c r="D177" s="740" t="str">
        <f>'Semana 2'!W58</f>
        <v/>
      </c>
      <c r="E177" s="775"/>
      <c r="F177" s="774" t="str">
        <f>'Semana 2'!AE58</f>
        <v/>
      </c>
      <c r="G177" s="774" t="str">
        <f>'Semana 2'!AA58</f>
        <v/>
      </c>
      <c r="H177" s="776"/>
      <c r="K177" s="776"/>
    </row>
    <row r="178">
      <c r="A178" s="774" t="str">
        <f>'Semana 2'!AD60</f>
        <v/>
      </c>
      <c r="B178" s="201">
        <f t="shared" si="1"/>
        <v>0</v>
      </c>
      <c r="D178" s="740" t="str">
        <f>'Semana 2'!W60</f>
        <v/>
      </c>
      <c r="E178" s="775"/>
      <c r="F178" s="774" t="str">
        <f>'Semana 2'!AE60</f>
        <v/>
      </c>
      <c r="G178" s="774" t="str">
        <f>'Semana 2'!AA60</f>
        <v/>
      </c>
      <c r="H178" s="776"/>
      <c r="K178" s="776"/>
    </row>
    <row r="179">
      <c r="A179" s="774" t="str">
        <f>'Semana 2'!AD62</f>
        <v/>
      </c>
      <c r="B179" s="201">
        <f t="shared" si="1"/>
        <v>0</v>
      </c>
      <c r="D179" s="740" t="str">
        <f>'Semana 2'!W62</f>
        <v/>
      </c>
      <c r="E179" s="775"/>
      <c r="F179" s="774" t="str">
        <f>'Semana 2'!AE62</f>
        <v/>
      </c>
      <c r="G179" s="774" t="str">
        <f>'Semana 2'!AA62</f>
        <v/>
      </c>
      <c r="H179" s="776"/>
      <c r="K179" s="776"/>
    </row>
    <row r="180">
      <c r="A180" s="774" t="str">
        <f>'Semana 2'!AD64</f>
        <v/>
      </c>
      <c r="B180" s="201">
        <f t="shared" si="1"/>
        <v>0</v>
      </c>
      <c r="D180" s="740" t="str">
        <f>'Semana 2'!W64</f>
        <v/>
      </c>
      <c r="E180" s="775"/>
      <c r="F180" s="774" t="str">
        <f>'Semana 2'!AE64</f>
        <v/>
      </c>
      <c r="G180" s="774" t="str">
        <f>'Semana 2'!AA64</f>
        <v/>
      </c>
      <c r="H180" s="776"/>
      <c r="K180" s="776"/>
    </row>
    <row r="181">
      <c r="A181" s="774" t="str">
        <f>'Semana 2'!AU26</f>
        <v>Pista</v>
      </c>
      <c r="B181" s="201">
        <f t="shared" si="1"/>
        <v>0</v>
      </c>
      <c r="D181" s="740" t="str">
        <f>'Semana 2'!AN26</f>
        <v/>
      </c>
      <c r="E181" s="775"/>
      <c r="F181" s="774" t="str">
        <f>'Semana 2'!AV26</f>
        <v/>
      </c>
      <c r="G181" s="774" t="str">
        <f>'Semana 2'!AR26</f>
        <v/>
      </c>
      <c r="H181" s="776"/>
      <c r="K181" s="776"/>
    </row>
    <row r="182">
      <c r="A182" s="774" t="str">
        <f>'Semana 2'!AU28</f>
        <v/>
      </c>
      <c r="B182" s="201">
        <f t="shared" si="1"/>
        <v>0</v>
      </c>
      <c r="D182" s="740" t="str">
        <f>'Semana 2'!AN28</f>
        <v/>
      </c>
      <c r="E182" s="775"/>
      <c r="F182" s="774" t="str">
        <f>'Semana 2'!AV28</f>
        <v/>
      </c>
      <c r="G182" s="774" t="str">
        <f>'Semana 2'!AR28</f>
        <v/>
      </c>
      <c r="H182" s="776"/>
      <c r="K182" s="776"/>
    </row>
    <row r="183">
      <c r="A183" s="774" t="str">
        <f>'Semana 2'!AU30</f>
        <v/>
      </c>
      <c r="B183" s="201">
        <f t="shared" si="1"/>
        <v>0</v>
      </c>
      <c r="D183" s="740" t="str">
        <f>'Semana 2'!AN30</f>
        <v/>
      </c>
      <c r="E183" s="775"/>
      <c r="F183" s="774" t="str">
        <f>'Semana 2'!AV30</f>
        <v/>
      </c>
      <c r="G183" s="774" t="str">
        <f>'Semana 2'!AR30</f>
        <v/>
      </c>
      <c r="H183" s="776"/>
      <c r="K183" s="776"/>
    </row>
    <row r="184">
      <c r="A184" s="774" t="str">
        <f>'Semana 2'!AU32</f>
        <v/>
      </c>
      <c r="B184" s="201">
        <f t="shared" si="1"/>
        <v>0</v>
      </c>
      <c r="D184" s="740" t="str">
        <f>'Semana 2'!AN32</f>
        <v/>
      </c>
      <c r="E184" s="775"/>
      <c r="F184" s="774" t="str">
        <f>'Semana 2'!AV32</f>
        <v/>
      </c>
      <c r="G184" s="774" t="str">
        <f>'Semana 2'!AR32</f>
        <v/>
      </c>
      <c r="H184" s="776"/>
      <c r="K184" s="776"/>
    </row>
    <row r="185">
      <c r="A185" s="774" t="str">
        <f>'Semana 2'!AU34</f>
        <v/>
      </c>
      <c r="B185" s="201">
        <f t="shared" si="1"/>
        <v>0</v>
      </c>
      <c r="D185" s="740" t="str">
        <f>'Semana 2'!AN34</f>
        <v/>
      </c>
      <c r="E185" s="775"/>
      <c r="F185" s="774" t="str">
        <f>'Semana 2'!AV34</f>
        <v/>
      </c>
      <c r="G185" s="774" t="str">
        <f>'Semana 2'!AR34</f>
        <v/>
      </c>
      <c r="H185" s="776"/>
      <c r="K185" s="776"/>
    </row>
    <row r="186">
      <c r="A186" s="774" t="str">
        <f>'Semana 2'!AU36</f>
        <v/>
      </c>
      <c r="B186" s="201">
        <f t="shared" si="1"/>
        <v>0</v>
      </c>
      <c r="D186" s="740" t="str">
        <f>'Semana 2'!AN36</f>
        <v/>
      </c>
      <c r="E186" s="775"/>
      <c r="F186" s="774" t="str">
        <f>'Semana 2'!AV36</f>
        <v/>
      </c>
      <c r="G186" s="774" t="str">
        <f>'Semana 2'!AR36</f>
        <v/>
      </c>
      <c r="H186" s="776"/>
      <c r="K186" s="776"/>
    </row>
    <row r="187">
      <c r="A187" s="774" t="str">
        <f>'Semana 2'!AU38</f>
        <v/>
      </c>
      <c r="B187" s="201">
        <f t="shared" si="1"/>
        <v>0</v>
      </c>
      <c r="D187" s="740" t="str">
        <f>'Semana 2'!AN38</f>
        <v/>
      </c>
      <c r="E187" s="775"/>
      <c r="F187" s="774" t="str">
        <f>'Semana 2'!AV38</f>
        <v/>
      </c>
      <c r="G187" s="774" t="str">
        <f>'Semana 2'!AR38</f>
        <v/>
      </c>
      <c r="H187" s="776"/>
      <c r="K187" s="776"/>
    </row>
    <row r="188">
      <c r="A188" s="774" t="str">
        <f>'Semana 2'!AU40</f>
        <v/>
      </c>
      <c r="B188" s="201">
        <f t="shared" si="1"/>
        <v>0</v>
      </c>
      <c r="D188" s="740" t="str">
        <f>'Semana 2'!AN40</f>
        <v/>
      </c>
      <c r="E188" s="775"/>
      <c r="F188" s="774" t="str">
        <f>'Semana 2'!AV40</f>
        <v/>
      </c>
      <c r="G188" s="774" t="str">
        <f>'Semana 2'!AR40</f>
        <v/>
      </c>
      <c r="H188" s="776"/>
      <c r="K188" s="776"/>
    </row>
    <row r="189">
      <c r="A189" s="774" t="str">
        <f>'Semana 2'!AU42</f>
        <v/>
      </c>
      <c r="B189" s="201">
        <f t="shared" si="1"/>
        <v>0</v>
      </c>
      <c r="D189" s="740" t="str">
        <f>'Semana 2'!AN42</f>
        <v/>
      </c>
      <c r="E189" s="775"/>
      <c r="F189" s="774" t="str">
        <f>'Semana 2'!AV42</f>
        <v/>
      </c>
      <c r="G189" s="774" t="str">
        <f>'Semana 2'!AR42</f>
        <v/>
      </c>
      <c r="H189" s="776"/>
      <c r="K189" s="776"/>
    </row>
    <row r="190">
      <c r="A190" s="774" t="str">
        <f>'Semana 2'!AU44</f>
        <v/>
      </c>
      <c r="B190" s="201">
        <f t="shared" si="1"/>
        <v>0</v>
      </c>
      <c r="D190" s="740" t="str">
        <f>'Semana 2'!AN44</f>
        <v/>
      </c>
      <c r="E190" s="775"/>
      <c r="F190" s="774" t="str">
        <f>'Semana 2'!AV44</f>
        <v/>
      </c>
      <c r="G190" s="774" t="str">
        <f>'Semana 2'!AR44</f>
        <v/>
      </c>
      <c r="H190" s="776"/>
      <c r="K190" s="776"/>
    </row>
    <row r="191">
      <c r="A191" s="774" t="str">
        <f>'Semana 2'!AU46</f>
        <v/>
      </c>
      <c r="B191" s="201">
        <f t="shared" si="1"/>
        <v>0</v>
      </c>
      <c r="D191" s="740" t="str">
        <f>'Semana 2'!AN46</f>
        <v/>
      </c>
      <c r="E191" s="775"/>
      <c r="F191" s="774" t="str">
        <f>'Semana 2'!AV46</f>
        <v/>
      </c>
      <c r="G191" s="774" t="str">
        <f>'Semana 2'!AR46</f>
        <v/>
      </c>
      <c r="H191" s="776"/>
      <c r="K191" s="776"/>
    </row>
    <row r="192">
      <c r="A192" s="774" t="str">
        <f>'Semana 2'!AU48</f>
        <v/>
      </c>
      <c r="B192" s="201">
        <f t="shared" si="1"/>
        <v>0</v>
      </c>
      <c r="D192" s="740" t="str">
        <f>'Semana 2'!AN48</f>
        <v/>
      </c>
      <c r="E192" s="775"/>
      <c r="F192" s="774" t="str">
        <f>'Semana 2'!AV48</f>
        <v/>
      </c>
      <c r="G192" s="774" t="str">
        <f>'Semana 2'!AR48</f>
        <v/>
      </c>
      <c r="H192" s="776"/>
      <c r="K192" s="776"/>
    </row>
    <row r="193">
      <c r="A193" s="774" t="str">
        <f>'Semana 2'!AU50</f>
        <v/>
      </c>
      <c r="B193" s="201">
        <f t="shared" si="1"/>
        <v>0</v>
      </c>
      <c r="D193" s="740" t="str">
        <f>'Semana 2'!AN50</f>
        <v/>
      </c>
      <c r="E193" s="775"/>
      <c r="F193" s="774" t="str">
        <f>'Semana 2'!AV50</f>
        <v/>
      </c>
      <c r="G193" s="774" t="str">
        <f>'Semana 2'!AR50</f>
        <v/>
      </c>
      <c r="H193" s="776"/>
      <c r="K193" s="776"/>
    </row>
    <row r="194">
      <c r="A194" s="774" t="str">
        <f>'Semana 2'!AU52</f>
        <v/>
      </c>
      <c r="B194" s="201">
        <f t="shared" si="1"/>
        <v>0</v>
      </c>
      <c r="D194" s="740" t="str">
        <f>'Semana 2'!AN52</f>
        <v/>
      </c>
      <c r="E194" s="775"/>
      <c r="F194" s="774" t="str">
        <f>'Semana 2'!AV52</f>
        <v/>
      </c>
      <c r="G194" s="774" t="str">
        <f>'Semana 2'!AR52</f>
        <v/>
      </c>
      <c r="H194" s="776"/>
      <c r="K194" s="776"/>
    </row>
    <row r="195">
      <c r="A195" s="774" t="str">
        <f>'Semana 2'!AU54</f>
        <v/>
      </c>
      <c r="B195" s="201">
        <f t="shared" si="1"/>
        <v>0</v>
      </c>
      <c r="D195" s="740" t="str">
        <f>'Semana 2'!AN54</f>
        <v/>
      </c>
      <c r="E195" s="775"/>
      <c r="F195" s="774" t="str">
        <f>'Semana 2'!AV54</f>
        <v/>
      </c>
      <c r="G195" s="774" t="str">
        <f>'Semana 2'!AR54</f>
        <v/>
      </c>
      <c r="H195" s="776"/>
      <c r="K195" s="776"/>
    </row>
    <row r="196">
      <c r="A196" s="774" t="str">
        <f>'Semana 2'!AU56</f>
        <v/>
      </c>
      <c r="B196" s="201">
        <f t="shared" si="1"/>
        <v>0</v>
      </c>
      <c r="D196" s="740" t="str">
        <f>'Semana 2'!AN56</f>
        <v/>
      </c>
      <c r="E196" s="775"/>
      <c r="F196" s="774" t="str">
        <f>'Semana 2'!AV56</f>
        <v/>
      </c>
      <c r="G196" s="774" t="str">
        <f>'Semana 2'!AR56</f>
        <v/>
      </c>
      <c r="H196" s="776"/>
      <c r="K196" s="776"/>
    </row>
    <row r="197">
      <c r="A197" s="774" t="str">
        <f>'Semana 2'!AU58</f>
        <v/>
      </c>
      <c r="B197" s="201">
        <f t="shared" si="1"/>
        <v>0</v>
      </c>
      <c r="D197" s="740" t="str">
        <f>'Semana 2'!AN58</f>
        <v/>
      </c>
      <c r="E197" s="775"/>
      <c r="F197" s="774" t="str">
        <f>'Semana 2'!AV58</f>
        <v/>
      </c>
      <c r="G197" s="774" t="str">
        <f>'Semana 2'!AR58</f>
        <v/>
      </c>
      <c r="H197" s="776"/>
      <c r="K197" s="776"/>
    </row>
    <row r="198">
      <c r="A198" s="774" t="str">
        <f>'Semana 2'!AU60</f>
        <v/>
      </c>
      <c r="B198" s="201">
        <f t="shared" si="1"/>
        <v>0</v>
      </c>
      <c r="D198" s="740" t="str">
        <f>'Semana 2'!AN60</f>
        <v/>
      </c>
      <c r="E198" s="775"/>
      <c r="F198" s="774" t="str">
        <f>'Semana 2'!AV60</f>
        <v/>
      </c>
      <c r="G198" s="774" t="str">
        <f>'Semana 2'!AR60</f>
        <v/>
      </c>
      <c r="H198" s="776"/>
      <c r="K198" s="776"/>
    </row>
    <row r="199">
      <c r="A199" s="774" t="str">
        <f>'Semana 2'!AU62</f>
        <v/>
      </c>
      <c r="B199" s="201">
        <f t="shared" si="1"/>
        <v>0</v>
      </c>
      <c r="D199" s="740" t="str">
        <f>'Semana 2'!AN62</f>
        <v/>
      </c>
      <c r="E199" s="775"/>
      <c r="F199" s="774" t="str">
        <f>'Semana 2'!AV62</f>
        <v/>
      </c>
      <c r="G199" s="774" t="str">
        <f>'Semana 2'!AR62</f>
        <v/>
      </c>
      <c r="H199" s="776"/>
      <c r="K199" s="776"/>
    </row>
    <row r="200">
      <c r="A200" s="774" t="str">
        <f>'Semana 2'!AU64</f>
        <v/>
      </c>
      <c r="B200" s="201">
        <f t="shared" si="1"/>
        <v>0</v>
      </c>
      <c r="D200" s="740" t="str">
        <f>'Semana 2'!AN64</f>
        <v/>
      </c>
      <c r="E200" s="775"/>
      <c r="F200" s="774" t="str">
        <f>'Semana 2'!AV64</f>
        <v/>
      </c>
      <c r="G200" s="774" t="str">
        <f>'Semana 2'!AR64</f>
        <v/>
      </c>
      <c r="H200" s="776"/>
      <c r="K200" s="776"/>
    </row>
    <row r="201">
      <c r="A201" s="774" t="str">
        <f>'Semana 2'!BL26</f>
        <v>Flexão com impulsão</v>
      </c>
      <c r="B201" s="201">
        <f t="shared" si="1"/>
        <v>10</v>
      </c>
      <c r="D201" s="740">
        <f>'Semana 2'!BE26</f>
        <v>10</v>
      </c>
      <c r="E201" s="775"/>
      <c r="F201" s="774" t="str">
        <f>'Semana 2'!BM26</f>
        <v/>
      </c>
      <c r="G201" s="774">
        <f>'Semana 2'!BI26</f>
        <v>10</v>
      </c>
      <c r="H201" s="776"/>
      <c r="K201" s="776"/>
    </row>
    <row r="202">
      <c r="A202" s="774" t="str">
        <f>'Semana 2'!BL28</f>
        <v>Remada Horizontal com Movimentação do Tronco</v>
      </c>
      <c r="B202" s="201">
        <f t="shared" si="1"/>
        <v>11.025</v>
      </c>
      <c r="D202" s="740">
        <f>'Semana 2'!BE28</f>
        <v>12</v>
      </c>
      <c r="E202" s="775"/>
      <c r="F202" s="774" t="str">
        <f>'Semana 2'!BM28</f>
        <v/>
      </c>
      <c r="G202" s="774">
        <f>'Semana 2'!BI28</f>
        <v>10</v>
      </c>
      <c r="H202" s="776"/>
      <c r="K202" s="776"/>
    </row>
    <row r="203">
      <c r="A203" s="774" t="str">
        <f>'Semana 2'!BL30</f>
        <v>Remada Alta na Polia</v>
      </c>
      <c r="B203" s="201">
        <f t="shared" si="1"/>
        <v>7.7175</v>
      </c>
      <c r="D203" s="740">
        <f>'Semana 2'!BE30</f>
        <v>12</v>
      </c>
      <c r="E203" s="775"/>
      <c r="F203" s="774" t="str">
        <f>'Semana 2'!BM30</f>
        <v/>
      </c>
      <c r="G203" s="774">
        <f>'Semana 2'!BI30</f>
        <v>7</v>
      </c>
      <c r="H203" s="776"/>
      <c r="K203" s="776"/>
    </row>
    <row r="204">
      <c r="A204" s="774" t="str">
        <f>'Semana 2'!BL32</f>
        <v>Arremesso</v>
      </c>
      <c r="B204" s="201">
        <f t="shared" si="1"/>
        <v>6.615</v>
      </c>
      <c r="D204" s="740">
        <f>'Semana 2'!BE32</f>
        <v>12</v>
      </c>
      <c r="E204" s="775"/>
      <c r="F204" s="774" t="str">
        <f>'Semana 2'!BM32</f>
        <v/>
      </c>
      <c r="G204" s="774">
        <f>'Semana 2'!BI32</f>
        <v>6</v>
      </c>
      <c r="H204" s="776"/>
      <c r="K204" s="776"/>
    </row>
    <row r="205">
      <c r="A205" s="774" t="str">
        <f>'Semana 2'!BL34</f>
        <v>Lat PullDown</v>
      </c>
      <c r="B205" s="201">
        <f t="shared" si="1"/>
        <v>7.7175</v>
      </c>
      <c r="D205" s="740">
        <f>'Semana 2'!BE34</f>
        <v>12</v>
      </c>
      <c r="E205" s="775"/>
      <c r="F205" s="774" t="str">
        <f>'Semana 2'!BM34</f>
        <v/>
      </c>
      <c r="G205" s="774">
        <f>'Semana 2'!BI34</f>
        <v>7</v>
      </c>
      <c r="H205" s="776"/>
      <c r="K205" s="776"/>
    </row>
    <row r="206">
      <c r="A206" s="774" t="str">
        <f>'Semana 2'!BL36</f>
        <v>Desenvolvimento Deltoide</v>
      </c>
      <c r="B206" s="201">
        <f t="shared" si="1"/>
        <v>19.845</v>
      </c>
      <c r="D206" s="740">
        <f>'Semana 2'!BE36</f>
        <v>12</v>
      </c>
      <c r="E206" s="775"/>
      <c r="F206" s="774" t="str">
        <f>'Semana 2'!BM36</f>
        <v/>
      </c>
      <c r="G206" s="774">
        <f>'Semana 2'!BI36</f>
        <v>18</v>
      </c>
      <c r="H206" s="776"/>
      <c r="K206" s="776"/>
    </row>
    <row r="207">
      <c r="A207" s="774" t="str">
        <f>'Semana 2'!BL38</f>
        <v>Triceps Coice na Polia</v>
      </c>
      <c r="B207" s="201">
        <f t="shared" si="1"/>
        <v>2.205</v>
      </c>
      <c r="D207" s="740">
        <f>'Semana 2'!BE38</f>
        <v>12</v>
      </c>
      <c r="E207" s="775"/>
      <c r="F207" s="774" t="str">
        <f>'Semana 2'!BM38</f>
        <v/>
      </c>
      <c r="G207" s="774">
        <f>'Semana 2'!BI38</f>
        <v>2</v>
      </c>
      <c r="H207" s="776"/>
      <c r="K207" s="776"/>
    </row>
    <row r="208">
      <c r="A208" s="774" t="str">
        <f>'Semana 2'!BL40</f>
        <v>Rosca Scott</v>
      </c>
      <c r="B208" s="201">
        <f t="shared" si="1"/>
        <v>8.82</v>
      </c>
      <c r="D208" s="740">
        <f>'Semana 2'!BE40</f>
        <v>12</v>
      </c>
      <c r="E208" s="775"/>
      <c r="F208" s="774" t="str">
        <f>'Semana 2'!BM40</f>
        <v/>
      </c>
      <c r="G208" s="774">
        <f>'Semana 2'!BI40</f>
        <v>8</v>
      </c>
      <c r="H208" s="776"/>
      <c r="K208" s="776"/>
    </row>
    <row r="209">
      <c r="A209" s="774" t="str">
        <f>'Semana 2'!BL42</f>
        <v>Abdominal Reto</v>
      </c>
      <c r="B209" s="201">
        <f t="shared" si="1"/>
        <v>16.28894627</v>
      </c>
      <c r="D209" s="740">
        <f>'Semana 2'!BE42</f>
        <v>20</v>
      </c>
      <c r="E209" s="775"/>
      <c r="F209" s="774" t="str">
        <f>'Semana 2'!BM42</f>
        <v/>
      </c>
      <c r="G209" s="774">
        <f>'Semana 2'!BI42</f>
        <v>10</v>
      </c>
      <c r="H209" s="776"/>
      <c r="K209" s="776"/>
    </row>
    <row r="210">
      <c r="A210" s="774" t="str">
        <f>'Semana 2'!BL44</f>
        <v>Abdominal canoa lateral</v>
      </c>
      <c r="B210" s="201">
        <f t="shared" si="1"/>
        <v>12.76281563</v>
      </c>
      <c r="D210" s="740">
        <f>'Semana 2'!BE44</f>
        <v>15</v>
      </c>
      <c r="E210" s="775"/>
      <c r="F210" s="774" t="str">
        <f>'Semana 2'!BM44</f>
        <v/>
      </c>
      <c r="G210" s="774">
        <f>'Semana 2'!BI44</f>
        <v>10</v>
      </c>
      <c r="H210" s="776"/>
      <c r="K210" s="776"/>
    </row>
    <row r="211">
      <c r="A211" s="774" t="str">
        <f>'Semana 2'!BL46</f>
        <v>Superman</v>
      </c>
      <c r="B211" s="201">
        <f t="shared" si="1"/>
        <v>12.76281563</v>
      </c>
      <c r="D211" s="740">
        <f>'Semana 2'!BE46</f>
        <v>15</v>
      </c>
      <c r="E211" s="775"/>
      <c r="F211" s="774" t="str">
        <f>'Semana 2'!BM46</f>
        <v/>
      </c>
      <c r="G211" s="774">
        <f>'Semana 2'!BI46</f>
        <v>10</v>
      </c>
      <c r="H211" s="776"/>
      <c r="K211" s="776"/>
    </row>
    <row r="212">
      <c r="A212" s="774" t="str">
        <f>'Semana 2'!BL48</f>
        <v>Esteira</v>
      </c>
      <c r="B212" s="201">
        <f t="shared" si="1"/>
        <v>0</v>
      </c>
      <c r="D212" s="740" t="str">
        <f>'Semana 2'!BE48</f>
        <v/>
      </c>
      <c r="E212" s="775"/>
      <c r="F212" s="774" t="str">
        <f>'Semana 2'!BM48</f>
        <v/>
      </c>
      <c r="G212" s="774" t="str">
        <f>'Semana 2'!BI48</f>
        <v/>
      </c>
      <c r="H212" s="776"/>
      <c r="K212" s="776"/>
    </row>
    <row r="213">
      <c r="A213" s="774" t="str">
        <f>'Semana 2'!BL50</f>
        <v/>
      </c>
      <c r="B213" s="201">
        <f t="shared" si="1"/>
        <v>0</v>
      </c>
      <c r="D213" s="740" t="str">
        <f>'Semana 2'!BE50</f>
        <v/>
      </c>
      <c r="E213" s="775"/>
      <c r="F213" s="774" t="str">
        <f>'Semana 2'!BM50</f>
        <v/>
      </c>
      <c r="G213" s="774" t="str">
        <f>'Semana 2'!BI50</f>
        <v/>
      </c>
      <c r="H213" s="776"/>
      <c r="K213" s="776"/>
    </row>
    <row r="214">
      <c r="A214" s="774" t="str">
        <f>'Semana 2'!BL52</f>
        <v/>
      </c>
      <c r="B214" s="201">
        <f t="shared" si="1"/>
        <v>0</v>
      </c>
      <c r="D214" s="740" t="str">
        <f>'Semana 2'!BE52</f>
        <v/>
      </c>
      <c r="E214" s="775"/>
      <c r="F214" s="774" t="str">
        <f>'Semana 2'!BM52</f>
        <v/>
      </c>
      <c r="G214" s="774" t="str">
        <f>'Semana 2'!BI52</f>
        <v/>
      </c>
      <c r="H214" s="776"/>
      <c r="K214" s="776"/>
    </row>
    <row r="215">
      <c r="A215" s="774" t="str">
        <f>'Semana 2'!BL54</f>
        <v/>
      </c>
      <c r="B215" s="201">
        <f t="shared" si="1"/>
        <v>0</v>
      </c>
      <c r="D215" s="740" t="str">
        <f>'Semana 2'!BE54</f>
        <v/>
      </c>
      <c r="E215" s="775"/>
      <c r="F215" s="774" t="str">
        <f>'Semana 2'!BM54</f>
        <v/>
      </c>
      <c r="G215" s="774" t="str">
        <f>'Semana 2'!BI54</f>
        <v/>
      </c>
      <c r="H215" s="776"/>
      <c r="K215" s="776"/>
    </row>
    <row r="216">
      <c r="A216" s="774" t="str">
        <f>'Semana 2'!BL56</f>
        <v/>
      </c>
      <c r="B216" s="201">
        <f t="shared" si="1"/>
        <v>0</v>
      </c>
      <c r="D216" s="740" t="str">
        <f>'Semana 2'!BE56</f>
        <v/>
      </c>
      <c r="E216" s="775"/>
      <c r="F216" s="774" t="str">
        <f>'Semana 2'!BM56</f>
        <v/>
      </c>
      <c r="G216" s="774" t="str">
        <f>'Semana 2'!BI56</f>
        <v/>
      </c>
      <c r="H216" s="776"/>
      <c r="K216" s="776"/>
    </row>
    <row r="217">
      <c r="A217" s="774" t="str">
        <f>'Semana 2'!BL58</f>
        <v/>
      </c>
      <c r="B217" s="201">
        <f t="shared" si="1"/>
        <v>0</v>
      </c>
      <c r="D217" s="740" t="str">
        <f>'Semana 2'!BE58</f>
        <v/>
      </c>
      <c r="E217" s="775"/>
      <c r="F217" s="774" t="str">
        <f>'Semana 2'!BM58</f>
        <v/>
      </c>
      <c r="G217" s="774" t="str">
        <f>'Semana 2'!BI58</f>
        <v/>
      </c>
      <c r="H217" s="776"/>
      <c r="K217" s="776"/>
    </row>
    <row r="218">
      <c r="A218" s="774" t="str">
        <f>'Semana 2'!BL60</f>
        <v/>
      </c>
      <c r="B218" s="201">
        <f t="shared" si="1"/>
        <v>0</v>
      </c>
      <c r="D218" s="740" t="str">
        <f>'Semana 2'!BE60</f>
        <v/>
      </c>
      <c r="E218" s="775"/>
      <c r="F218" s="774" t="str">
        <f>'Semana 2'!BM60</f>
        <v/>
      </c>
      <c r="G218" s="774" t="str">
        <f>'Semana 2'!BI60</f>
        <v/>
      </c>
      <c r="H218" s="776"/>
      <c r="K218" s="776"/>
    </row>
    <row r="219">
      <c r="A219" s="774" t="str">
        <f>'Semana 2'!BL62</f>
        <v/>
      </c>
      <c r="B219" s="201">
        <f t="shared" si="1"/>
        <v>0</v>
      </c>
      <c r="D219" s="740" t="str">
        <f>'Semana 2'!BE62</f>
        <v/>
      </c>
      <c r="E219" s="775"/>
      <c r="F219" s="774" t="str">
        <f>'Semana 2'!BM62</f>
        <v/>
      </c>
      <c r="G219" s="774" t="str">
        <f>'Semana 2'!BI62</f>
        <v/>
      </c>
      <c r="H219" s="776"/>
      <c r="K219" s="776"/>
    </row>
    <row r="220">
      <c r="A220" s="774" t="str">
        <f>'Semana 2'!BL64</f>
        <v/>
      </c>
      <c r="B220" s="201">
        <f t="shared" si="1"/>
        <v>0</v>
      </c>
      <c r="D220" s="740" t="str">
        <f>'Semana 2'!BE64</f>
        <v/>
      </c>
      <c r="E220" s="775"/>
      <c r="F220" s="774" t="str">
        <f>'Semana 2'!BM64</f>
        <v/>
      </c>
      <c r="G220" s="774" t="str">
        <f>'Semana 2'!BI64</f>
        <v/>
      </c>
      <c r="H220" s="776"/>
      <c r="K220" s="776"/>
    </row>
    <row r="221">
      <c r="A221" s="774" t="str">
        <f>'Semana 2'!CC26</f>
        <v>Corda</v>
      </c>
      <c r="B221" s="201">
        <f t="shared" si="1"/>
        <v>0</v>
      </c>
      <c r="D221" s="740" t="str">
        <f>'Semana 2'!BV26</f>
        <v/>
      </c>
      <c r="E221" s="775"/>
      <c r="F221" s="774" t="str">
        <f>'Semana 2'!CD26</f>
        <v/>
      </c>
      <c r="G221" s="774" t="str">
        <f>'Semana 2'!BZ26</f>
        <v/>
      </c>
      <c r="H221" s="776"/>
      <c r="K221" s="776"/>
    </row>
    <row r="222">
      <c r="A222" s="774" t="str">
        <f>'Semana 2'!CC28</f>
        <v>Levantamento Terra</v>
      </c>
      <c r="B222" s="201">
        <f t="shared" si="1"/>
        <v>77.175</v>
      </c>
      <c r="D222" s="740">
        <f>'Semana 2'!BV28</f>
        <v>12</v>
      </c>
      <c r="E222" s="775"/>
      <c r="F222" s="774" t="str">
        <f>'Semana 2'!CD28</f>
        <v/>
      </c>
      <c r="G222" s="774">
        <f>'Semana 2'!BZ28</f>
        <v>70</v>
      </c>
      <c r="H222" s="776"/>
      <c r="K222" s="776"/>
    </row>
    <row r="223">
      <c r="A223" s="774" t="str">
        <f>'Semana 2'!CC30</f>
        <v>Banco Sóleo</v>
      </c>
      <c r="B223" s="201">
        <f t="shared" si="1"/>
        <v>77.175</v>
      </c>
      <c r="D223" s="740">
        <f>'Semana 2'!BV30</f>
        <v>12</v>
      </c>
      <c r="E223" s="775"/>
      <c r="F223" s="774" t="str">
        <f>'Semana 2'!CD30</f>
        <v/>
      </c>
      <c r="G223" s="774">
        <f>'Semana 2'!BZ30</f>
        <v>70</v>
      </c>
      <c r="H223" s="776"/>
      <c r="K223" s="776"/>
    </row>
    <row r="224">
      <c r="A224" s="774" t="str">
        <f>'Semana 2'!CC32</f>
        <v>Flexão Nórdica</v>
      </c>
      <c r="B224" s="201">
        <f t="shared" si="1"/>
        <v>9.070294785</v>
      </c>
      <c r="D224" s="740">
        <f>'Semana 2'!BV32</f>
        <v>8</v>
      </c>
      <c r="E224" s="775"/>
      <c r="F224" s="774" t="str">
        <f>'Semana 2'!CD32</f>
        <v/>
      </c>
      <c r="G224" s="774">
        <f>'Semana 2'!BZ32</f>
        <v>10</v>
      </c>
      <c r="H224" s="776"/>
      <c r="K224" s="776"/>
    </row>
    <row r="225">
      <c r="A225" s="774" t="str">
        <f>'Semana 2'!CC34</f>
        <v>Cadeira Extensora</v>
      </c>
      <c r="B225" s="201">
        <f t="shared" si="1"/>
        <v>15.435</v>
      </c>
      <c r="D225" s="740">
        <f>'Semana 2'!BV34</f>
        <v>12</v>
      </c>
      <c r="E225" s="775"/>
      <c r="F225" s="774" t="str">
        <f>'Semana 2'!CD34</f>
        <v/>
      </c>
      <c r="G225" s="774">
        <f>'Semana 2'!BZ34</f>
        <v>14</v>
      </c>
      <c r="H225" s="776"/>
      <c r="K225" s="776"/>
    </row>
    <row r="226">
      <c r="A226" s="774" t="str">
        <f>'Semana 2'!CC36</f>
        <v>Flexão Nórdica Reversa</v>
      </c>
      <c r="B226" s="201">
        <f t="shared" si="1"/>
        <v>9.070294785</v>
      </c>
      <c r="D226" s="740">
        <f>'Semana 2'!BV36</f>
        <v>8</v>
      </c>
      <c r="E226" s="775"/>
      <c r="F226" s="774" t="str">
        <f>'Semana 2'!CD36</f>
        <v/>
      </c>
      <c r="G226" s="774">
        <f>'Semana 2'!BZ36</f>
        <v>10</v>
      </c>
      <c r="H226" s="776"/>
      <c r="K226" s="776"/>
    </row>
    <row r="227">
      <c r="A227" s="774" t="str">
        <f>'Semana 2'!CC38</f>
        <v>Cadeira Flexora</v>
      </c>
      <c r="B227" s="201">
        <f t="shared" si="1"/>
        <v>15.435</v>
      </c>
      <c r="D227" s="740">
        <f>'Semana 2'!BV38</f>
        <v>12</v>
      </c>
      <c r="E227" s="775"/>
      <c r="F227" s="774" t="str">
        <f>'Semana 2'!CD38</f>
        <v/>
      </c>
      <c r="G227" s="774">
        <f>'Semana 2'!BZ38</f>
        <v>14</v>
      </c>
      <c r="H227" s="776"/>
      <c r="K227" s="776"/>
    </row>
    <row r="228">
      <c r="A228" s="774" t="str">
        <f>'Semana 2'!CC40</f>
        <v>Deslocamento Lateral com Miniband</v>
      </c>
      <c r="B228" s="201">
        <f t="shared" si="1"/>
        <v>10</v>
      </c>
      <c r="D228" s="740">
        <f>'Semana 2'!BV40</f>
        <v>10</v>
      </c>
      <c r="E228" s="775"/>
      <c r="F228" s="774" t="str">
        <f>'Semana 2'!CD40</f>
        <v/>
      </c>
      <c r="G228" s="774">
        <f>'Semana 2'!BZ40</f>
        <v>10</v>
      </c>
      <c r="H228" s="776"/>
      <c r="K228" s="776"/>
    </row>
    <row r="229">
      <c r="A229" s="774" t="str">
        <f>'Semana 2'!CC42</f>
        <v>Extensão de Quadril com elástico</v>
      </c>
      <c r="B229" s="201">
        <f t="shared" si="1"/>
        <v>10</v>
      </c>
      <c r="D229" s="740">
        <f>'Semana 2'!BV42</f>
        <v>10</v>
      </c>
      <c r="E229" s="775"/>
      <c r="F229" s="774" t="str">
        <f>'Semana 2'!CD42</f>
        <v/>
      </c>
      <c r="G229" s="774">
        <f>'Semana 2'!BZ42</f>
        <v>10</v>
      </c>
      <c r="H229" s="776"/>
      <c r="K229" s="776"/>
    </row>
    <row r="230">
      <c r="A230" s="774" t="str">
        <f>'Semana 2'!CC44</f>
        <v>Abdominal infra no solo</v>
      </c>
      <c r="B230" s="201">
        <f t="shared" si="1"/>
        <v>12.76281563</v>
      </c>
      <c r="D230" s="740">
        <f>'Semana 2'!BV44</f>
        <v>15</v>
      </c>
      <c r="E230" s="775"/>
      <c r="F230" s="774" t="str">
        <f>'Semana 2'!CD44</f>
        <v/>
      </c>
      <c r="G230" s="774">
        <f>'Semana 2'!BZ44</f>
        <v>10</v>
      </c>
      <c r="H230" s="776"/>
      <c r="K230" s="776"/>
    </row>
    <row r="231">
      <c r="A231" s="774" t="str">
        <f>'Semana 2'!CC46</f>
        <v>Abdominal Bicicleta</v>
      </c>
      <c r="B231" s="201">
        <f t="shared" si="1"/>
        <v>12.76281563</v>
      </c>
      <c r="D231" s="740">
        <f>'Semana 2'!BV46</f>
        <v>15</v>
      </c>
      <c r="E231" s="775"/>
      <c r="F231" s="774" t="str">
        <f>'Semana 2'!CD46</f>
        <v/>
      </c>
      <c r="G231" s="774">
        <f>'Semana 2'!BZ46</f>
        <v>10</v>
      </c>
      <c r="H231" s="776"/>
      <c r="K231" s="776"/>
    </row>
    <row r="232">
      <c r="A232" s="774" t="str">
        <f>'Semana 2'!CC48</f>
        <v>Corda</v>
      </c>
      <c r="B232" s="201">
        <f t="shared" si="1"/>
        <v>0</v>
      </c>
      <c r="D232" s="740" t="str">
        <f>'Semana 2'!BV48</f>
        <v/>
      </c>
      <c r="E232" s="775"/>
      <c r="F232" s="774" t="str">
        <f>'Semana 2'!CD48</f>
        <v/>
      </c>
      <c r="G232" s="774" t="str">
        <f>'Semana 2'!BZ48</f>
        <v/>
      </c>
      <c r="H232" s="776"/>
      <c r="K232" s="776"/>
    </row>
    <row r="233">
      <c r="A233" s="774" t="str">
        <f>'Semana 2'!CC50</f>
        <v/>
      </c>
      <c r="B233" s="201">
        <f t="shared" si="1"/>
        <v>0</v>
      </c>
      <c r="D233" s="740" t="str">
        <f>'Semana 2'!BV50</f>
        <v/>
      </c>
      <c r="E233" s="775"/>
      <c r="F233" s="774" t="str">
        <f>'Semana 2'!CD50</f>
        <v/>
      </c>
      <c r="G233" s="774" t="str">
        <f>'Semana 2'!BZ50</f>
        <v/>
      </c>
      <c r="H233" s="776"/>
      <c r="K233" s="776"/>
    </row>
    <row r="234">
      <c r="A234" s="774" t="str">
        <f>'Semana 2'!CC52</f>
        <v/>
      </c>
      <c r="B234" s="201">
        <f t="shared" si="1"/>
        <v>0</v>
      </c>
      <c r="D234" s="740" t="str">
        <f>'Semana 2'!BV52</f>
        <v/>
      </c>
      <c r="E234" s="775"/>
      <c r="F234" s="774" t="str">
        <f>'Semana 2'!CD52</f>
        <v/>
      </c>
      <c r="G234" s="774" t="str">
        <f>'Semana 2'!BZ52</f>
        <v/>
      </c>
      <c r="H234" s="776"/>
      <c r="K234" s="776"/>
    </row>
    <row r="235">
      <c r="A235" s="774" t="str">
        <f>'Semana 2'!CC54</f>
        <v/>
      </c>
      <c r="B235" s="201">
        <f t="shared" si="1"/>
        <v>0</v>
      </c>
      <c r="D235" s="740" t="str">
        <f>'Semana 2'!BV54</f>
        <v/>
      </c>
      <c r="E235" s="775"/>
      <c r="F235" s="774" t="str">
        <f>'Semana 2'!CD54</f>
        <v/>
      </c>
      <c r="G235" s="774" t="str">
        <f>'Semana 2'!BZ54</f>
        <v/>
      </c>
      <c r="H235" s="776"/>
      <c r="K235" s="776"/>
    </row>
    <row r="236">
      <c r="A236" s="774" t="str">
        <f>'Semana 2'!CC56</f>
        <v/>
      </c>
      <c r="B236" s="201">
        <f t="shared" si="1"/>
        <v>0</v>
      </c>
      <c r="D236" s="740" t="str">
        <f>'Semana 2'!BV56</f>
        <v/>
      </c>
      <c r="E236" s="775"/>
      <c r="F236" s="774" t="str">
        <f>'Semana 2'!CD56</f>
        <v/>
      </c>
      <c r="G236" s="774" t="str">
        <f>'Semana 2'!BZ56</f>
        <v/>
      </c>
      <c r="H236" s="776"/>
      <c r="K236" s="776"/>
    </row>
    <row r="237">
      <c r="A237" s="774" t="str">
        <f>'Semana 2'!CC58</f>
        <v/>
      </c>
      <c r="B237" s="201">
        <f t="shared" si="1"/>
        <v>0</v>
      </c>
      <c r="D237" s="740" t="str">
        <f>'Semana 2'!BV58</f>
        <v/>
      </c>
      <c r="E237" s="775"/>
      <c r="F237" s="774" t="str">
        <f>'Semana 2'!CD58</f>
        <v/>
      </c>
      <c r="G237" s="774" t="str">
        <f>'Semana 2'!BZ58</f>
        <v/>
      </c>
      <c r="H237" s="776"/>
      <c r="K237" s="776"/>
    </row>
    <row r="238">
      <c r="A238" s="774" t="str">
        <f>'Semana 2'!CC60</f>
        <v/>
      </c>
      <c r="B238" s="201">
        <f t="shared" si="1"/>
        <v>0</v>
      </c>
      <c r="D238" s="740" t="str">
        <f>'Semana 2'!BV60</f>
        <v/>
      </c>
      <c r="E238" s="775"/>
      <c r="F238" s="774" t="str">
        <f>'Semana 2'!CD60</f>
        <v/>
      </c>
      <c r="G238" s="774" t="str">
        <f>'Semana 2'!BZ60</f>
        <v/>
      </c>
      <c r="H238" s="776"/>
      <c r="K238" s="776"/>
    </row>
    <row r="239">
      <c r="A239" s="774" t="str">
        <f>'Semana 2'!CC62</f>
        <v/>
      </c>
      <c r="B239" s="201">
        <f t="shared" si="1"/>
        <v>0</v>
      </c>
      <c r="D239" s="740" t="str">
        <f>'Semana 2'!BV62</f>
        <v/>
      </c>
      <c r="E239" s="775"/>
      <c r="F239" s="774" t="str">
        <f>'Semana 2'!CD62</f>
        <v/>
      </c>
      <c r="G239" s="774" t="str">
        <f>'Semana 2'!BZ62</f>
        <v/>
      </c>
      <c r="H239" s="776"/>
      <c r="K239" s="776"/>
    </row>
    <row r="240">
      <c r="A240" s="774" t="str">
        <f>'Semana 2'!CC64</f>
        <v/>
      </c>
      <c r="B240" s="201">
        <f t="shared" si="1"/>
        <v>0</v>
      </c>
      <c r="D240" s="740" t="str">
        <f>'Semana 2'!BV64</f>
        <v/>
      </c>
      <c r="E240" s="775"/>
      <c r="F240" s="774" t="str">
        <f>'Semana 2'!CD64</f>
        <v/>
      </c>
      <c r="G240" s="774" t="str">
        <f>'Semana 2'!BZ64</f>
        <v/>
      </c>
      <c r="H240" s="776"/>
      <c r="K240" s="776"/>
    </row>
    <row r="241">
      <c r="A241" s="774" t="str">
        <f>'Semana 2'!CT26</f>
        <v>Pista</v>
      </c>
      <c r="B241" s="201">
        <f t="shared" si="1"/>
        <v>0</v>
      </c>
      <c r="D241" s="740" t="str">
        <f>'Semana 2'!CM26</f>
        <v/>
      </c>
      <c r="E241" s="775"/>
      <c r="F241" s="774" t="str">
        <f>'Semana 2'!CU26</f>
        <v/>
      </c>
      <c r="G241" s="774" t="str">
        <f>'Semana 2'!CQ26</f>
        <v/>
      </c>
      <c r="H241" s="776"/>
      <c r="K241" s="776"/>
    </row>
    <row r="242">
      <c r="A242" s="774" t="str">
        <f>'Semana 2'!CT28</f>
        <v/>
      </c>
      <c r="B242" s="201">
        <f t="shared" si="1"/>
        <v>0</v>
      </c>
      <c r="D242" s="740" t="str">
        <f>'Semana 2'!CM28</f>
        <v/>
      </c>
      <c r="E242" s="775"/>
      <c r="F242" s="774" t="str">
        <f>'Semana 2'!CU28</f>
        <v/>
      </c>
      <c r="G242" s="774" t="str">
        <f>'Semana 2'!CQ28</f>
        <v/>
      </c>
      <c r="H242" s="776"/>
      <c r="K242" s="776"/>
    </row>
    <row r="243">
      <c r="A243" s="774" t="str">
        <f>'Semana 2'!CT30</f>
        <v/>
      </c>
      <c r="B243" s="201">
        <f t="shared" si="1"/>
        <v>0</v>
      </c>
      <c r="D243" s="740" t="str">
        <f>'Semana 2'!CM30</f>
        <v/>
      </c>
      <c r="E243" s="775"/>
      <c r="F243" s="774" t="str">
        <f>'Semana 2'!CU30</f>
        <v/>
      </c>
      <c r="G243" s="774" t="str">
        <f>'Semana 2'!CQ30</f>
        <v/>
      </c>
      <c r="H243" s="776"/>
      <c r="K243" s="776"/>
    </row>
    <row r="244">
      <c r="A244" s="774" t="str">
        <f>'Semana 2'!CT32</f>
        <v/>
      </c>
      <c r="B244" s="201">
        <f t="shared" si="1"/>
        <v>0</v>
      </c>
      <c r="D244" s="740" t="str">
        <f>'Semana 2'!CM32</f>
        <v/>
      </c>
      <c r="E244" s="775"/>
      <c r="F244" s="774" t="str">
        <f>'Semana 2'!CU32</f>
        <v/>
      </c>
      <c r="G244" s="774" t="str">
        <f>'Semana 2'!CQ32</f>
        <v/>
      </c>
      <c r="H244" s="776"/>
      <c r="K244" s="776"/>
    </row>
    <row r="245">
      <c r="A245" s="774" t="str">
        <f>'Semana 2'!CT34</f>
        <v/>
      </c>
      <c r="B245" s="201">
        <f t="shared" si="1"/>
        <v>0</v>
      </c>
      <c r="D245" s="740" t="str">
        <f>'Semana 2'!CM34</f>
        <v/>
      </c>
      <c r="E245" s="775"/>
      <c r="F245" s="774" t="str">
        <f>'Semana 2'!CU34</f>
        <v/>
      </c>
      <c r="G245" s="774" t="str">
        <f>'Semana 2'!CQ34</f>
        <v/>
      </c>
      <c r="H245" s="776"/>
      <c r="K245" s="776"/>
    </row>
    <row r="246">
      <c r="A246" s="774" t="str">
        <f>'Semana 2'!CT36</f>
        <v/>
      </c>
      <c r="B246" s="201">
        <f t="shared" si="1"/>
        <v>0</v>
      </c>
      <c r="D246" s="740" t="str">
        <f>'Semana 2'!CM36</f>
        <v/>
      </c>
      <c r="E246" s="775"/>
      <c r="F246" s="774" t="str">
        <f>'Semana 2'!CU36</f>
        <v/>
      </c>
      <c r="G246" s="774" t="str">
        <f>'Semana 2'!CQ36</f>
        <v/>
      </c>
      <c r="H246" s="776"/>
      <c r="K246" s="776"/>
    </row>
    <row r="247">
      <c r="A247" s="774" t="str">
        <f>'Semana 2'!CT38</f>
        <v/>
      </c>
      <c r="B247" s="201">
        <f t="shared" si="1"/>
        <v>0</v>
      </c>
      <c r="D247" s="740" t="str">
        <f>'Semana 2'!CM38</f>
        <v/>
      </c>
      <c r="E247" s="775"/>
      <c r="F247" s="774" t="str">
        <f>'Semana 2'!CU38</f>
        <v/>
      </c>
      <c r="G247" s="774" t="str">
        <f>'Semana 2'!CQ38</f>
        <v/>
      </c>
      <c r="H247" s="776"/>
      <c r="K247" s="776"/>
    </row>
    <row r="248">
      <c r="A248" s="774" t="str">
        <f>'Semana 2'!CT40</f>
        <v/>
      </c>
      <c r="B248" s="201">
        <f t="shared" si="1"/>
        <v>0</v>
      </c>
      <c r="D248" s="740" t="str">
        <f>'Semana 2'!CM40</f>
        <v/>
      </c>
      <c r="E248" s="775"/>
      <c r="F248" s="774" t="str">
        <f>'Semana 2'!CU40</f>
        <v/>
      </c>
      <c r="G248" s="774" t="str">
        <f>'Semana 2'!CQ40</f>
        <v/>
      </c>
      <c r="H248" s="776"/>
      <c r="K248" s="776"/>
    </row>
    <row r="249">
      <c r="A249" s="774" t="str">
        <f>'Semana 2'!CT42</f>
        <v/>
      </c>
      <c r="B249" s="201">
        <f t="shared" si="1"/>
        <v>0</v>
      </c>
      <c r="D249" s="740" t="str">
        <f>'Semana 2'!CM42</f>
        <v/>
      </c>
      <c r="E249" s="775"/>
      <c r="F249" s="774" t="str">
        <f>'Semana 2'!CU42</f>
        <v/>
      </c>
      <c r="G249" s="774" t="str">
        <f>'Semana 2'!CQ42</f>
        <v/>
      </c>
      <c r="H249" s="776"/>
      <c r="K249" s="776"/>
    </row>
    <row r="250">
      <c r="A250" s="774" t="str">
        <f>'Semana 2'!CT44</f>
        <v/>
      </c>
      <c r="B250" s="201">
        <f t="shared" si="1"/>
        <v>0</v>
      </c>
      <c r="D250" s="740" t="str">
        <f>'Semana 2'!CM44</f>
        <v/>
      </c>
      <c r="E250" s="775"/>
      <c r="F250" s="774" t="str">
        <f>'Semana 2'!CU44</f>
        <v/>
      </c>
      <c r="G250" s="774" t="str">
        <f>'Semana 2'!CQ44</f>
        <v/>
      </c>
      <c r="H250" s="776"/>
      <c r="K250" s="776"/>
    </row>
    <row r="251">
      <c r="A251" s="774" t="str">
        <f>'Semana 2'!CT46</f>
        <v/>
      </c>
      <c r="B251" s="201">
        <f t="shared" si="1"/>
        <v>0</v>
      </c>
      <c r="D251" s="740" t="str">
        <f>'Semana 2'!CM46</f>
        <v/>
      </c>
      <c r="E251" s="775"/>
      <c r="F251" s="774" t="str">
        <f>'Semana 2'!CU46</f>
        <v/>
      </c>
      <c r="G251" s="774" t="str">
        <f>'Semana 2'!CQ46</f>
        <v/>
      </c>
      <c r="H251" s="776"/>
      <c r="K251" s="776"/>
    </row>
    <row r="252">
      <c r="A252" s="774" t="str">
        <f>'Semana 2'!CT48</f>
        <v/>
      </c>
      <c r="B252" s="201">
        <f t="shared" si="1"/>
        <v>0</v>
      </c>
      <c r="D252" s="740" t="str">
        <f>'Semana 2'!CM48</f>
        <v/>
      </c>
      <c r="E252" s="775"/>
      <c r="F252" s="774" t="str">
        <f>'Semana 2'!CU48</f>
        <v/>
      </c>
      <c r="G252" s="774" t="str">
        <f>'Semana 2'!CQ48</f>
        <v/>
      </c>
      <c r="H252" s="776"/>
      <c r="K252" s="776"/>
    </row>
    <row r="253">
      <c r="A253" s="774" t="str">
        <f>'Semana 2'!CT50</f>
        <v/>
      </c>
      <c r="B253" s="201">
        <f t="shared" si="1"/>
        <v>0</v>
      </c>
      <c r="D253" s="740" t="str">
        <f>'Semana 2'!CM50</f>
        <v/>
      </c>
      <c r="E253" s="775"/>
      <c r="F253" s="774" t="str">
        <f>'Semana 2'!CU50</f>
        <v/>
      </c>
      <c r="G253" s="774" t="str">
        <f>'Semana 2'!CQ50</f>
        <v/>
      </c>
      <c r="H253" s="776"/>
      <c r="K253" s="776"/>
    </row>
    <row r="254">
      <c r="A254" s="774" t="str">
        <f>'Semana 2'!CT52</f>
        <v/>
      </c>
      <c r="B254" s="201">
        <f t="shared" si="1"/>
        <v>0</v>
      </c>
      <c r="D254" s="740" t="str">
        <f>'Semana 2'!CM52</f>
        <v/>
      </c>
      <c r="E254" s="775"/>
      <c r="F254" s="774" t="str">
        <f>'Semana 2'!CU52</f>
        <v/>
      </c>
      <c r="G254" s="774" t="str">
        <f>'Semana 2'!CQ52</f>
        <v/>
      </c>
      <c r="H254" s="776"/>
      <c r="K254" s="776"/>
    </row>
    <row r="255">
      <c r="A255" s="774" t="str">
        <f>'Semana 2'!CT54</f>
        <v/>
      </c>
      <c r="B255" s="201">
        <f t="shared" si="1"/>
        <v>0</v>
      </c>
      <c r="D255" s="740" t="str">
        <f>'Semana 2'!CM54</f>
        <v/>
      </c>
      <c r="E255" s="775"/>
      <c r="F255" s="774" t="str">
        <f>'Semana 2'!CU54</f>
        <v/>
      </c>
      <c r="G255" s="774" t="str">
        <f>'Semana 2'!CQ54</f>
        <v/>
      </c>
      <c r="H255" s="776"/>
      <c r="K255" s="776"/>
    </row>
    <row r="256">
      <c r="A256" s="774" t="str">
        <f>'Semana 2'!CT56</f>
        <v/>
      </c>
      <c r="B256" s="201">
        <f t="shared" si="1"/>
        <v>0</v>
      </c>
      <c r="D256" s="740" t="str">
        <f>'Semana 2'!CM56</f>
        <v/>
      </c>
      <c r="E256" s="775"/>
      <c r="F256" s="774" t="str">
        <f>'Semana 2'!CU56</f>
        <v/>
      </c>
      <c r="G256" s="774" t="str">
        <f>'Semana 2'!CQ56</f>
        <v/>
      </c>
      <c r="H256" s="776"/>
      <c r="K256" s="776"/>
    </row>
    <row r="257">
      <c r="A257" s="774" t="str">
        <f>'Semana 2'!CT58</f>
        <v/>
      </c>
      <c r="B257" s="201">
        <f t="shared" si="1"/>
        <v>0</v>
      </c>
      <c r="D257" s="740" t="str">
        <f>'Semana 2'!CM58</f>
        <v/>
      </c>
      <c r="E257" s="775"/>
      <c r="F257" s="774" t="str">
        <f>'Semana 2'!CU58</f>
        <v/>
      </c>
      <c r="G257" s="774" t="str">
        <f>'Semana 2'!CQ58</f>
        <v/>
      </c>
      <c r="H257" s="776"/>
      <c r="K257" s="776"/>
    </row>
    <row r="258">
      <c r="A258" s="774" t="str">
        <f>'Semana 2'!CT60</f>
        <v/>
      </c>
      <c r="B258" s="201">
        <f t="shared" si="1"/>
        <v>0</v>
      </c>
      <c r="D258" s="740" t="str">
        <f>'Semana 2'!CM60</f>
        <v/>
      </c>
      <c r="E258" s="775"/>
      <c r="F258" s="774" t="str">
        <f>'Semana 2'!CU60</f>
        <v/>
      </c>
      <c r="G258" s="774" t="str">
        <f>'Semana 2'!CQ60</f>
        <v/>
      </c>
      <c r="H258" s="776"/>
      <c r="K258" s="776"/>
    </row>
    <row r="259">
      <c r="A259" s="774" t="str">
        <f>'Semana 2'!CT62</f>
        <v/>
      </c>
      <c r="B259" s="201">
        <f t="shared" si="1"/>
        <v>0</v>
      </c>
      <c r="D259" s="740" t="str">
        <f>'Semana 2'!CM62</f>
        <v/>
      </c>
      <c r="E259" s="775"/>
      <c r="F259" s="774" t="str">
        <f>'Semana 2'!CU62</f>
        <v/>
      </c>
      <c r="G259" s="774" t="str">
        <f>'Semana 2'!CQ62</f>
        <v/>
      </c>
      <c r="H259" s="776"/>
      <c r="K259" s="776"/>
    </row>
    <row r="260">
      <c r="A260" s="774" t="str">
        <f>'Semana 2'!CT64</f>
        <v/>
      </c>
      <c r="B260" s="201">
        <f t="shared" si="1"/>
        <v>0</v>
      </c>
      <c r="D260" s="740" t="str">
        <f>'Semana 2'!CM64</f>
        <v/>
      </c>
      <c r="E260" s="775"/>
      <c r="F260" s="774" t="str">
        <f>'Semana 2'!CU64</f>
        <v/>
      </c>
      <c r="G260" s="774" t="str">
        <f>'Semana 2'!CQ64</f>
        <v/>
      </c>
      <c r="H260" s="776"/>
      <c r="K260" s="776"/>
    </row>
    <row r="261">
      <c r="A261" s="774" t="str">
        <f>'Semana 2'!DK26</f>
        <v/>
      </c>
      <c r="B261" s="201">
        <f t="shared" si="1"/>
        <v>0</v>
      </c>
      <c r="D261" s="740" t="str">
        <f>'Semana 2'!DD26</f>
        <v/>
      </c>
      <c r="E261" s="775"/>
      <c r="F261" s="774" t="str">
        <f>'Semana 2'!DL26</f>
        <v/>
      </c>
      <c r="G261" s="774" t="str">
        <f>'Semana 2'!DH26</f>
        <v/>
      </c>
      <c r="H261" s="776"/>
      <c r="K261" s="776"/>
    </row>
    <row r="262">
      <c r="A262" s="774" t="str">
        <f>'Semana 2'!DK28</f>
        <v/>
      </c>
      <c r="B262" s="201">
        <f t="shared" si="1"/>
        <v>0</v>
      </c>
      <c r="D262" s="740" t="str">
        <f>'Semana 2'!DD28</f>
        <v/>
      </c>
      <c r="E262" s="775"/>
      <c r="F262" s="774" t="str">
        <f>'Semana 2'!DL28</f>
        <v/>
      </c>
      <c r="G262" s="774" t="str">
        <f>'Semana 2'!DH28</f>
        <v/>
      </c>
      <c r="H262" s="776"/>
      <c r="K262" s="776"/>
    </row>
    <row r="263">
      <c r="A263" s="774" t="str">
        <f>'Semana 2'!DK30</f>
        <v/>
      </c>
      <c r="B263" s="201">
        <f t="shared" si="1"/>
        <v>0</v>
      </c>
      <c r="D263" s="740" t="str">
        <f>'Semana 2'!DD30</f>
        <v/>
      </c>
      <c r="E263" s="775"/>
      <c r="F263" s="774" t="str">
        <f>'Semana 2'!DL30</f>
        <v/>
      </c>
      <c r="G263" s="774" t="str">
        <f>'Semana 2'!DH30</f>
        <v/>
      </c>
      <c r="H263" s="776"/>
      <c r="K263" s="776"/>
    </row>
    <row r="264">
      <c r="A264" s="774" t="str">
        <f>'Semana 2'!DK32</f>
        <v/>
      </c>
      <c r="B264" s="201">
        <f t="shared" si="1"/>
        <v>0</v>
      </c>
      <c r="D264" s="740" t="str">
        <f>'Semana 2'!DD32</f>
        <v/>
      </c>
      <c r="E264" s="775"/>
      <c r="F264" s="774" t="str">
        <f>'Semana 2'!DL32</f>
        <v/>
      </c>
      <c r="G264" s="774" t="str">
        <f>'Semana 2'!DH32</f>
        <v/>
      </c>
      <c r="H264" s="776"/>
      <c r="K264" s="776"/>
    </row>
    <row r="265">
      <c r="A265" s="774" t="str">
        <f>'Semana 2'!DK34</f>
        <v/>
      </c>
      <c r="B265" s="201">
        <f t="shared" si="1"/>
        <v>0</v>
      </c>
      <c r="D265" s="740" t="str">
        <f>'Semana 2'!DD34</f>
        <v/>
      </c>
      <c r="E265" s="775"/>
      <c r="F265" s="774" t="str">
        <f>'Semana 2'!DL34</f>
        <v/>
      </c>
      <c r="G265" s="774" t="str">
        <f>'Semana 2'!DH34</f>
        <v/>
      </c>
      <c r="H265" s="776"/>
      <c r="K265" s="776"/>
    </row>
    <row r="266">
      <c r="A266" s="774" t="str">
        <f>'Semana 2'!DK36</f>
        <v/>
      </c>
      <c r="B266" s="201">
        <f t="shared" si="1"/>
        <v>0</v>
      </c>
      <c r="D266" s="740" t="str">
        <f>'Semana 2'!DD36</f>
        <v/>
      </c>
      <c r="E266" s="775"/>
      <c r="F266" s="774" t="str">
        <f>'Semana 2'!DL36</f>
        <v/>
      </c>
      <c r="G266" s="774" t="str">
        <f>'Semana 2'!DH36</f>
        <v/>
      </c>
      <c r="H266" s="776"/>
      <c r="K266" s="776"/>
    </row>
    <row r="267">
      <c r="A267" s="774" t="str">
        <f>'Semana 2'!DK38</f>
        <v/>
      </c>
      <c r="B267" s="201">
        <f t="shared" si="1"/>
        <v>0</v>
      </c>
      <c r="D267" s="740" t="str">
        <f>'Semana 2'!DD38</f>
        <v/>
      </c>
      <c r="E267" s="775"/>
      <c r="F267" s="774" t="str">
        <f>'Semana 2'!DL38</f>
        <v/>
      </c>
      <c r="G267" s="774" t="str">
        <f>'Semana 2'!DH38</f>
        <v/>
      </c>
      <c r="H267" s="776"/>
      <c r="K267" s="776"/>
    </row>
    <row r="268">
      <c r="A268" s="774" t="str">
        <f>'Semana 2'!DK40</f>
        <v/>
      </c>
      <c r="B268" s="201">
        <f t="shared" si="1"/>
        <v>0</v>
      </c>
      <c r="D268" s="740" t="str">
        <f>'Semana 2'!DD40</f>
        <v/>
      </c>
      <c r="E268" s="775"/>
      <c r="F268" s="774" t="str">
        <f>'Semana 2'!DL40</f>
        <v/>
      </c>
      <c r="G268" s="774" t="str">
        <f>'Semana 2'!DH40</f>
        <v/>
      </c>
      <c r="H268" s="776"/>
      <c r="K268" s="776"/>
    </row>
    <row r="269">
      <c r="A269" s="774" t="str">
        <f>'Semana 2'!DK42</f>
        <v/>
      </c>
      <c r="B269" s="201">
        <f t="shared" si="1"/>
        <v>0</v>
      </c>
      <c r="D269" s="740" t="str">
        <f>'Semana 2'!DD42</f>
        <v/>
      </c>
      <c r="E269" s="775"/>
      <c r="F269" s="774" t="str">
        <f>'Semana 2'!DL42</f>
        <v/>
      </c>
      <c r="G269" s="774" t="str">
        <f>'Semana 2'!DH42</f>
        <v/>
      </c>
      <c r="H269" s="776"/>
      <c r="K269" s="776"/>
    </row>
    <row r="270">
      <c r="A270" s="774" t="str">
        <f>'Semana 2'!DK44</f>
        <v/>
      </c>
      <c r="B270" s="201">
        <f t="shared" si="1"/>
        <v>0</v>
      </c>
      <c r="D270" s="740" t="str">
        <f>'Semana 2'!DD44</f>
        <v/>
      </c>
      <c r="E270" s="775"/>
      <c r="F270" s="774" t="str">
        <f>'Semana 2'!DL44</f>
        <v/>
      </c>
      <c r="G270" s="774" t="str">
        <f>'Semana 2'!DH44</f>
        <v/>
      </c>
      <c r="H270" s="776"/>
      <c r="K270" s="776"/>
    </row>
    <row r="271">
      <c r="A271" s="774" t="str">
        <f>'Semana 2'!DK46</f>
        <v/>
      </c>
      <c r="B271" s="201">
        <f t="shared" si="1"/>
        <v>0</v>
      </c>
      <c r="D271" s="740" t="str">
        <f>'Semana 2'!DD46</f>
        <v/>
      </c>
      <c r="E271" s="775"/>
      <c r="F271" s="774" t="str">
        <f>'Semana 2'!DL46</f>
        <v/>
      </c>
      <c r="G271" s="774" t="str">
        <f>'Semana 2'!DH46</f>
        <v/>
      </c>
      <c r="H271" s="776"/>
      <c r="K271" s="776"/>
    </row>
    <row r="272">
      <c r="A272" s="774" t="str">
        <f>'Semana 2'!DK48</f>
        <v/>
      </c>
      <c r="B272" s="201">
        <f t="shared" si="1"/>
        <v>0</v>
      </c>
      <c r="D272" s="740" t="str">
        <f>'Semana 2'!DD48</f>
        <v/>
      </c>
      <c r="E272" s="775"/>
      <c r="F272" s="774" t="str">
        <f>'Semana 2'!DL48</f>
        <v/>
      </c>
      <c r="G272" s="774" t="str">
        <f>'Semana 2'!DH48</f>
        <v/>
      </c>
      <c r="H272" s="776"/>
      <c r="K272" s="776"/>
    </row>
    <row r="273">
      <c r="A273" s="774" t="str">
        <f>'Semana 2'!DK50</f>
        <v/>
      </c>
      <c r="B273" s="201">
        <f t="shared" si="1"/>
        <v>0</v>
      </c>
      <c r="D273" s="740" t="str">
        <f>'Semana 2'!DD50</f>
        <v/>
      </c>
      <c r="E273" s="775"/>
      <c r="F273" s="774" t="str">
        <f>'Semana 2'!DL50</f>
        <v/>
      </c>
      <c r="G273" s="774" t="str">
        <f>'Semana 2'!DH50</f>
        <v/>
      </c>
      <c r="H273" s="776"/>
      <c r="K273" s="776"/>
    </row>
    <row r="274">
      <c r="A274" s="774" t="str">
        <f>'Semana 2'!DK52</f>
        <v/>
      </c>
      <c r="B274" s="201">
        <f t="shared" si="1"/>
        <v>0</v>
      </c>
      <c r="D274" s="740" t="str">
        <f>'Semana 2'!DD52</f>
        <v/>
      </c>
      <c r="E274" s="775"/>
      <c r="F274" s="774" t="str">
        <f>'Semana 2'!DL52</f>
        <v/>
      </c>
      <c r="G274" s="774" t="str">
        <f>'Semana 2'!DH52</f>
        <v/>
      </c>
      <c r="H274" s="776"/>
      <c r="K274" s="776"/>
    </row>
    <row r="275">
      <c r="A275" s="774" t="str">
        <f>'Semana 2'!DK54</f>
        <v/>
      </c>
      <c r="B275" s="201">
        <f t="shared" si="1"/>
        <v>0</v>
      </c>
      <c r="D275" s="740" t="str">
        <f>'Semana 2'!DD54</f>
        <v/>
      </c>
      <c r="E275" s="775"/>
      <c r="F275" s="774" t="str">
        <f>'Semana 2'!DL54</f>
        <v/>
      </c>
      <c r="G275" s="774" t="str">
        <f>'Semana 2'!DH54</f>
        <v/>
      </c>
      <c r="H275" s="776"/>
      <c r="K275" s="776"/>
    </row>
    <row r="276">
      <c r="A276" s="774" t="str">
        <f>'Semana 2'!DK56</f>
        <v/>
      </c>
      <c r="B276" s="201">
        <f t="shared" si="1"/>
        <v>0</v>
      </c>
      <c r="D276" s="740" t="str">
        <f>'Semana 2'!DD56</f>
        <v/>
      </c>
      <c r="E276" s="775"/>
      <c r="F276" s="774" t="str">
        <f>'Semana 2'!DL56</f>
        <v/>
      </c>
      <c r="G276" s="774" t="str">
        <f>'Semana 2'!DH56</f>
        <v/>
      </c>
      <c r="H276" s="776"/>
      <c r="K276" s="776"/>
    </row>
    <row r="277">
      <c r="A277" s="774" t="str">
        <f>'Semana 2'!DK58</f>
        <v/>
      </c>
      <c r="B277" s="201">
        <f t="shared" si="1"/>
        <v>0</v>
      </c>
      <c r="D277" s="740" t="str">
        <f>'Semana 2'!DD58</f>
        <v/>
      </c>
      <c r="E277" s="775"/>
      <c r="F277" s="774" t="str">
        <f>'Semana 2'!DL58</f>
        <v/>
      </c>
      <c r="G277" s="774" t="str">
        <f>'Semana 2'!DH58</f>
        <v/>
      </c>
      <c r="H277" s="776"/>
      <c r="K277" s="776"/>
    </row>
    <row r="278">
      <c r="A278" s="774" t="str">
        <f>'Semana 2'!DK60</f>
        <v/>
      </c>
      <c r="B278" s="201">
        <f t="shared" si="1"/>
        <v>0</v>
      </c>
      <c r="D278" s="740" t="str">
        <f>'Semana 2'!DD60</f>
        <v/>
      </c>
      <c r="E278" s="775"/>
      <c r="F278" s="774" t="str">
        <f>'Semana 2'!DL60</f>
        <v/>
      </c>
      <c r="G278" s="774" t="str">
        <f>'Semana 2'!DH60</f>
        <v/>
      </c>
      <c r="H278" s="776"/>
      <c r="K278" s="776"/>
    </row>
    <row r="279">
      <c r="A279" s="774" t="str">
        <f>'Semana 2'!DK62</f>
        <v/>
      </c>
      <c r="B279" s="201">
        <f t="shared" si="1"/>
        <v>0</v>
      </c>
      <c r="D279" s="740" t="str">
        <f>'Semana 2'!DD62</f>
        <v/>
      </c>
      <c r="E279" s="775"/>
      <c r="F279" s="774" t="str">
        <f>'Semana 2'!DL62</f>
        <v/>
      </c>
      <c r="G279" s="774" t="str">
        <f>'Semana 2'!DH62</f>
        <v/>
      </c>
      <c r="H279" s="776"/>
      <c r="K279" s="776"/>
    </row>
    <row r="280">
      <c r="A280" s="774" t="str">
        <f>'Semana 2'!DK64</f>
        <v/>
      </c>
      <c r="B280" s="201">
        <f t="shared" si="1"/>
        <v>0</v>
      </c>
      <c r="D280" s="740" t="str">
        <f>'Semana 2'!DD64</f>
        <v/>
      </c>
      <c r="E280" s="775"/>
      <c r="F280" s="774" t="str">
        <f>'Semana 2'!DL64</f>
        <v/>
      </c>
      <c r="G280" s="774" t="str">
        <f>'Semana 2'!DH64</f>
        <v/>
      </c>
      <c r="H280" s="776"/>
      <c r="K280" s="776"/>
    </row>
    <row r="281">
      <c r="A281" s="774" t="str">
        <f>'Semana 3'!M26</f>
        <v>Esteira</v>
      </c>
      <c r="B281" s="201">
        <f t="shared" si="1"/>
        <v>6.139132535</v>
      </c>
      <c r="D281" s="740" t="str">
        <f>'Semana 3'!F26</f>
        <v/>
      </c>
      <c r="E281" s="775"/>
      <c r="F281" s="774" t="str">
        <f>'Semana 3'!N26</f>
        <v/>
      </c>
      <c r="G281" s="774">
        <f>'Semana 3'!J26</f>
        <v>10</v>
      </c>
      <c r="H281" s="776"/>
      <c r="K281" s="776"/>
    </row>
    <row r="282">
      <c r="A282" s="774" t="str">
        <f>'Semana 3'!M28</f>
        <v>Supino</v>
      </c>
      <c r="B282" s="201">
        <f t="shared" si="1"/>
        <v>60</v>
      </c>
      <c r="D282" s="740">
        <f>'Semana 3'!F28</f>
        <v>10</v>
      </c>
      <c r="E282" s="775"/>
      <c r="F282" s="774" t="str">
        <f>'Semana 3'!N28</f>
        <v/>
      </c>
      <c r="G282" s="774">
        <f>'Semana 3'!J28</f>
        <v>60</v>
      </c>
      <c r="H282" s="776"/>
      <c r="K282" s="776"/>
    </row>
    <row r="283">
      <c r="A283" s="774" t="str">
        <f>'Semana 3'!M30</f>
        <v>Remada Frontal Máquina</v>
      </c>
      <c r="B283" s="201">
        <f t="shared" si="1"/>
        <v>68</v>
      </c>
      <c r="D283" s="740">
        <f>'Semana 3'!F30</f>
        <v>10</v>
      </c>
      <c r="E283" s="775"/>
      <c r="F283" s="774" t="str">
        <f>'Semana 3'!N30</f>
        <v/>
      </c>
      <c r="G283" s="774">
        <f>'Semana 3'!J30</f>
        <v>68</v>
      </c>
      <c r="H283" s="776"/>
      <c r="K283" s="776"/>
    </row>
    <row r="284">
      <c r="A284" s="774" t="str">
        <f>'Semana 3'!M32</f>
        <v>Esteira</v>
      </c>
      <c r="B284" s="201">
        <f t="shared" si="1"/>
        <v>6.139132535</v>
      </c>
      <c r="D284" s="740" t="str">
        <f>'Semana 3'!F32</f>
        <v/>
      </c>
      <c r="E284" s="775"/>
      <c r="F284" s="774" t="str">
        <f>'Semana 3'!N32</f>
        <v/>
      </c>
      <c r="G284" s="774">
        <f>'Semana 3'!J32</f>
        <v>10</v>
      </c>
      <c r="H284" s="776"/>
      <c r="K284" s="776"/>
    </row>
    <row r="285">
      <c r="A285" s="774" t="str">
        <f>'Semana 3'!M34</f>
        <v>Supino Inclinado</v>
      </c>
      <c r="B285" s="201">
        <f t="shared" si="1"/>
        <v>50</v>
      </c>
      <c r="D285" s="740">
        <f>'Semana 3'!F34</f>
        <v>10</v>
      </c>
      <c r="E285" s="775"/>
      <c r="F285" s="774" t="str">
        <f>'Semana 3'!N34</f>
        <v/>
      </c>
      <c r="G285" s="774">
        <f>'Semana 3'!J34</f>
        <v>50</v>
      </c>
      <c r="H285" s="776"/>
      <c r="K285" s="776"/>
    </row>
    <row r="286">
      <c r="A286" s="774" t="str">
        <f>'Semana 3'!M36</f>
        <v>Pulley frente</v>
      </c>
      <c r="B286" s="201">
        <f t="shared" si="1"/>
        <v>9</v>
      </c>
      <c r="D286" s="740">
        <f>'Semana 3'!F36</f>
        <v>10</v>
      </c>
      <c r="E286" s="775"/>
      <c r="F286" s="774" t="str">
        <f>'Semana 3'!N36</f>
        <v/>
      </c>
      <c r="G286" s="774">
        <f>'Semana 3'!J36</f>
        <v>9</v>
      </c>
      <c r="H286" s="776"/>
      <c r="K286" s="776"/>
    </row>
    <row r="287">
      <c r="A287" s="774" t="str">
        <f>'Semana 3'!M38</f>
        <v>Esteira</v>
      </c>
      <c r="B287" s="201">
        <f t="shared" si="1"/>
        <v>6.139132535</v>
      </c>
      <c r="D287" s="740" t="str">
        <f>'Semana 3'!F38</f>
        <v/>
      </c>
      <c r="E287" s="775"/>
      <c r="F287" s="774" t="str">
        <f>'Semana 3'!N38</f>
        <v/>
      </c>
      <c r="G287" s="774">
        <f>'Semana 3'!J38</f>
        <v>10</v>
      </c>
      <c r="H287" s="776"/>
      <c r="K287" s="776"/>
    </row>
    <row r="288">
      <c r="A288" s="774" t="str">
        <f>'Semana 3'!M40</f>
        <v>Fly Inverso</v>
      </c>
      <c r="B288" s="201">
        <f t="shared" si="1"/>
        <v>8</v>
      </c>
      <c r="D288" s="740">
        <f>'Semana 3'!F40</f>
        <v>10</v>
      </c>
      <c r="E288" s="775"/>
      <c r="F288" s="774" t="str">
        <f>'Semana 3'!N40</f>
        <v/>
      </c>
      <c r="G288" s="774">
        <f>'Semana 3'!J40</f>
        <v>8</v>
      </c>
      <c r="H288" s="776"/>
      <c r="K288" s="776"/>
    </row>
    <row r="289">
      <c r="A289" s="774" t="str">
        <f>'Semana 3'!M42</f>
        <v>Rosca Direta</v>
      </c>
      <c r="B289" s="201">
        <f t="shared" si="1"/>
        <v>20</v>
      </c>
      <c r="D289" s="740">
        <f>'Semana 3'!F42</f>
        <v>10</v>
      </c>
      <c r="E289" s="775"/>
      <c r="F289" s="774" t="str">
        <f>'Semana 3'!N42</f>
        <v/>
      </c>
      <c r="G289" s="774">
        <f>'Semana 3'!J42</f>
        <v>20</v>
      </c>
      <c r="H289" s="776"/>
      <c r="K289" s="776"/>
    </row>
    <row r="290">
      <c r="A290" s="774" t="str">
        <f>'Semana 3'!M44</f>
        <v>Esteira</v>
      </c>
      <c r="B290" s="201">
        <f t="shared" si="1"/>
        <v>6.139132535</v>
      </c>
      <c r="D290" s="740" t="str">
        <f>'Semana 3'!F44</f>
        <v/>
      </c>
      <c r="E290" s="775"/>
      <c r="F290" s="774" t="str">
        <f>'Semana 3'!N44</f>
        <v/>
      </c>
      <c r="G290" s="774">
        <f>'Semana 3'!J44</f>
        <v>10</v>
      </c>
      <c r="H290" s="776"/>
      <c r="K290" s="776"/>
    </row>
    <row r="291">
      <c r="A291" s="774" t="str">
        <f>'Semana 3'!M46</f>
        <v>Fly no peck deck</v>
      </c>
      <c r="B291" s="201">
        <f t="shared" si="1"/>
        <v>8</v>
      </c>
      <c r="D291" s="740">
        <f>'Semana 3'!F46</f>
        <v>10</v>
      </c>
      <c r="E291" s="775"/>
      <c r="F291" s="774" t="str">
        <f>'Semana 3'!N46</f>
        <v/>
      </c>
      <c r="G291" s="774">
        <f>'Semana 3'!J46</f>
        <v>8</v>
      </c>
      <c r="H291" s="776"/>
      <c r="K291" s="776"/>
    </row>
    <row r="292">
      <c r="A292" s="774" t="str">
        <f>'Semana 3'!M48</f>
        <v>Tríceps Testa polia</v>
      </c>
      <c r="B292" s="201">
        <f t="shared" si="1"/>
        <v>7</v>
      </c>
      <c r="D292" s="740">
        <f>'Semana 3'!F48</f>
        <v>10</v>
      </c>
      <c r="E292" s="775"/>
      <c r="F292" s="774" t="str">
        <f>'Semana 3'!N48</f>
        <v/>
      </c>
      <c r="G292" s="774">
        <f>'Semana 3'!J48</f>
        <v>7</v>
      </c>
      <c r="H292" s="776"/>
      <c r="K292" s="776"/>
    </row>
    <row r="293">
      <c r="A293" s="774" t="str">
        <f>'Semana 3'!M50</f>
        <v>Esteira</v>
      </c>
      <c r="B293" s="201">
        <f t="shared" si="1"/>
        <v>6.139132535</v>
      </c>
      <c r="D293" s="740" t="str">
        <f>'Semana 3'!F50</f>
        <v/>
      </c>
      <c r="E293" s="775"/>
      <c r="F293" s="774" t="str">
        <f>'Semana 3'!N50</f>
        <v/>
      </c>
      <c r="G293" s="774">
        <f>'Semana 3'!J50</f>
        <v>10</v>
      </c>
      <c r="H293" s="776"/>
      <c r="K293" s="776"/>
    </row>
    <row r="294">
      <c r="A294" s="774" t="str">
        <f>'Semana 3'!M52</f>
        <v>Abdominal canoa</v>
      </c>
      <c r="B294" s="201">
        <f t="shared" si="1"/>
        <v>12.76281563</v>
      </c>
      <c r="D294" s="740">
        <f>'Semana 3'!F52</f>
        <v>15</v>
      </c>
      <c r="E294" s="775"/>
      <c r="F294" s="774" t="str">
        <f>'Semana 3'!N52</f>
        <v/>
      </c>
      <c r="G294" s="774">
        <f>'Semana 3'!J52</f>
        <v>10</v>
      </c>
      <c r="H294" s="776"/>
      <c r="K294" s="776"/>
    </row>
    <row r="295">
      <c r="A295" s="774" t="str">
        <f>'Semana 3'!M54</f>
        <v>Abdominal Remador</v>
      </c>
      <c r="B295" s="201">
        <f t="shared" si="1"/>
        <v>12.76281563</v>
      </c>
      <c r="D295" s="740">
        <f>'Semana 3'!F54</f>
        <v>15</v>
      </c>
      <c r="E295" s="775"/>
      <c r="F295" s="774" t="str">
        <f>'Semana 3'!N54</f>
        <v/>
      </c>
      <c r="G295" s="774">
        <f>'Semana 3'!J54</f>
        <v>10</v>
      </c>
      <c r="H295" s="776"/>
      <c r="K295" s="776"/>
    </row>
    <row r="296">
      <c r="A296" s="774" t="str">
        <f>'Semana 3'!M56</f>
        <v/>
      </c>
      <c r="B296" s="201">
        <f t="shared" si="1"/>
        <v>0</v>
      </c>
      <c r="D296" s="740" t="str">
        <f>'Semana 3'!F56</f>
        <v/>
      </c>
      <c r="E296" s="775"/>
      <c r="F296" s="774" t="str">
        <f>'Semana 3'!N56</f>
        <v/>
      </c>
      <c r="G296" s="774" t="str">
        <f>'Semana 3'!J56</f>
        <v/>
      </c>
      <c r="H296" s="776"/>
      <c r="K296" s="776"/>
    </row>
    <row r="297">
      <c r="A297" s="774" t="str">
        <f>'Semana 3'!M58</f>
        <v/>
      </c>
      <c r="B297" s="201">
        <f t="shared" si="1"/>
        <v>0</v>
      </c>
      <c r="D297" s="740" t="str">
        <f>'Semana 3'!F58</f>
        <v/>
      </c>
      <c r="E297" s="775"/>
      <c r="F297" s="774" t="str">
        <f>'Semana 3'!N58</f>
        <v/>
      </c>
      <c r="G297" s="774" t="str">
        <f>'Semana 3'!J58</f>
        <v/>
      </c>
      <c r="H297" s="776"/>
      <c r="K297" s="776"/>
    </row>
    <row r="298">
      <c r="A298" s="774" t="str">
        <f>'Semana 3'!M60</f>
        <v/>
      </c>
      <c r="B298" s="201">
        <f t="shared" si="1"/>
        <v>0</v>
      </c>
      <c r="D298" s="740" t="str">
        <f>'Semana 3'!F60</f>
        <v/>
      </c>
      <c r="E298" s="775"/>
      <c r="F298" s="774" t="str">
        <f>'Semana 3'!N60</f>
        <v/>
      </c>
      <c r="G298" s="774" t="str">
        <f>'Semana 3'!J60</f>
        <v/>
      </c>
      <c r="H298" s="776"/>
      <c r="K298" s="776"/>
    </row>
    <row r="299">
      <c r="A299" s="774" t="str">
        <f>'Semana 3'!M62</f>
        <v/>
      </c>
      <c r="B299" s="201">
        <f t="shared" si="1"/>
        <v>0</v>
      </c>
      <c r="D299" s="740" t="str">
        <f>'Semana 3'!F62</f>
        <v/>
      </c>
      <c r="E299" s="775"/>
      <c r="F299" s="774" t="str">
        <f>'Semana 3'!N62</f>
        <v/>
      </c>
      <c r="G299" s="774" t="str">
        <f>'Semana 3'!J62</f>
        <v/>
      </c>
      <c r="H299" s="776"/>
      <c r="K299" s="776"/>
    </row>
    <row r="300">
      <c r="A300" s="774" t="str">
        <f>'Semana 3'!M64</f>
        <v/>
      </c>
      <c r="B300" s="201">
        <f t="shared" si="1"/>
        <v>0</v>
      </c>
      <c r="D300" s="740" t="str">
        <f>'Semana 3'!F64</f>
        <v/>
      </c>
      <c r="E300" s="775"/>
      <c r="F300" s="774" t="str">
        <f>'Semana 3'!N64</f>
        <v/>
      </c>
      <c r="G300" s="774" t="str">
        <f>'Semana 3'!J64</f>
        <v/>
      </c>
      <c r="H300" s="776"/>
      <c r="K300" s="776"/>
    </row>
    <row r="301">
      <c r="A301" s="774" t="str">
        <f>'Semana 3'!AD26</f>
        <v>Bicicleta</v>
      </c>
      <c r="B301" s="201">
        <f t="shared" si="1"/>
        <v>6.139132535</v>
      </c>
      <c r="D301" s="740" t="str">
        <f>'Semana 3'!W26</f>
        <v/>
      </c>
      <c r="E301" s="775"/>
      <c r="F301" s="774" t="str">
        <f>'Semana 3'!AE26</f>
        <v/>
      </c>
      <c r="G301" s="774">
        <f>'Semana 3'!AA26</f>
        <v>10</v>
      </c>
      <c r="H301" s="776"/>
      <c r="K301" s="776"/>
    </row>
    <row r="302">
      <c r="A302" s="774" t="str">
        <f>'Semana 3'!AD28</f>
        <v>Agachamento</v>
      </c>
      <c r="B302" s="201">
        <f t="shared" si="1"/>
        <v>90</v>
      </c>
      <c r="D302" s="740">
        <f>'Semana 3'!W28</f>
        <v>10</v>
      </c>
      <c r="E302" s="775"/>
      <c r="F302" s="774" t="str">
        <f>'Semana 3'!AE28</f>
        <v/>
      </c>
      <c r="G302" s="774">
        <f>'Semana 3'!AA28</f>
        <v>90</v>
      </c>
      <c r="H302" s="776"/>
      <c r="K302" s="776"/>
    </row>
    <row r="303">
      <c r="A303" s="774" t="str">
        <f>'Semana 3'!AD30</f>
        <v>Stiff</v>
      </c>
      <c r="B303" s="201">
        <f t="shared" si="1"/>
        <v>100</v>
      </c>
      <c r="D303" s="740">
        <f>'Semana 3'!W30</f>
        <v>10</v>
      </c>
      <c r="E303" s="775"/>
      <c r="F303" s="774" t="str">
        <f>'Semana 3'!AE30</f>
        <v/>
      </c>
      <c r="G303" s="774">
        <f>'Semana 3'!AA30</f>
        <v>100</v>
      </c>
      <c r="H303" s="776"/>
      <c r="K303" s="776"/>
    </row>
    <row r="304">
      <c r="A304" s="774" t="str">
        <f>'Semana 3'!AD32</f>
        <v>Bicicleta</v>
      </c>
      <c r="B304" s="201">
        <f t="shared" si="1"/>
        <v>6.139132535</v>
      </c>
      <c r="D304" s="740" t="str">
        <f>'Semana 3'!W32</f>
        <v/>
      </c>
      <c r="E304" s="775"/>
      <c r="F304" s="774" t="str">
        <f>'Semana 3'!AE32</f>
        <v/>
      </c>
      <c r="G304" s="774">
        <f>'Semana 3'!AA32</f>
        <v>10</v>
      </c>
      <c r="H304" s="776"/>
      <c r="K304" s="776"/>
    </row>
    <row r="305">
      <c r="A305" s="774" t="str">
        <f>'Semana 3'!AD34</f>
        <v>Elevação Pélvica</v>
      </c>
      <c r="B305" s="201">
        <f t="shared" si="1"/>
        <v>110</v>
      </c>
      <c r="D305" s="740">
        <f>'Semana 3'!W34</f>
        <v>10</v>
      </c>
      <c r="E305" s="775"/>
      <c r="F305" s="774" t="str">
        <f>'Semana 3'!AE34</f>
        <v/>
      </c>
      <c r="G305" s="774">
        <f>'Semana 3'!AA34</f>
        <v>110</v>
      </c>
      <c r="H305" s="776"/>
      <c r="K305" s="776"/>
    </row>
    <row r="306">
      <c r="A306" s="774" t="str">
        <f>'Semana 3'!AD36</f>
        <v>Cadeira Abdutora</v>
      </c>
      <c r="B306" s="201">
        <f t="shared" si="1"/>
        <v>5</v>
      </c>
      <c r="D306" s="740">
        <f>'Semana 3'!W36</f>
        <v>10</v>
      </c>
      <c r="E306" s="775"/>
      <c r="F306" s="774" t="str">
        <f>'Semana 3'!AE36</f>
        <v/>
      </c>
      <c r="G306" s="774">
        <f>'Semana 3'!AA36</f>
        <v>5</v>
      </c>
      <c r="H306" s="776"/>
      <c r="K306" s="776"/>
    </row>
    <row r="307">
      <c r="A307" s="774" t="str">
        <f>'Semana 3'!AD38</f>
        <v>Bicicleta</v>
      </c>
      <c r="B307" s="201">
        <f t="shared" si="1"/>
        <v>6.139132535</v>
      </c>
      <c r="D307" s="740" t="str">
        <f>'Semana 3'!W38</f>
        <v/>
      </c>
      <c r="E307" s="775"/>
      <c r="F307" s="774" t="str">
        <f>'Semana 3'!AE38</f>
        <v/>
      </c>
      <c r="G307" s="774">
        <f>'Semana 3'!AA38</f>
        <v>10</v>
      </c>
      <c r="H307" s="776"/>
      <c r="K307" s="776"/>
    </row>
    <row r="308">
      <c r="A308" s="774" t="str">
        <f>'Semana 3'!AD40</f>
        <v>Leg Press</v>
      </c>
      <c r="B308" s="201">
        <f t="shared" si="1"/>
        <v>170</v>
      </c>
      <c r="D308" s="740">
        <f>'Semana 3'!W40</f>
        <v>10</v>
      </c>
      <c r="E308" s="775"/>
      <c r="F308" s="774" t="str">
        <f>'Semana 3'!AE40</f>
        <v/>
      </c>
      <c r="G308" s="774">
        <f>'Semana 3'!AA40</f>
        <v>170</v>
      </c>
      <c r="H308" s="776"/>
      <c r="K308" s="776"/>
    </row>
    <row r="309">
      <c r="A309" s="774" t="str">
        <f>'Semana 3'!AD42</f>
        <v>Panturrilha Leg Press</v>
      </c>
      <c r="B309" s="201">
        <f t="shared" si="1"/>
        <v>220</v>
      </c>
      <c r="D309" s="740">
        <f>'Semana 3'!W42</f>
        <v>10</v>
      </c>
      <c r="E309" s="775"/>
      <c r="F309" s="774" t="str">
        <f>'Semana 3'!AE42</f>
        <v/>
      </c>
      <c r="G309" s="774">
        <f>'Semana 3'!AA42</f>
        <v>220</v>
      </c>
      <c r="H309" s="776"/>
      <c r="K309" s="776"/>
    </row>
    <row r="310">
      <c r="A310" s="774" t="str">
        <f>'Semana 3'!AD44</f>
        <v>Bicicleta</v>
      </c>
      <c r="B310" s="201">
        <f t="shared" si="1"/>
        <v>6.139132535</v>
      </c>
      <c r="D310" s="740" t="str">
        <f>'Semana 3'!W44</f>
        <v/>
      </c>
      <c r="E310" s="775"/>
      <c r="F310" s="774" t="str">
        <f>'Semana 3'!AE44</f>
        <v/>
      </c>
      <c r="G310" s="774">
        <f>'Semana 3'!AA44</f>
        <v>10</v>
      </c>
      <c r="H310" s="776"/>
      <c r="K310" s="776"/>
    </row>
    <row r="311">
      <c r="A311" s="774" t="str">
        <f>'Semana 3'!AD46</f>
        <v>Afundo</v>
      </c>
      <c r="B311" s="201">
        <f t="shared" si="1"/>
        <v>36</v>
      </c>
      <c r="D311" s="740">
        <f>'Semana 3'!W46</f>
        <v>10</v>
      </c>
      <c r="E311" s="775"/>
      <c r="F311" s="774" t="str">
        <f>'Semana 3'!AE46</f>
        <v/>
      </c>
      <c r="G311" s="774">
        <f>'Semana 3'!AA46</f>
        <v>36</v>
      </c>
      <c r="H311" s="776"/>
      <c r="K311" s="776"/>
    </row>
    <row r="312">
      <c r="A312" s="774" t="str">
        <f>'Semana 3'!AD48</f>
        <v>Flexão Plantar na Máquina</v>
      </c>
      <c r="B312" s="201">
        <f t="shared" si="1"/>
        <v>150</v>
      </c>
      <c r="D312" s="740">
        <f>'Semana 3'!W48</f>
        <v>10</v>
      </c>
      <c r="E312" s="775"/>
      <c r="F312" s="774" t="str">
        <f>'Semana 3'!AE48</f>
        <v/>
      </c>
      <c r="G312" s="774">
        <f>'Semana 3'!AA48</f>
        <v>150</v>
      </c>
      <c r="H312" s="776"/>
      <c r="K312" s="776"/>
    </row>
    <row r="313">
      <c r="A313" s="774" t="str">
        <f>'Semana 3'!AD50</f>
        <v>Bicicleta</v>
      </c>
      <c r="B313" s="201">
        <f t="shared" si="1"/>
        <v>6.139132535</v>
      </c>
      <c r="D313" s="740" t="str">
        <f>'Semana 3'!W50</f>
        <v/>
      </c>
      <c r="E313" s="775"/>
      <c r="F313" s="774" t="str">
        <f>'Semana 3'!AE50</f>
        <v/>
      </c>
      <c r="G313" s="774">
        <f>'Semana 3'!AA50</f>
        <v>10</v>
      </c>
      <c r="H313" s="776"/>
      <c r="K313" s="776"/>
    </row>
    <row r="314">
      <c r="A314" s="774" t="str">
        <f>'Semana 3'!AD52</f>
        <v>Abdominal roda</v>
      </c>
      <c r="B314" s="201">
        <f t="shared" si="1"/>
        <v>12.76281563</v>
      </c>
      <c r="D314" s="740">
        <f>'Semana 3'!W52</f>
        <v>15</v>
      </c>
      <c r="E314" s="775"/>
      <c r="F314" s="774" t="str">
        <f>'Semana 3'!AE52</f>
        <v/>
      </c>
      <c r="G314" s="774">
        <f>'Semana 3'!AA52</f>
        <v>10</v>
      </c>
      <c r="H314" s="776"/>
      <c r="K314" s="776"/>
    </row>
    <row r="315">
      <c r="A315" s="774" t="str">
        <f>'Semana 3'!AD54</f>
        <v>Abdominal Obliquo na polia média</v>
      </c>
      <c r="B315" s="201">
        <f t="shared" si="1"/>
        <v>4</v>
      </c>
      <c r="D315" s="740">
        <f>'Semana 3'!W54</f>
        <v>10</v>
      </c>
      <c r="E315" s="775"/>
      <c r="F315" s="774" t="str">
        <f>'Semana 3'!AE54</f>
        <v/>
      </c>
      <c r="G315" s="774">
        <f>'Semana 3'!AA54</f>
        <v>4</v>
      </c>
      <c r="H315" s="776"/>
      <c r="K315" s="776"/>
    </row>
    <row r="316">
      <c r="A316" s="774" t="str">
        <f>'Semana 3'!AD56</f>
        <v/>
      </c>
      <c r="B316" s="201">
        <f t="shared" si="1"/>
        <v>0</v>
      </c>
      <c r="D316" s="740" t="str">
        <f>'Semana 3'!W56</f>
        <v/>
      </c>
      <c r="E316" s="775"/>
      <c r="F316" s="774" t="str">
        <f>'Semana 3'!AE56</f>
        <v/>
      </c>
      <c r="G316" s="774" t="str">
        <f>'Semana 3'!AA56</f>
        <v/>
      </c>
      <c r="H316" s="776"/>
      <c r="K316" s="776"/>
    </row>
    <row r="317">
      <c r="A317" s="774" t="str">
        <f>'Semana 3'!AD58</f>
        <v/>
      </c>
      <c r="B317" s="201">
        <f t="shared" si="1"/>
        <v>0</v>
      </c>
      <c r="D317" s="740" t="str">
        <f>'Semana 3'!W58</f>
        <v/>
      </c>
      <c r="E317" s="775"/>
      <c r="F317" s="774" t="str">
        <f>'Semana 3'!AE58</f>
        <v/>
      </c>
      <c r="G317" s="774" t="str">
        <f>'Semana 3'!AA58</f>
        <v/>
      </c>
      <c r="H317" s="776"/>
      <c r="K317" s="776"/>
    </row>
    <row r="318">
      <c r="A318" s="774" t="str">
        <f>'Semana 3'!AD60</f>
        <v/>
      </c>
      <c r="B318" s="201">
        <f t="shared" si="1"/>
        <v>0</v>
      </c>
      <c r="D318" s="740" t="str">
        <f>'Semana 3'!W60</f>
        <v/>
      </c>
      <c r="E318" s="775"/>
      <c r="F318" s="774" t="str">
        <f>'Semana 3'!AE60</f>
        <v/>
      </c>
      <c r="G318" s="774" t="str">
        <f>'Semana 3'!AA60</f>
        <v/>
      </c>
      <c r="H318" s="776"/>
      <c r="K318" s="776"/>
    </row>
    <row r="319">
      <c r="A319" s="774" t="str">
        <f>'Semana 3'!AD62</f>
        <v/>
      </c>
      <c r="B319" s="201">
        <f t="shared" si="1"/>
        <v>0</v>
      </c>
      <c r="D319" s="740" t="str">
        <f>'Semana 3'!W62</f>
        <v/>
      </c>
      <c r="E319" s="775"/>
      <c r="F319" s="774" t="str">
        <f>'Semana 3'!AE62</f>
        <v/>
      </c>
      <c r="G319" s="774" t="str">
        <f>'Semana 3'!AA62</f>
        <v/>
      </c>
      <c r="H319" s="776"/>
      <c r="K319" s="776"/>
    </row>
    <row r="320">
      <c r="A320" s="774" t="str">
        <f>'Semana 3'!AD64</f>
        <v/>
      </c>
      <c r="B320" s="201">
        <f t="shared" si="1"/>
        <v>0</v>
      </c>
      <c r="D320" s="740" t="str">
        <f>'Semana 3'!W64</f>
        <v/>
      </c>
      <c r="E320" s="775"/>
      <c r="F320" s="774" t="str">
        <f>'Semana 3'!AE64</f>
        <v/>
      </c>
      <c r="G320" s="774" t="str">
        <f>'Semana 3'!AA64</f>
        <v/>
      </c>
      <c r="H320" s="776"/>
      <c r="K320" s="776"/>
    </row>
    <row r="321">
      <c r="A321" s="774" t="str">
        <f>'Semana 3'!AU26</f>
        <v>Pista</v>
      </c>
      <c r="B321" s="201">
        <f t="shared" si="1"/>
        <v>0</v>
      </c>
      <c r="D321" s="740" t="str">
        <f>'Semana 3'!AN26</f>
        <v/>
      </c>
      <c r="E321" s="775"/>
      <c r="F321" s="774" t="str">
        <f>'Semana 3'!AV26</f>
        <v/>
      </c>
      <c r="G321" s="774" t="str">
        <f>'Semana 3'!AR26</f>
        <v/>
      </c>
      <c r="H321" s="776"/>
      <c r="K321" s="776"/>
    </row>
    <row r="322">
      <c r="A322" s="774" t="str">
        <f>'Semana 3'!AU28</f>
        <v/>
      </c>
      <c r="B322" s="201">
        <f t="shared" si="1"/>
        <v>0</v>
      </c>
      <c r="D322" s="740" t="str">
        <f>'Semana 3'!AN28</f>
        <v/>
      </c>
      <c r="E322" s="775"/>
      <c r="F322" s="774" t="str">
        <f>'Semana 3'!AV28</f>
        <v/>
      </c>
      <c r="G322" s="774" t="str">
        <f>'Semana 3'!AR28</f>
        <v/>
      </c>
      <c r="H322" s="776"/>
      <c r="K322" s="776"/>
    </row>
    <row r="323">
      <c r="A323" s="774" t="str">
        <f>'Semana 3'!AU30</f>
        <v/>
      </c>
      <c r="B323" s="201">
        <f t="shared" si="1"/>
        <v>0</v>
      </c>
      <c r="D323" s="740" t="str">
        <f>'Semana 3'!AN30</f>
        <v/>
      </c>
      <c r="E323" s="775"/>
      <c r="F323" s="774" t="str">
        <f>'Semana 3'!AV30</f>
        <v/>
      </c>
      <c r="G323" s="774" t="str">
        <f>'Semana 3'!AR30</f>
        <v/>
      </c>
      <c r="H323" s="776"/>
      <c r="K323" s="776"/>
    </row>
    <row r="324">
      <c r="A324" s="774" t="str">
        <f>'Semana 3'!AU32</f>
        <v/>
      </c>
      <c r="B324" s="201">
        <f t="shared" si="1"/>
        <v>0</v>
      </c>
      <c r="D324" s="740" t="str">
        <f>'Semana 3'!AN32</f>
        <v/>
      </c>
      <c r="E324" s="775"/>
      <c r="F324" s="774" t="str">
        <f>'Semana 3'!AV32</f>
        <v/>
      </c>
      <c r="G324" s="774" t="str">
        <f>'Semana 3'!AR32</f>
        <v/>
      </c>
      <c r="H324" s="776"/>
      <c r="K324" s="776"/>
    </row>
    <row r="325">
      <c r="A325" s="774" t="str">
        <f>'Semana 3'!AU34</f>
        <v/>
      </c>
      <c r="B325" s="201">
        <f t="shared" si="1"/>
        <v>0</v>
      </c>
      <c r="D325" s="740" t="str">
        <f>'Semana 3'!AN34</f>
        <v/>
      </c>
      <c r="E325" s="775"/>
      <c r="F325" s="774" t="str">
        <f>'Semana 3'!AV34</f>
        <v/>
      </c>
      <c r="G325" s="774" t="str">
        <f>'Semana 3'!AR34</f>
        <v/>
      </c>
      <c r="H325" s="776"/>
      <c r="K325" s="776"/>
    </row>
    <row r="326">
      <c r="A326" s="774" t="str">
        <f>'Semana 3'!AU36</f>
        <v/>
      </c>
      <c r="B326" s="201">
        <f t="shared" si="1"/>
        <v>0</v>
      </c>
      <c r="D326" s="740" t="str">
        <f>'Semana 3'!AN36</f>
        <v/>
      </c>
      <c r="E326" s="775"/>
      <c r="F326" s="774" t="str">
        <f>'Semana 3'!AV36</f>
        <v/>
      </c>
      <c r="G326" s="774" t="str">
        <f>'Semana 3'!AR36</f>
        <v/>
      </c>
      <c r="H326" s="776"/>
      <c r="K326" s="776"/>
    </row>
    <row r="327">
      <c r="A327" s="774" t="str">
        <f>'Semana 3'!AU38</f>
        <v/>
      </c>
      <c r="B327" s="201">
        <f t="shared" si="1"/>
        <v>0</v>
      </c>
      <c r="D327" s="740" t="str">
        <f>'Semana 3'!AN38</f>
        <v/>
      </c>
      <c r="E327" s="775"/>
      <c r="F327" s="774" t="str">
        <f>'Semana 3'!AV38</f>
        <v/>
      </c>
      <c r="G327" s="774" t="str">
        <f>'Semana 3'!AR38</f>
        <v/>
      </c>
      <c r="H327" s="776"/>
      <c r="K327" s="776"/>
    </row>
    <row r="328">
      <c r="A328" s="774" t="str">
        <f>'Semana 3'!AU40</f>
        <v/>
      </c>
      <c r="B328" s="201">
        <f t="shared" si="1"/>
        <v>0</v>
      </c>
      <c r="D328" s="740" t="str">
        <f>'Semana 3'!AN40</f>
        <v/>
      </c>
      <c r="E328" s="775"/>
      <c r="F328" s="774" t="str">
        <f>'Semana 3'!AV40</f>
        <v/>
      </c>
      <c r="G328" s="774" t="str">
        <f>'Semana 3'!AR40</f>
        <v/>
      </c>
      <c r="H328" s="776"/>
      <c r="K328" s="776"/>
    </row>
    <row r="329">
      <c r="A329" s="774" t="str">
        <f>'Semana 3'!AU42</f>
        <v/>
      </c>
      <c r="B329" s="201">
        <f t="shared" si="1"/>
        <v>0</v>
      </c>
      <c r="D329" s="740" t="str">
        <f>'Semana 3'!AN42</f>
        <v/>
      </c>
      <c r="E329" s="775"/>
      <c r="F329" s="774" t="str">
        <f>'Semana 3'!AV42</f>
        <v/>
      </c>
      <c r="G329" s="774" t="str">
        <f>'Semana 3'!AR42</f>
        <v/>
      </c>
      <c r="H329" s="776"/>
      <c r="K329" s="776"/>
    </row>
    <row r="330">
      <c r="A330" s="774" t="str">
        <f>'Semana 3'!AU44</f>
        <v/>
      </c>
      <c r="B330" s="201">
        <f t="shared" si="1"/>
        <v>0</v>
      </c>
      <c r="D330" s="740" t="str">
        <f>'Semana 3'!AN44</f>
        <v/>
      </c>
      <c r="E330" s="775"/>
      <c r="F330" s="774" t="str">
        <f>'Semana 3'!AV44</f>
        <v/>
      </c>
      <c r="G330" s="774" t="str">
        <f>'Semana 3'!AR44</f>
        <v/>
      </c>
      <c r="H330" s="776"/>
      <c r="K330" s="776"/>
    </row>
    <row r="331">
      <c r="A331" s="774" t="str">
        <f>'Semana 3'!AU46</f>
        <v/>
      </c>
      <c r="B331" s="201">
        <f t="shared" si="1"/>
        <v>0</v>
      </c>
      <c r="D331" s="740" t="str">
        <f>'Semana 3'!AN46</f>
        <v/>
      </c>
      <c r="E331" s="775"/>
      <c r="F331" s="774" t="str">
        <f>'Semana 3'!AV46</f>
        <v/>
      </c>
      <c r="G331" s="774" t="str">
        <f>'Semana 3'!AR46</f>
        <v/>
      </c>
      <c r="H331" s="776"/>
      <c r="K331" s="776"/>
    </row>
    <row r="332">
      <c r="A332" s="774" t="str">
        <f>'Semana 3'!AU48</f>
        <v/>
      </c>
      <c r="B332" s="201">
        <f t="shared" si="1"/>
        <v>0</v>
      </c>
      <c r="D332" s="740" t="str">
        <f>'Semana 3'!AN48</f>
        <v/>
      </c>
      <c r="E332" s="775"/>
      <c r="F332" s="774" t="str">
        <f>'Semana 3'!AV48</f>
        <v/>
      </c>
      <c r="G332" s="774" t="str">
        <f>'Semana 3'!AR48</f>
        <v/>
      </c>
      <c r="H332" s="776"/>
      <c r="K332" s="776"/>
    </row>
    <row r="333">
      <c r="A333" s="774" t="str">
        <f>'Semana 3'!AU50</f>
        <v/>
      </c>
      <c r="B333" s="201">
        <f t="shared" si="1"/>
        <v>0</v>
      </c>
      <c r="D333" s="740" t="str">
        <f>'Semana 3'!AN50</f>
        <v/>
      </c>
      <c r="E333" s="775"/>
      <c r="F333" s="774" t="str">
        <f>'Semana 3'!AV50</f>
        <v/>
      </c>
      <c r="G333" s="774" t="str">
        <f>'Semana 3'!AR50</f>
        <v/>
      </c>
      <c r="H333" s="776"/>
      <c r="K333" s="776"/>
    </row>
    <row r="334">
      <c r="A334" s="774" t="str">
        <f>'Semana 3'!AU52</f>
        <v/>
      </c>
      <c r="B334" s="201">
        <f t="shared" si="1"/>
        <v>0</v>
      </c>
      <c r="D334" s="740" t="str">
        <f>'Semana 3'!AN52</f>
        <v/>
      </c>
      <c r="E334" s="775"/>
      <c r="F334" s="774" t="str">
        <f>'Semana 3'!AV52</f>
        <v/>
      </c>
      <c r="G334" s="774" t="str">
        <f>'Semana 3'!AR52</f>
        <v/>
      </c>
      <c r="H334" s="776"/>
      <c r="K334" s="776"/>
    </row>
    <row r="335">
      <c r="A335" s="774" t="str">
        <f>'Semana 3'!AU54</f>
        <v/>
      </c>
      <c r="B335" s="201">
        <f t="shared" si="1"/>
        <v>0</v>
      </c>
      <c r="D335" s="740" t="str">
        <f>'Semana 3'!AN54</f>
        <v/>
      </c>
      <c r="E335" s="775"/>
      <c r="F335" s="774" t="str">
        <f>'Semana 3'!AV54</f>
        <v/>
      </c>
      <c r="G335" s="774" t="str">
        <f>'Semana 3'!AR54</f>
        <v/>
      </c>
      <c r="H335" s="776"/>
      <c r="K335" s="776"/>
    </row>
    <row r="336">
      <c r="A336" s="774" t="str">
        <f>'Semana 3'!AU56</f>
        <v/>
      </c>
      <c r="B336" s="201">
        <f t="shared" si="1"/>
        <v>0</v>
      </c>
      <c r="D336" s="740" t="str">
        <f>'Semana 3'!AN56</f>
        <v/>
      </c>
      <c r="E336" s="775"/>
      <c r="F336" s="774" t="str">
        <f>'Semana 3'!AV56</f>
        <v/>
      </c>
      <c r="G336" s="774" t="str">
        <f>'Semana 3'!AR56</f>
        <v/>
      </c>
      <c r="H336" s="776"/>
      <c r="K336" s="776"/>
    </row>
    <row r="337">
      <c r="A337" s="774" t="str">
        <f>'Semana 3'!AU58</f>
        <v/>
      </c>
      <c r="B337" s="201">
        <f t="shared" si="1"/>
        <v>0</v>
      </c>
      <c r="D337" s="740" t="str">
        <f>'Semana 3'!AN58</f>
        <v/>
      </c>
      <c r="E337" s="775"/>
      <c r="F337" s="774" t="str">
        <f>'Semana 3'!AV58</f>
        <v/>
      </c>
      <c r="G337" s="774" t="str">
        <f>'Semana 3'!AR58</f>
        <v/>
      </c>
      <c r="H337" s="776"/>
      <c r="K337" s="776"/>
    </row>
    <row r="338">
      <c r="A338" s="774" t="str">
        <f>'Semana 3'!AU60</f>
        <v/>
      </c>
      <c r="B338" s="201">
        <f t="shared" si="1"/>
        <v>0</v>
      </c>
      <c r="D338" s="740" t="str">
        <f>'Semana 3'!AN60</f>
        <v/>
      </c>
      <c r="E338" s="775"/>
      <c r="F338" s="774" t="str">
        <f>'Semana 3'!AV60</f>
        <v/>
      </c>
      <c r="G338" s="774" t="str">
        <f>'Semana 3'!AR60</f>
        <v/>
      </c>
      <c r="H338" s="776"/>
      <c r="K338" s="776"/>
    </row>
    <row r="339">
      <c r="A339" s="774" t="str">
        <f>'Semana 3'!AU62</f>
        <v/>
      </c>
      <c r="B339" s="201">
        <f t="shared" si="1"/>
        <v>0</v>
      </c>
      <c r="D339" s="740" t="str">
        <f>'Semana 3'!AN62</f>
        <v/>
      </c>
      <c r="E339" s="775"/>
      <c r="F339" s="774" t="str">
        <f>'Semana 3'!AV62</f>
        <v/>
      </c>
      <c r="G339" s="774" t="str">
        <f>'Semana 3'!AR62</f>
        <v/>
      </c>
      <c r="H339" s="776"/>
      <c r="K339" s="776"/>
    </row>
    <row r="340">
      <c r="A340" s="774" t="str">
        <f>'Semana 3'!AU64</f>
        <v/>
      </c>
      <c r="B340" s="201">
        <f t="shared" si="1"/>
        <v>0</v>
      </c>
      <c r="D340" s="740" t="str">
        <f>'Semana 3'!AN64</f>
        <v/>
      </c>
      <c r="E340" s="775"/>
      <c r="F340" s="774" t="str">
        <f>'Semana 3'!AV64</f>
        <v/>
      </c>
      <c r="G340" s="774" t="str">
        <f>'Semana 3'!AR64</f>
        <v/>
      </c>
      <c r="H340" s="776"/>
      <c r="K340" s="776"/>
    </row>
    <row r="341">
      <c r="A341" s="774" t="str">
        <f>'Semana 3'!BL26</f>
        <v>Flexão com impulsão</v>
      </c>
      <c r="B341" s="201">
        <f t="shared" si="1"/>
        <v>10</v>
      </c>
      <c r="D341" s="740">
        <f>'Semana 3'!BE26</f>
        <v>10</v>
      </c>
      <c r="E341" s="775"/>
      <c r="F341" s="774" t="str">
        <f>'Semana 3'!BM26</f>
        <v/>
      </c>
      <c r="G341" s="774">
        <f>'Semana 3'!BI26</f>
        <v>10</v>
      </c>
      <c r="H341" s="776"/>
      <c r="K341" s="776"/>
    </row>
    <row r="342">
      <c r="A342" s="774" t="str">
        <f>'Semana 3'!BL28</f>
        <v>Remada Horizontal com Movimentação do Tronco</v>
      </c>
      <c r="B342" s="201">
        <f t="shared" si="1"/>
        <v>11</v>
      </c>
      <c r="D342" s="740">
        <f>'Semana 3'!BE28</f>
        <v>10</v>
      </c>
      <c r="E342" s="775"/>
      <c r="F342" s="774" t="str">
        <f>'Semana 3'!BM28</f>
        <v/>
      </c>
      <c r="G342" s="774">
        <f>'Semana 3'!BI28</f>
        <v>11</v>
      </c>
      <c r="H342" s="776"/>
      <c r="K342" s="776"/>
    </row>
    <row r="343">
      <c r="A343" s="774" t="str">
        <f>'Semana 3'!BL30</f>
        <v>Remada Alta na Polia</v>
      </c>
      <c r="B343" s="201">
        <f t="shared" si="1"/>
        <v>8</v>
      </c>
      <c r="D343" s="740">
        <f>'Semana 3'!BE30</f>
        <v>10</v>
      </c>
      <c r="E343" s="775"/>
      <c r="F343" s="774" t="str">
        <f>'Semana 3'!BM30</f>
        <v/>
      </c>
      <c r="G343" s="774">
        <f>'Semana 3'!BI30</f>
        <v>8</v>
      </c>
      <c r="H343" s="776"/>
      <c r="K343" s="776"/>
    </row>
    <row r="344">
      <c r="A344" s="774" t="str">
        <f>'Semana 3'!BL32</f>
        <v>Arremesso</v>
      </c>
      <c r="B344" s="201">
        <f t="shared" si="1"/>
        <v>7</v>
      </c>
      <c r="D344" s="740">
        <f>'Semana 3'!BE32</f>
        <v>10</v>
      </c>
      <c r="E344" s="775"/>
      <c r="F344" s="774" t="str">
        <f>'Semana 3'!BM32</f>
        <v/>
      </c>
      <c r="G344" s="774">
        <f>'Semana 3'!BI32</f>
        <v>7</v>
      </c>
      <c r="H344" s="776"/>
      <c r="K344" s="776"/>
    </row>
    <row r="345">
      <c r="A345" s="774" t="str">
        <f>'Semana 3'!BL34</f>
        <v>Lat PullDown</v>
      </c>
      <c r="B345" s="201">
        <f t="shared" si="1"/>
        <v>8</v>
      </c>
      <c r="D345" s="740">
        <f>'Semana 3'!BE34</f>
        <v>10</v>
      </c>
      <c r="E345" s="775"/>
      <c r="F345" s="774" t="str">
        <f>'Semana 3'!BM34</f>
        <v/>
      </c>
      <c r="G345" s="774">
        <f>'Semana 3'!BI34</f>
        <v>8</v>
      </c>
      <c r="H345" s="776"/>
      <c r="K345" s="776"/>
    </row>
    <row r="346">
      <c r="A346" s="774" t="str">
        <f>'Semana 3'!BL36</f>
        <v>Desenvolvimento Deltoide</v>
      </c>
      <c r="B346" s="201">
        <f t="shared" si="1"/>
        <v>20</v>
      </c>
      <c r="D346" s="740">
        <f>'Semana 3'!BE36</f>
        <v>10</v>
      </c>
      <c r="E346" s="775"/>
      <c r="F346" s="774" t="str">
        <f>'Semana 3'!BM36</f>
        <v/>
      </c>
      <c r="G346" s="774">
        <f>'Semana 3'!BI36</f>
        <v>20</v>
      </c>
      <c r="H346" s="776"/>
      <c r="K346" s="776"/>
    </row>
    <row r="347">
      <c r="A347" s="774" t="str">
        <f>'Semana 3'!BL38</f>
        <v>Triceps Coice na Polia</v>
      </c>
      <c r="B347" s="201">
        <f t="shared" si="1"/>
        <v>2</v>
      </c>
      <c r="D347" s="740">
        <f>'Semana 3'!BE38</f>
        <v>10</v>
      </c>
      <c r="E347" s="775"/>
      <c r="F347" s="774" t="str">
        <f>'Semana 3'!BM38</f>
        <v/>
      </c>
      <c r="G347" s="774">
        <f>'Semana 3'!BI38</f>
        <v>2</v>
      </c>
      <c r="H347" s="776"/>
      <c r="K347" s="776"/>
    </row>
    <row r="348">
      <c r="A348" s="774" t="str">
        <f>'Semana 3'!BL40</f>
        <v>Rosca Scott</v>
      </c>
      <c r="B348" s="201">
        <f t="shared" si="1"/>
        <v>10</v>
      </c>
      <c r="D348" s="740">
        <f>'Semana 3'!BE40</f>
        <v>10</v>
      </c>
      <c r="E348" s="775"/>
      <c r="F348" s="774" t="str">
        <f>'Semana 3'!BM40</f>
        <v/>
      </c>
      <c r="G348" s="774">
        <f>'Semana 3'!BI40</f>
        <v>10</v>
      </c>
      <c r="H348" s="776"/>
      <c r="K348" s="776"/>
    </row>
    <row r="349">
      <c r="A349" s="774" t="str">
        <f>'Semana 3'!BL42</f>
        <v>Abdominal Reto</v>
      </c>
      <c r="B349" s="201">
        <f t="shared" si="1"/>
        <v>16.28894627</v>
      </c>
      <c r="D349" s="740">
        <f>'Semana 3'!BE42</f>
        <v>20</v>
      </c>
      <c r="E349" s="775"/>
      <c r="F349" s="774" t="str">
        <f>'Semana 3'!BM42</f>
        <v/>
      </c>
      <c r="G349" s="774">
        <f>'Semana 3'!BI42</f>
        <v>10</v>
      </c>
      <c r="H349" s="776"/>
      <c r="K349" s="776"/>
    </row>
    <row r="350">
      <c r="A350" s="774" t="str">
        <f>'Semana 3'!BL44</f>
        <v>Abdominal canoa lateral</v>
      </c>
      <c r="B350" s="201">
        <f t="shared" si="1"/>
        <v>12.76281563</v>
      </c>
      <c r="D350" s="740">
        <f>'Semana 3'!BE44</f>
        <v>15</v>
      </c>
      <c r="E350" s="775"/>
      <c r="F350" s="774" t="str">
        <f>'Semana 3'!BM44</f>
        <v/>
      </c>
      <c r="G350" s="774">
        <f>'Semana 3'!BI44</f>
        <v>10</v>
      </c>
      <c r="H350" s="776"/>
      <c r="K350" s="776"/>
    </row>
    <row r="351">
      <c r="A351" s="774" t="str">
        <f>'Semana 3'!BL46</f>
        <v>Superman</v>
      </c>
      <c r="B351" s="201">
        <f t="shared" si="1"/>
        <v>12.76281563</v>
      </c>
      <c r="D351" s="740">
        <f>'Semana 3'!BE46</f>
        <v>15</v>
      </c>
      <c r="E351" s="775"/>
      <c r="F351" s="774" t="str">
        <f>'Semana 3'!BM46</f>
        <v/>
      </c>
      <c r="G351" s="774">
        <f>'Semana 3'!BI46</f>
        <v>10</v>
      </c>
      <c r="H351" s="776"/>
      <c r="K351" s="776"/>
    </row>
    <row r="352">
      <c r="A352" s="774" t="str">
        <f>'Semana 3'!BL48</f>
        <v>Esteira</v>
      </c>
      <c r="B352" s="201">
        <f t="shared" si="1"/>
        <v>6.139132535</v>
      </c>
      <c r="D352" s="740" t="str">
        <f>'Semana 3'!BE48</f>
        <v/>
      </c>
      <c r="E352" s="775"/>
      <c r="F352" s="774" t="str">
        <f>'Semana 3'!BM48</f>
        <v/>
      </c>
      <c r="G352" s="774">
        <f>'Semana 3'!BI48</f>
        <v>10</v>
      </c>
      <c r="H352" s="776"/>
      <c r="K352" s="776"/>
    </row>
    <row r="353">
      <c r="A353" s="774" t="str">
        <f>'Semana 3'!BL50</f>
        <v/>
      </c>
      <c r="B353" s="201">
        <f t="shared" si="1"/>
        <v>0</v>
      </c>
      <c r="D353" s="740" t="str">
        <f>'Semana 3'!BE50</f>
        <v/>
      </c>
      <c r="E353" s="775"/>
      <c r="F353" s="774" t="str">
        <f>'Semana 3'!BM50</f>
        <v/>
      </c>
      <c r="G353" s="774" t="str">
        <f>'Semana 3'!BI50</f>
        <v/>
      </c>
      <c r="H353" s="776"/>
      <c r="K353" s="776"/>
    </row>
    <row r="354">
      <c r="A354" s="774" t="str">
        <f>'Semana 3'!BL52</f>
        <v/>
      </c>
      <c r="B354" s="201">
        <f t="shared" si="1"/>
        <v>0</v>
      </c>
      <c r="D354" s="740" t="str">
        <f>'Semana 3'!BE52</f>
        <v/>
      </c>
      <c r="E354" s="775"/>
      <c r="F354" s="774" t="str">
        <f>'Semana 3'!BM52</f>
        <v/>
      </c>
      <c r="G354" s="774" t="str">
        <f>'Semana 3'!BI52</f>
        <v/>
      </c>
      <c r="H354" s="776"/>
      <c r="K354" s="776"/>
    </row>
    <row r="355">
      <c r="A355" s="774" t="str">
        <f>'Semana 3'!BL54</f>
        <v/>
      </c>
      <c r="B355" s="201">
        <f t="shared" si="1"/>
        <v>0</v>
      </c>
      <c r="D355" s="740" t="str">
        <f>'Semana 3'!BE54</f>
        <v/>
      </c>
      <c r="E355" s="775"/>
      <c r="F355" s="774" t="str">
        <f>'Semana 3'!BM54</f>
        <v/>
      </c>
      <c r="G355" s="774" t="str">
        <f>'Semana 3'!BI54</f>
        <v/>
      </c>
      <c r="H355" s="776"/>
      <c r="K355" s="776"/>
    </row>
    <row r="356">
      <c r="A356" s="774" t="str">
        <f>'Semana 3'!BL56</f>
        <v/>
      </c>
      <c r="B356" s="201">
        <f t="shared" si="1"/>
        <v>0</v>
      </c>
      <c r="D356" s="740" t="str">
        <f>'Semana 3'!BE56</f>
        <v/>
      </c>
      <c r="E356" s="775"/>
      <c r="F356" s="774" t="str">
        <f>'Semana 3'!BM56</f>
        <v/>
      </c>
      <c r="G356" s="774" t="str">
        <f>'Semana 3'!BI56</f>
        <v/>
      </c>
      <c r="H356" s="776"/>
      <c r="K356" s="776"/>
    </row>
    <row r="357">
      <c r="A357" s="774" t="str">
        <f>'Semana 3'!BL58</f>
        <v/>
      </c>
      <c r="B357" s="201">
        <f t="shared" si="1"/>
        <v>0</v>
      </c>
      <c r="D357" s="740" t="str">
        <f>'Semana 3'!BE58</f>
        <v/>
      </c>
      <c r="E357" s="775"/>
      <c r="F357" s="774" t="str">
        <f>'Semana 3'!BM58</f>
        <v/>
      </c>
      <c r="G357" s="774" t="str">
        <f>'Semana 3'!BI58</f>
        <v/>
      </c>
      <c r="H357" s="776"/>
      <c r="K357" s="776"/>
    </row>
    <row r="358">
      <c r="A358" s="774" t="str">
        <f>'Semana 3'!BL60</f>
        <v/>
      </c>
      <c r="B358" s="201">
        <f t="shared" si="1"/>
        <v>0</v>
      </c>
      <c r="D358" s="740" t="str">
        <f>'Semana 3'!BE60</f>
        <v/>
      </c>
      <c r="E358" s="775"/>
      <c r="F358" s="774" t="str">
        <f>'Semana 3'!BM60</f>
        <v/>
      </c>
      <c r="G358" s="774" t="str">
        <f>'Semana 3'!BI60</f>
        <v/>
      </c>
      <c r="H358" s="776"/>
      <c r="K358" s="776"/>
    </row>
    <row r="359">
      <c r="A359" s="774" t="str">
        <f>'Semana 3'!BL62</f>
        <v/>
      </c>
      <c r="B359" s="201">
        <f t="shared" si="1"/>
        <v>0</v>
      </c>
      <c r="D359" s="740" t="str">
        <f>'Semana 3'!BE62</f>
        <v/>
      </c>
      <c r="E359" s="775"/>
      <c r="F359" s="774" t="str">
        <f>'Semana 3'!BM62</f>
        <v/>
      </c>
      <c r="G359" s="774" t="str">
        <f>'Semana 3'!BI62</f>
        <v/>
      </c>
      <c r="H359" s="776"/>
      <c r="K359" s="776"/>
    </row>
    <row r="360">
      <c r="A360" s="774" t="str">
        <f>'Semana 3'!BL64</f>
        <v/>
      </c>
      <c r="B360" s="201">
        <f t="shared" si="1"/>
        <v>0</v>
      </c>
      <c r="D360" s="740" t="str">
        <f>'Semana 3'!BE64</f>
        <v/>
      </c>
      <c r="E360" s="775"/>
      <c r="F360" s="774" t="str">
        <f>'Semana 3'!BM64</f>
        <v/>
      </c>
      <c r="G360" s="774" t="str">
        <f>'Semana 3'!BI64</f>
        <v/>
      </c>
      <c r="H360" s="776"/>
      <c r="K360" s="776"/>
    </row>
    <row r="361">
      <c r="A361" s="774" t="str">
        <f>'Semana 3'!CC26</f>
        <v>Corda</v>
      </c>
      <c r="B361" s="201">
        <f t="shared" si="1"/>
        <v>6.139132535</v>
      </c>
      <c r="D361" s="740" t="str">
        <f>'Semana 3'!BV26</f>
        <v/>
      </c>
      <c r="E361" s="775"/>
      <c r="F361" s="774" t="str">
        <f>'Semana 3'!CD26</f>
        <v/>
      </c>
      <c r="G361" s="774">
        <f>'Semana 3'!BZ26</f>
        <v>10</v>
      </c>
      <c r="H361" s="776"/>
      <c r="K361" s="776"/>
    </row>
    <row r="362">
      <c r="A362" s="774" t="str">
        <f>'Semana 3'!CC28</f>
        <v>Levantamento Terra</v>
      </c>
      <c r="B362" s="201">
        <f t="shared" si="1"/>
        <v>78</v>
      </c>
      <c r="D362" s="740">
        <f>'Semana 3'!BV28</f>
        <v>10</v>
      </c>
      <c r="E362" s="775"/>
      <c r="F362" s="774" t="str">
        <f>'Semana 3'!CD28</f>
        <v/>
      </c>
      <c r="G362" s="774">
        <f>'Semana 3'!BZ28</f>
        <v>78</v>
      </c>
      <c r="H362" s="776"/>
      <c r="K362" s="776"/>
    </row>
    <row r="363">
      <c r="A363" s="774" t="str">
        <f>'Semana 3'!CC30</f>
        <v>Banco Sóleo</v>
      </c>
      <c r="B363" s="201">
        <f t="shared" si="1"/>
        <v>78</v>
      </c>
      <c r="D363" s="740">
        <f>'Semana 3'!BV30</f>
        <v>10</v>
      </c>
      <c r="E363" s="775"/>
      <c r="F363" s="774" t="str">
        <f>'Semana 3'!CD30</f>
        <v/>
      </c>
      <c r="G363" s="774">
        <f>'Semana 3'!BZ30</f>
        <v>78</v>
      </c>
      <c r="H363" s="776"/>
      <c r="K363" s="776"/>
    </row>
    <row r="364">
      <c r="A364" s="774" t="str">
        <f>'Semana 3'!CC32</f>
        <v>Flexão Nórdica</v>
      </c>
      <c r="B364" s="201">
        <f t="shared" si="1"/>
        <v>9.070294785</v>
      </c>
      <c r="D364" s="740">
        <f>'Semana 3'!BV32</f>
        <v>8</v>
      </c>
      <c r="E364" s="775"/>
      <c r="F364" s="774" t="str">
        <f>'Semana 3'!CD32</f>
        <v/>
      </c>
      <c r="G364" s="774">
        <f>'Semana 3'!BZ32</f>
        <v>10</v>
      </c>
      <c r="H364" s="776"/>
      <c r="K364" s="776"/>
    </row>
    <row r="365">
      <c r="A365" s="774" t="str">
        <f>'Semana 3'!CC34</f>
        <v>Cadeira Extensora</v>
      </c>
      <c r="B365" s="201">
        <f t="shared" si="1"/>
        <v>15</v>
      </c>
      <c r="D365" s="740">
        <f>'Semana 3'!BV34</f>
        <v>10</v>
      </c>
      <c r="E365" s="775"/>
      <c r="F365" s="774" t="str">
        <f>'Semana 3'!CD34</f>
        <v/>
      </c>
      <c r="G365" s="774">
        <f>'Semana 3'!BZ34</f>
        <v>15</v>
      </c>
      <c r="H365" s="776"/>
      <c r="K365" s="776"/>
    </row>
    <row r="366">
      <c r="A366" s="774" t="str">
        <f>'Semana 3'!CC36</f>
        <v>Flexão Nórdica Reversa</v>
      </c>
      <c r="B366" s="201">
        <f t="shared" si="1"/>
        <v>9.070294785</v>
      </c>
      <c r="D366" s="740">
        <f>'Semana 3'!BV36</f>
        <v>8</v>
      </c>
      <c r="E366" s="775"/>
      <c r="F366" s="774" t="str">
        <f>'Semana 3'!CD36</f>
        <v/>
      </c>
      <c r="G366" s="774">
        <f>'Semana 3'!BZ36</f>
        <v>10</v>
      </c>
      <c r="H366" s="776"/>
      <c r="K366" s="776"/>
    </row>
    <row r="367">
      <c r="A367" s="774" t="str">
        <f>'Semana 3'!CC38</f>
        <v>Cadeira Flexora</v>
      </c>
      <c r="B367" s="201">
        <f t="shared" si="1"/>
        <v>15</v>
      </c>
      <c r="D367" s="740">
        <f>'Semana 3'!BV38</f>
        <v>10</v>
      </c>
      <c r="E367" s="775"/>
      <c r="F367" s="774" t="str">
        <f>'Semana 3'!CD38</f>
        <v/>
      </c>
      <c r="G367" s="774">
        <f>'Semana 3'!BZ38</f>
        <v>15</v>
      </c>
      <c r="H367" s="776"/>
      <c r="K367" s="776"/>
    </row>
    <row r="368">
      <c r="A368" s="774" t="str">
        <f>'Semana 3'!CC40</f>
        <v>Deslocamento Lateral com Miniband</v>
      </c>
      <c r="B368" s="201">
        <f t="shared" si="1"/>
        <v>10</v>
      </c>
      <c r="D368" s="740">
        <f>'Semana 3'!BV40</f>
        <v>10</v>
      </c>
      <c r="E368" s="775"/>
      <c r="F368" s="774" t="str">
        <f>'Semana 3'!CD40</f>
        <v/>
      </c>
      <c r="G368" s="774">
        <f>'Semana 3'!BZ40</f>
        <v>10</v>
      </c>
      <c r="H368" s="776"/>
      <c r="K368" s="776"/>
    </row>
    <row r="369">
      <c r="A369" s="774" t="str">
        <f>'Semana 3'!CC42</f>
        <v>Extensão de Quadril com elástico</v>
      </c>
      <c r="B369" s="201">
        <f t="shared" si="1"/>
        <v>10</v>
      </c>
      <c r="D369" s="740">
        <f>'Semana 3'!BV42</f>
        <v>10</v>
      </c>
      <c r="E369" s="775"/>
      <c r="F369" s="774" t="str">
        <f>'Semana 3'!CD42</f>
        <v/>
      </c>
      <c r="G369" s="774">
        <f>'Semana 3'!BZ42</f>
        <v>10</v>
      </c>
      <c r="H369" s="776"/>
      <c r="K369" s="776"/>
    </row>
    <row r="370">
      <c r="A370" s="774" t="str">
        <f>'Semana 3'!CC44</f>
        <v>Abdominal infra no solo</v>
      </c>
      <c r="B370" s="201">
        <f t="shared" si="1"/>
        <v>12.76281563</v>
      </c>
      <c r="D370" s="740">
        <f>'Semana 3'!BV44</f>
        <v>15</v>
      </c>
      <c r="E370" s="775"/>
      <c r="F370" s="774" t="str">
        <f>'Semana 3'!CD44</f>
        <v/>
      </c>
      <c r="G370" s="774">
        <f>'Semana 3'!BZ44</f>
        <v>10</v>
      </c>
      <c r="H370" s="776"/>
      <c r="K370" s="776"/>
    </row>
    <row r="371">
      <c r="A371" s="774" t="str">
        <f>'Semana 3'!CC46</f>
        <v>Abdominal Bicicleta</v>
      </c>
      <c r="B371" s="201">
        <f t="shared" si="1"/>
        <v>12.76281563</v>
      </c>
      <c r="D371" s="740">
        <f>'Semana 3'!BV46</f>
        <v>15</v>
      </c>
      <c r="E371" s="775"/>
      <c r="F371" s="774" t="str">
        <f>'Semana 3'!CD46</f>
        <v/>
      </c>
      <c r="G371" s="774">
        <f>'Semana 3'!BZ46</f>
        <v>10</v>
      </c>
      <c r="H371" s="776"/>
      <c r="K371" s="776"/>
    </row>
    <row r="372">
      <c r="A372" s="774" t="str">
        <f>'Semana 3'!CC48</f>
        <v>Corda</v>
      </c>
      <c r="B372" s="201">
        <f t="shared" si="1"/>
        <v>6.139132535</v>
      </c>
      <c r="D372" s="740" t="str">
        <f>'Semana 3'!BV48</f>
        <v/>
      </c>
      <c r="E372" s="775"/>
      <c r="F372" s="774" t="str">
        <f>'Semana 3'!CD48</f>
        <v/>
      </c>
      <c r="G372" s="774">
        <f>'Semana 3'!BZ48</f>
        <v>10</v>
      </c>
      <c r="H372" s="776"/>
      <c r="K372" s="776"/>
    </row>
    <row r="373">
      <c r="A373" s="774" t="str">
        <f>'Semana 3'!CC50</f>
        <v/>
      </c>
      <c r="B373" s="201">
        <f t="shared" si="1"/>
        <v>0</v>
      </c>
      <c r="D373" s="740" t="str">
        <f>'Semana 3'!BV50</f>
        <v/>
      </c>
      <c r="E373" s="775"/>
      <c r="F373" s="774" t="str">
        <f>'Semana 3'!CD50</f>
        <v/>
      </c>
      <c r="G373" s="774" t="str">
        <f>'Semana 3'!BZ50</f>
        <v/>
      </c>
      <c r="H373" s="776"/>
      <c r="K373" s="776"/>
    </row>
    <row r="374">
      <c r="A374" s="774" t="str">
        <f>'Semana 3'!CC52</f>
        <v/>
      </c>
      <c r="B374" s="201">
        <f t="shared" si="1"/>
        <v>0</v>
      </c>
      <c r="D374" s="740" t="str">
        <f>'Semana 3'!BV52</f>
        <v/>
      </c>
      <c r="E374" s="775"/>
      <c r="F374" s="774" t="str">
        <f>'Semana 3'!CD52</f>
        <v/>
      </c>
      <c r="G374" s="774" t="str">
        <f>'Semana 3'!BZ52</f>
        <v/>
      </c>
      <c r="H374" s="776"/>
      <c r="K374" s="776"/>
    </row>
    <row r="375">
      <c r="A375" s="774" t="str">
        <f>'Semana 3'!CC54</f>
        <v/>
      </c>
      <c r="B375" s="201">
        <f t="shared" si="1"/>
        <v>0</v>
      </c>
      <c r="D375" s="740" t="str">
        <f>'Semana 3'!BV54</f>
        <v/>
      </c>
      <c r="E375" s="775"/>
      <c r="F375" s="774" t="str">
        <f>'Semana 3'!CD54</f>
        <v/>
      </c>
      <c r="G375" s="774" t="str">
        <f>'Semana 3'!BZ54</f>
        <v/>
      </c>
      <c r="H375" s="776"/>
      <c r="K375" s="776"/>
    </row>
    <row r="376">
      <c r="A376" s="774" t="str">
        <f>'Semana 3'!CC56</f>
        <v/>
      </c>
      <c r="B376" s="201">
        <f t="shared" si="1"/>
        <v>0</v>
      </c>
      <c r="D376" s="740" t="str">
        <f>'Semana 3'!BV56</f>
        <v/>
      </c>
      <c r="E376" s="775"/>
      <c r="F376" s="774" t="str">
        <f>'Semana 3'!CD56</f>
        <v/>
      </c>
      <c r="G376" s="774" t="str">
        <f>'Semana 3'!BZ56</f>
        <v/>
      </c>
      <c r="H376" s="776"/>
      <c r="K376" s="776"/>
    </row>
    <row r="377">
      <c r="A377" s="774" t="str">
        <f>'Semana 3'!CC58</f>
        <v/>
      </c>
      <c r="B377" s="201">
        <f t="shared" si="1"/>
        <v>0</v>
      </c>
      <c r="D377" s="740" t="str">
        <f>'Semana 3'!BV58</f>
        <v/>
      </c>
      <c r="E377" s="775"/>
      <c r="F377" s="774" t="str">
        <f>'Semana 3'!CD58</f>
        <v/>
      </c>
      <c r="G377" s="774" t="str">
        <f>'Semana 3'!BZ58</f>
        <v/>
      </c>
      <c r="H377" s="776"/>
      <c r="K377" s="776"/>
    </row>
    <row r="378">
      <c r="A378" s="774" t="str">
        <f>'Semana 3'!CC60</f>
        <v/>
      </c>
      <c r="B378" s="201">
        <f t="shared" si="1"/>
        <v>0</v>
      </c>
      <c r="D378" s="740" t="str">
        <f>'Semana 3'!BV60</f>
        <v/>
      </c>
      <c r="E378" s="775"/>
      <c r="F378" s="774" t="str">
        <f>'Semana 3'!CD60</f>
        <v/>
      </c>
      <c r="G378" s="774" t="str">
        <f>'Semana 3'!BZ60</f>
        <v/>
      </c>
      <c r="H378" s="776"/>
      <c r="K378" s="776"/>
    </row>
    <row r="379">
      <c r="A379" s="774" t="str">
        <f>'Semana 3'!CC62</f>
        <v/>
      </c>
      <c r="B379" s="201">
        <f t="shared" si="1"/>
        <v>0</v>
      </c>
      <c r="D379" s="740" t="str">
        <f>'Semana 3'!BV62</f>
        <v/>
      </c>
      <c r="E379" s="775"/>
      <c r="F379" s="774" t="str">
        <f>'Semana 3'!CD62</f>
        <v/>
      </c>
      <c r="G379" s="774" t="str">
        <f>'Semana 3'!BZ62</f>
        <v/>
      </c>
      <c r="H379" s="776"/>
      <c r="K379" s="776"/>
    </row>
    <row r="380">
      <c r="A380" s="774" t="str">
        <f>'Semana 3'!CC64</f>
        <v/>
      </c>
      <c r="B380" s="201">
        <f t="shared" si="1"/>
        <v>0</v>
      </c>
      <c r="D380" s="740" t="str">
        <f>'Semana 3'!BV64</f>
        <v/>
      </c>
      <c r="E380" s="775"/>
      <c r="F380" s="774" t="str">
        <f>'Semana 3'!CD64</f>
        <v/>
      </c>
      <c r="G380" s="774" t="str">
        <f>'Semana 3'!BZ64</f>
        <v/>
      </c>
      <c r="H380" s="776"/>
      <c r="K380" s="776"/>
    </row>
    <row r="381">
      <c r="A381" s="774" t="str">
        <f>'Semana 3'!CT26</f>
        <v>Pista</v>
      </c>
      <c r="B381" s="201">
        <f t="shared" si="1"/>
        <v>0</v>
      </c>
      <c r="D381" s="740" t="str">
        <f>'Semana 3'!CM26</f>
        <v/>
      </c>
      <c r="E381" s="775"/>
      <c r="F381" s="774" t="str">
        <f>'Semana 3'!CU26</f>
        <v/>
      </c>
      <c r="G381" s="774" t="str">
        <f>'Semana 3'!CQ26</f>
        <v/>
      </c>
      <c r="H381" s="776"/>
      <c r="K381" s="776"/>
    </row>
    <row r="382">
      <c r="A382" s="774" t="str">
        <f>'Semana 3'!CT28</f>
        <v/>
      </c>
      <c r="B382" s="201">
        <f t="shared" si="1"/>
        <v>0</v>
      </c>
      <c r="D382" s="740" t="str">
        <f>'Semana 3'!CM28</f>
        <v/>
      </c>
      <c r="E382" s="775"/>
      <c r="F382" s="774" t="str">
        <f>'Semana 3'!CU28</f>
        <v/>
      </c>
      <c r="G382" s="774" t="str">
        <f>'Semana 3'!CQ28</f>
        <v/>
      </c>
      <c r="H382" s="776"/>
      <c r="K382" s="776"/>
    </row>
    <row r="383">
      <c r="A383" s="774" t="str">
        <f>'Semana 3'!CT30</f>
        <v/>
      </c>
      <c r="B383" s="201">
        <f t="shared" si="1"/>
        <v>0</v>
      </c>
      <c r="D383" s="740" t="str">
        <f>'Semana 3'!CM30</f>
        <v/>
      </c>
      <c r="E383" s="775"/>
      <c r="F383" s="774" t="str">
        <f>'Semana 3'!CU30</f>
        <v/>
      </c>
      <c r="G383" s="774" t="str">
        <f>'Semana 3'!CQ30</f>
        <v/>
      </c>
      <c r="H383" s="776"/>
      <c r="K383" s="776"/>
    </row>
    <row r="384">
      <c r="A384" s="774" t="str">
        <f>'Semana 3'!CT32</f>
        <v/>
      </c>
      <c r="B384" s="201">
        <f t="shared" si="1"/>
        <v>0</v>
      </c>
      <c r="D384" s="740" t="str">
        <f>'Semana 3'!CM32</f>
        <v/>
      </c>
      <c r="E384" s="775"/>
      <c r="F384" s="774" t="str">
        <f>'Semana 3'!CU32</f>
        <v/>
      </c>
      <c r="G384" s="774" t="str">
        <f>'Semana 3'!CQ32</f>
        <v/>
      </c>
      <c r="H384" s="776"/>
      <c r="K384" s="776"/>
    </row>
    <row r="385">
      <c r="A385" s="774" t="str">
        <f>'Semana 3'!CT34</f>
        <v/>
      </c>
      <c r="B385" s="201">
        <f t="shared" si="1"/>
        <v>0</v>
      </c>
      <c r="D385" s="740" t="str">
        <f>'Semana 3'!CM34</f>
        <v/>
      </c>
      <c r="E385" s="775"/>
      <c r="F385" s="774" t="str">
        <f>'Semana 3'!CU34</f>
        <v/>
      </c>
      <c r="G385" s="774" t="str">
        <f>'Semana 3'!CQ34</f>
        <v/>
      </c>
      <c r="H385" s="776"/>
      <c r="K385" s="776"/>
    </row>
    <row r="386">
      <c r="A386" s="774" t="str">
        <f>'Semana 3'!CT36</f>
        <v/>
      </c>
      <c r="B386" s="201">
        <f t="shared" si="1"/>
        <v>0</v>
      </c>
      <c r="D386" s="740" t="str">
        <f>'Semana 3'!CM36</f>
        <v/>
      </c>
      <c r="E386" s="775"/>
      <c r="F386" s="774" t="str">
        <f>'Semana 3'!CU36</f>
        <v/>
      </c>
      <c r="G386" s="774" t="str">
        <f>'Semana 3'!CQ36</f>
        <v/>
      </c>
      <c r="H386" s="776"/>
      <c r="K386" s="776"/>
    </row>
    <row r="387">
      <c r="A387" s="774" t="str">
        <f>'Semana 3'!CT38</f>
        <v/>
      </c>
      <c r="B387" s="201">
        <f t="shared" si="1"/>
        <v>0</v>
      </c>
      <c r="D387" s="740" t="str">
        <f>'Semana 3'!CM38</f>
        <v/>
      </c>
      <c r="E387" s="775"/>
      <c r="F387" s="774" t="str">
        <f>'Semana 3'!CU38</f>
        <v/>
      </c>
      <c r="G387" s="774" t="str">
        <f>'Semana 3'!CQ38</f>
        <v/>
      </c>
      <c r="H387" s="776"/>
      <c r="K387" s="776"/>
    </row>
    <row r="388">
      <c r="A388" s="774" t="str">
        <f>'Semana 3'!CT40</f>
        <v/>
      </c>
      <c r="B388" s="201">
        <f t="shared" si="1"/>
        <v>0</v>
      </c>
      <c r="D388" s="740" t="str">
        <f>'Semana 3'!CM40</f>
        <v/>
      </c>
      <c r="E388" s="775"/>
      <c r="F388" s="774" t="str">
        <f>'Semana 3'!CU40</f>
        <v/>
      </c>
      <c r="G388" s="774" t="str">
        <f>'Semana 3'!CQ40</f>
        <v/>
      </c>
      <c r="H388" s="776"/>
      <c r="K388" s="776"/>
    </row>
    <row r="389">
      <c r="A389" s="774" t="str">
        <f>'Semana 3'!CT42</f>
        <v/>
      </c>
      <c r="B389" s="201">
        <f t="shared" si="1"/>
        <v>0</v>
      </c>
      <c r="D389" s="740" t="str">
        <f>'Semana 3'!CM42</f>
        <v/>
      </c>
      <c r="E389" s="775"/>
      <c r="F389" s="774" t="str">
        <f>'Semana 3'!CU42</f>
        <v/>
      </c>
      <c r="G389" s="774" t="str">
        <f>'Semana 3'!CQ42</f>
        <v/>
      </c>
      <c r="H389" s="776"/>
      <c r="K389" s="776"/>
    </row>
    <row r="390">
      <c r="A390" s="774" t="str">
        <f>'Semana 3'!CT44</f>
        <v/>
      </c>
      <c r="B390" s="201">
        <f t="shared" si="1"/>
        <v>0</v>
      </c>
      <c r="D390" s="740" t="str">
        <f>'Semana 3'!CM44</f>
        <v/>
      </c>
      <c r="E390" s="775"/>
      <c r="F390" s="774" t="str">
        <f>'Semana 3'!CU44</f>
        <v/>
      </c>
      <c r="G390" s="774" t="str">
        <f>'Semana 3'!CQ44</f>
        <v/>
      </c>
      <c r="H390" s="776"/>
      <c r="K390" s="776"/>
    </row>
    <row r="391">
      <c r="A391" s="774" t="str">
        <f>'Semana 3'!CT46</f>
        <v/>
      </c>
      <c r="B391" s="201">
        <f t="shared" si="1"/>
        <v>0</v>
      </c>
      <c r="D391" s="740" t="str">
        <f>'Semana 3'!CM46</f>
        <v/>
      </c>
      <c r="E391" s="775"/>
      <c r="F391" s="774" t="str">
        <f>'Semana 3'!CU46</f>
        <v/>
      </c>
      <c r="G391" s="774" t="str">
        <f>'Semana 3'!CQ46</f>
        <v/>
      </c>
      <c r="H391" s="776"/>
      <c r="K391" s="776"/>
    </row>
    <row r="392">
      <c r="A392" s="774" t="str">
        <f>'Semana 3'!CT48</f>
        <v/>
      </c>
      <c r="B392" s="201">
        <f t="shared" si="1"/>
        <v>0</v>
      </c>
      <c r="D392" s="740" t="str">
        <f>'Semana 3'!CM48</f>
        <v/>
      </c>
      <c r="E392" s="775"/>
      <c r="F392" s="774" t="str">
        <f>'Semana 3'!CU48</f>
        <v/>
      </c>
      <c r="G392" s="774" t="str">
        <f>'Semana 3'!CQ48</f>
        <v/>
      </c>
      <c r="H392" s="776"/>
      <c r="K392" s="776"/>
    </row>
    <row r="393">
      <c r="A393" s="774" t="str">
        <f>'Semana 3'!CT50</f>
        <v/>
      </c>
      <c r="B393" s="201">
        <f t="shared" si="1"/>
        <v>0</v>
      </c>
      <c r="D393" s="740" t="str">
        <f>'Semana 3'!CM50</f>
        <v/>
      </c>
      <c r="E393" s="775"/>
      <c r="F393" s="774" t="str">
        <f>'Semana 3'!CU50</f>
        <v/>
      </c>
      <c r="G393" s="774" t="str">
        <f>'Semana 3'!CQ50</f>
        <v/>
      </c>
      <c r="H393" s="776"/>
      <c r="K393" s="776"/>
    </row>
    <row r="394">
      <c r="A394" s="774" t="str">
        <f>'Semana 3'!CT52</f>
        <v/>
      </c>
      <c r="B394" s="201">
        <f t="shared" si="1"/>
        <v>0</v>
      </c>
      <c r="D394" s="740" t="str">
        <f>'Semana 3'!CM52</f>
        <v/>
      </c>
      <c r="E394" s="775"/>
      <c r="F394" s="774" t="str">
        <f>'Semana 3'!CU52</f>
        <v/>
      </c>
      <c r="G394" s="774" t="str">
        <f>'Semana 3'!CQ52</f>
        <v/>
      </c>
      <c r="H394" s="776"/>
      <c r="K394" s="776"/>
    </row>
    <row r="395">
      <c r="A395" s="774" t="str">
        <f>'Semana 3'!CT54</f>
        <v/>
      </c>
      <c r="B395" s="201">
        <f t="shared" si="1"/>
        <v>0</v>
      </c>
      <c r="D395" s="740" t="str">
        <f>'Semana 3'!CM54</f>
        <v/>
      </c>
      <c r="E395" s="775"/>
      <c r="F395" s="774" t="str">
        <f>'Semana 3'!CU54</f>
        <v/>
      </c>
      <c r="G395" s="774" t="str">
        <f>'Semana 3'!CQ54</f>
        <v/>
      </c>
      <c r="H395" s="776"/>
      <c r="K395" s="776"/>
    </row>
    <row r="396">
      <c r="A396" s="774" t="str">
        <f>'Semana 3'!CT56</f>
        <v/>
      </c>
      <c r="B396" s="201">
        <f t="shared" si="1"/>
        <v>0</v>
      </c>
      <c r="D396" s="740" t="str">
        <f>'Semana 3'!CM56</f>
        <v/>
      </c>
      <c r="E396" s="775"/>
      <c r="F396" s="774" t="str">
        <f>'Semana 3'!CU56</f>
        <v/>
      </c>
      <c r="G396" s="774" t="str">
        <f>'Semana 3'!CQ56</f>
        <v/>
      </c>
      <c r="H396" s="776"/>
      <c r="K396" s="776"/>
    </row>
    <row r="397">
      <c r="A397" s="774" t="str">
        <f>'Semana 3'!CT58</f>
        <v/>
      </c>
      <c r="B397" s="201">
        <f t="shared" si="1"/>
        <v>0</v>
      </c>
      <c r="D397" s="740" t="str">
        <f>'Semana 3'!CM58</f>
        <v/>
      </c>
      <c r="E397" s="775"/>
      <c r="F397" s="774" t="str">
        <f>'Semana 3'!CU58</f>
        <v/>
      </c>
      <c r="G397" s="774" t="str">
        <f>'Semana 3'!CQ58</f>
        <v/>
      </c>
      <c r="H397" s="776"/>
      <c r="K397" s="776"/>
    </row>
    <row r="398">
      <c r="A398" s="774" t="str">
        <f>'Semana 3'!CT60</f>
        <v/>
      </c>
      <c r="B398" s="201">
        <f t="shared" si="1"/>
        <v>0</v>
      </c>
      <c r="D398" s="740" t="str">
        <f>'Semana 3'!CM60</f>
        <v/>
      </c>
      <c r="E398" s="775"/>
      <c r="F398" s="774" t="str">
        <f>'Semana 3'!CU60</f>
        <v/>
      </c>
      <c r="G398" s="774" t="str">
        <f>'Semana 3'!CQ60</f>
        <v/>
      </c>
      <c r="H398" s="776"/>
      <c r="K398" s="776"/>
    </row>
    <row r="399">
      <c r="A399" s="774" t="str">
        <f>'Semana 3'!CT62</f>
        <v/>
      </c>
      <c r="B399" s="201">
        <f t="shared" si="1"/>
        <v>0</v>
      </c>
      <c r="D399" s="740" t="str">
        <f>'Semana 3'!CM62</f>
        <v/>
      </c>
      <c r="E399" s="775"/>
      <c r="F399" s="774" t="str">
        <f>'Semana 3'!CU62</f>
        <v/>
      </c>
      <c r="G399" s="774" t="str">
        <f>'Semana 3'!CQ62</f>
        <v/>
      </c>
      <c r="H399" s="776"/>
      <c r="K399" s="776"/>
    </row>
    <row r="400">
      <c r="A400" s="774" t="str">
        <f>'Semana 3'!CT64</f>
        <v/>
      </c>
      <c r="B400" s="201">
        <f t="shared" si="1"/>
        <v>0</v>
      </c>
      <c r="D400" s="740" t="str">
        <f>'Semana 3'!CM64</f>
        <v/>
      </c>
      <c r="E400" s="775"/>
      <c r="F400" s="774" t="str">
        <f>'Semana 3'!CU64</f>
        <v/>
      </c>
      <c r="G400" s="774" t="str">
        <f>'Semana 3'!CQ64</f>
        <v/>
      </c>
      <c r="H400" s="776"/>
      <c r="K400" s="776"/>
    </row>
    <row r="401">
      <c r="A401" s="774" t="str">
        <f>'Semana 3'!DK26</f>
        <v/>
      </c>
      <c r="B401" s="201">
        <f t="shared" si="1"/>
        <v>0</v>
      </c>
      <c r="D401" s="740" t="str">
        <f>'Semana 3'!DD26</f>
        <v/>
      </c>
      <c r="E401" s="775"/>
      <c r="F401" s="774" t="str">
        <f>'Semana 3'!DL26</f>
        <v/>
      </c>
      <c r="G401" s="774" t="str">
        <f>'Semana 3'!DH26</f>
        <v/>
      </c>
      <c r="H401" s="776"/>
      <c r="K401" s="776"/>
    </row>
    <row r="402">
      <c r="A402" s="774" t="str">
        <f>'Semana 3'!DK28</f>
        <v/>
      </c>
      <c r="B402" s="201">
        <f t="shared" si="1"/>
        <v>0</v>
      </c>
      <c r="D402" s="740" t="str">
        <f>'Semana 3'!DD28</f>
        <v/>
      </c>
      <c r="E402" s="775"/>
      <c r="F402" s="774" t="str">
        <f>'Semana 3'!DL28</f>
        <v/>
      </c>
      <c r="G402" s="774" t="str">
        <f>'Semana 3'!DH28</f>
        <v/>
      </c>
      <c r="H402" s="776"/>
      <c r="K402" s="776"/>
    </row>
    <row r="403">
      <c r="A403" s="774" t="str">
        <f>'Semana 3'!DK30</f>
        <v/>
      </c>
      <c r="B403" s="201">
        <f t="shared" si="1"/>
        <v>0</v>
      </c>
      <c r="D403" s="740" t="str">
        <f>'Semana 3'!DD30</f>
        <v/>
      </c>
      <c r="E403" s="775"/>
      <c r="F403" s="774" t="str">
        <f>'Semana 3'!DL30</f>
        <v/>
      </c>
      <c r="G403" s="774" t="str">
        <f>'Semana 3'!DH30</f>
        <v/>
      </c>
      <c r="H403" s="776"/>
      <c r="K403" s="776"/>
    </row>
    <row r="404">
      <c r="A404" s="774" t="str">
        <f>'Semana 3'!DK32</f>
        <v/>
      </c>
      <c r="B404" s="201">
        <f t="shared" si="1"/>
        <v>0</v>
      </c>
      <c r="D404" s="740" t="str">
        <f>'Semana 3'!DD32</f>
        <v/>
      </c>
      <c r="E404" s="775"/>
      <c r="F404" s="774" t="str">
        <f>'Semana 3'!DL32</f>
        <v/>
      </c>
      <c r="G404" s="774" t="str">
        <f>'Semana 3'!DH32</f>
        <v/>
      </c>
      <c r="H404" s="776"/>
      <c r="K404" s="776"/>
    </row>
    <row r="405">
      <c r="A405" s="774" t="str">
        <f>'Semana 3'!DK34</f>
        <v/>
      </c>
      <c r="B405" s="201">
        <f t="shared" si="1"/>
        <v>0</v>
      </c>
      <c r="D405" s="740" t="str">
        <f>'Semana 3'!DD34</f>
        <v/>
      </c>
      <c r="E405" s="775"/>
      <c r="F405" s="774" t="str">
        <f>'Semana 3'!DL34</f>
        <v/>
      </c>
      <c r="G405" s="774" t="str">
        <f>'Semana 3'!DH34</f>
        <v/>
      </c>
      <c r="H405" s="776"/>
      <c r="K405" s="776"/>
    </row>
    <row r="406">
      <c r="A406" s="774" t="str">
        <f>'Semana 3'!DK36</f>
        <v/>
      </c>
      <c r="B406" s="201">
        <f t="shared" si="1"/>
        <v>0</v>
      </c>
      <c r="D406" s="740" t="str">
        <f>'Semana 3'!DD36</f>
        <v/>
      </c>
      <c r="E406" s="775"/>
      <c r="F406" s="774" t="str">
        <f>'Semana 3'!DL36</f>
        <v/>
      </c>
      <c r="G406" s="774" t="str">
        <f>'Semana 3'!DH36</f>
        <v/>
      </c>
      <c r="H406" s="776"/>
      <c r="K406" s="776"/>
    </row>
    <row r="407">
      <c r="A407" s="774" t="str">
        <f>'Semana 3'!DK38</f>
        <v/>
      </c>
      <c r="B407" s="201">
        <f t="shared" si="1"/>
        <v>0</v>
      </c>
      <c r="D407" s="740" t="str">
        <f>'Semana 3'!DD38</f>
        <v/>
      </c>
      <c r="E407" s="775"/>
      <c r="F407" s="774" t="str">
        <f>'Semana 3'!DL38</f>
        <v/>
      </c>
      <c r="G407" s="774" t="str">
        <f>'Semana 3'!DH38</f>
        <v/>
      </c>
      <c r="H407" s="776"/>
      <c r="K407" s="776"/>
    </row>
    <row r="408">
      <c r="A408" s="774" t="str">
        <f>'Semana 3'!DK40</f>
        <v/>
      </c>
      <c r="B408" s="201">
        <f t="shared" si="1"/>
        <v>0</v>
      </c>
      <c r="D408" s="740" t="str">
        <f>'Semana 3'!DD40</f>
        <v/>
      </c>
      <c r="E408" s="775"/>
      <c r="F408" s="774" t="str">
        <f>'Semana 3'!DL40</f>
        <v/>
      </c>
      <c r="G408" s="774" t="str">
        <f>'Semana 3'!DH40</f>
        <v/>
      </c>
      <c r="H408" s="776"/>
      <c r="K408" s="776"/>
    </row>
    <row r="409">
      <c r="A409" s="774" t="str">
        <f>'Semana 3'!DK42</f>
        <v/>
      </c>
      <c r="B409" s="201">
        <f t="shared" si="1"/>
        <v>0</v>
      </c>
      <c r="D409" s="740" t="str">
        <f>'Semana 3'!DD42</f>
        <v/>
      </c>
      <c r="E409" s="775"/>
      <c r="F409" s="774" t="str">
        <f>'Semana 3'!DL42</f>
        <v/>
      </c>
      <c r="G409" s="774" t="str">
        <f>'Semana 3'!DH42</f>
        <v/>
      </c>
      <c r="H409" s="776"/>
      <c r="K409" s="776"/>
    </row>
    <row r="410">
      <c r="A410" s="774" t="str">
        <f>'Semana 3'!DK44</f>
        <v/>
      </c>
      <c r="B410" s="201">
        <f t="shared" si="1"/>
        <v>0</v>
      </c>
      <c r="D410" s="740" t="str">
        <f>'Semana 3'!DD44</f>
        <v/>
      </c>
      <c r="E410" s="775"/>
      <c r="F410" s="774" t="str">
        <f>'Semana 3'!DL44</f>
        <v/>
      </c>
      <c r="G410" s="774" t="str">
        <f>'Semana 3'!DH44</f>
        <v/>
      </c>
      <c r="H410" s="776"/>
      <c r="K410" s="776"/>
    </row>
    <row r="411">
      <c r="A411" s="774" t="str">
        <f>'Semana 3'!DK46</f>
        <v/>
      </c>
      <c r="B411" s="201">
        <f t="shared" si="1"/>
        <v>0</v>
      </c>
      <c r="D411" s="740" t="str">
        <f>'Semana 3'!DD46</f>
        <v/>
      </c>
      <c r="E411" s="775"/>
      <c r="F411" s="774" t="str">
        <f>'Semana 3'!DL46</f>
        <v/>
      </c>
      <c r="G411" s="774" t="str">
        <f>'Semana 3'!DH46</f>
        <v/>
      </c>
      <c r="H411" s="776"/>
      <c r="K411" s="776"/>
    </row>
    <row r="412">
      <c r="A412" s="774" t="str">
        <f>'Semana 3'!DK48</f>
        <v/>
      </c>
      <c r="B412" s="201">
        <f t="shared" si="1"/>
        <v>0</v>
      </c>
      <c r="D412" s="740" t="str">
        <f>'Semana 3'!DD48</f>
        <v/>
      </c>
      <c r="E412" s="775"/>
      <c r="F412" s="774" t="str">
        <f>'Semana 3'!DL48</f>
        <v/>
      </c>
      <c r="G412" s="774" t="str">
        <f>'Semana 3'!DH48</f>
        <v/>
      </c>
      <c r="H412" s="776"/>
      <c r="K412" s="776"/>
    </row>
    <row r="413">
      <c r="A413" s="774" t="str">
        <f>'Semana 3'!DK50</f>
        <v/>
      </c>
      <c r="B413" s="201">
        <f t="shared" si="1"/>
        <v>0</v>
      </c>
      <c r="D413" s="740" t="str">
        <f>'Semana 3'!DD50</f>
        <v/>
      </c>
      <c r="E413" s="775"/>
      <c r="F413" s="774" t="str">
        <f>'Semana 3'!DL50</f>
        <v/>
      </c>
      <c r="G413" s="774" t="str">
        <f>'Semana 3'!DH50</f>
        <v/>
      </c>
      <c r="H413" s="776"/>
      <c r="K413" s="776"/>
    </row>
    <row r="414">
      <c r="A414" s="774" t="str">
        <f>'Semana 3'!DK52</f>
        <v/>
      </c>
      <c r="B414" s="201">
        <f t="shared" si="1"/>
        <v>0</v>
      </c>
      <c r="D414" s="740" t="str">
        <f>'Semana 3'!DD52</f>
        <v/>
      </c>
      <c r="E414" s="775"/>
      <c r="F414" s="774" t="str">
        <f>'Semana 3'!DL52</f>
        <v/>
      </c>
      <c r="G414" s="774" t="str">
        <f>'Semana 3'!DH52</f>
        <v/>
      </c>
      <c r="H414" s="776"/>
      <c r="K414" s="776"/>
    </row>
    <row r="415">
      <c r="A415" s="774" t="str">
        <f>'Semana 3'!DK54</f>
        <v/>
      </c>
      <c r="B415" s="201">
        <f t="shared" si="1"/>
        <v>0</v>
      </c>
      <c r="D415" s="740" t="str">
        <f>'Semana 3'!DD54</f>
        <v/>
      </c>
      <c r="E415" s="775"/>
      <c r="F415" s="774" t="str">
        <f>'Semana 3'!DL54</f>
        <v/>
      </c>
      <c r="G415" s="774" t="str">
        <f>'Semana 3'!DH54</f>
        <v/>
      </c>
      <c r="H415" s="776"/>
      <c r="K415" s="776"/>
    </row>
    <row r="416">
      <c r="A416" s="774" t="str">
        <f>'Semana 3'!DK56</f>
        <v/>
      </c>
      <c r="B416" s="201">
        <f t="shared" si="1"/>
        <v>0</v>
      </c>
      <c r="D416" s="740" t="str">
        <f>'Semana 3'!DD56</f>
        <v/>
      </c>
      <c r="E416" s="775"/>
      <c r="F416" s="774" t="str">
        <f>'Semana 3'!DL56</f>
        <v/>
      </c>
      <c r="G416" s="774" t="str">
        <f>'Semana 3'!DH56</f>
        <v/>
      </c>
      <c r="H416" s="776"/>
      <c r="K416" s="776"/>
    </row>
    <row r="417">
      <c r="A417" s="774" t="str">
        <f>'Semana 3'!DK58</f>
        <v/>
      </c>
      <c r="B417" s="201">
        <f t="shared" si="1"/>
        <v>0</v>
      </c>
      <c r="D417" s="740" t="str">
        <f>'Semana 3'!DD58</f>
        <v/>
      </c>
      <c r="E417" s="775"/>
      <c r="F417" s="774" t="str">
        <f>'Semana 3'!DL58</f>
        <v/>
      </c>
      <c r="G417" s="774" t="str">
        <f>'Semana 3'!DH58</f>
        <v/>
      </c>
      <c r="H417" s="776"/>
      <c r="K417" s="776"/>
    </row>
    <row r="418">
      <c r="A418" s="774" t="str">
        <f>'Semana 3'!DK60</f>
        <v/>
      </c>
      <c r="B418" s="201">
        <f t="shared" si="1"/>
        <v>0</v>
      </c>
      <c r="D418" s="740" t="str">
        <f>'Semana 3'!DD60</f>
        <v/>
      </c>
      <c r="E418" s="775"/>
      <c r="F418" s="774" t="str">
        <f>'Semana 3'!DL60</f>
        <v/>
      </c>
      <c r="G418" s="774" t="str">
        <f>'Semana 3'!DH60</f>
        <v/>
      </c>
      <c r="H418" s="776"/>
      <c r="K418" s="776"/>
    </row>
    <row r="419">
      <c r="A419" s="774" t="str">
        <f>'Semana 3'!DK62</f>
        <v/>
      </c>
      <c r="B419" s="201">
        <f t="shared" si="1"/>
        <v>0</v>
      </c>
      <c r="D419" s="740" t="str">
        <f>'Semana 3'!DD62</f>
        <v/>
      </c>
      <c r="E419" s="775"/>
      <c r="F419" s="774" t="str">
        <f>'Semana 3'!DL62</f>
        <v/>
      </c>
      <c r="G419" s="774" t="str">
        <f>'Semana 3'!DH62</f>
        <v/>
      </c>
      <c r="H419" s="776"/>
      <c r="K419" s="776"/>
    </row>
    <row r="420">
      <c r="A420" s="774" t="str">
        <f>'Semana 3'!DK64</f>
        <v/>
      </c>
      <c r="B420" s="201">
        <f t="shared" si="1"/>
        <v>0</v>
      </c>
      <c r="D420" s="740" t="str">
        <f>'Semana 3'!DD64</f>
        <v/>
      </c>
      <c r="E420" s="775"/>
      <c r="F420" s="774" t="str">
        <f>'Semana 3'!DL64</f>
        <v/>
      </c>
      <c r="G420" s="774" t="str">
        <f>'Semana 3'!DH64</f>
        <v/>
      </c>
      <c r="H420" s="776"/>
      <c r="K420" s="776"/>
    </row>
    <row r="421">
      <c r="A421" s="774" t="str">
        <f>'Semana 4'!M26</f>
        <v>Esteira</v>
      </c>
      <c r="B421" s="201">
        <f t="shared" si="1"/>
        <v>0</v>
      </c>
      <c r="D421" s="740" t="str">
        <f>'Semana 4'!F26</f>
        <v/>
      </c>
      <c r="E421" s="775"/>
      <c r="F421" s="774" t="str">
        <f>'Semana 4'!N26</f>
        <v/>
      </c>
      <c r="G421" s="774" t="str">
        <f>'Semana 4'!J26</f>
        <v/>
      </c>
      <c r="H421" s="776"/>
      <c r="K421" s="776"/>
    </row>
    <row r="422">
      <c r="A422" s="774" t="str">
        <f>'Semana 4'!M28</f>
        <v>Supino</v>
      </c>
      <c r="B422" s="201">
        <f t="shared" si="1"/>
        <v>0</v>
      </c>
      <c r="D422" s="740">
        <f>'Semana 4'!F28</f>
        <v>8</v>
      </c>
      <c r="E422" s="775"/>
      <c r="F422" s="774" t="str">
        <f>'Semana 4'!N28</f>
        <v/>
      </c>
      <c r="G422" s="774" t="str">
        <f>'Semana 4'!J28</f>
        <v/>
      </c>
      <c r="H422" s="776"/>
      <c r="K422" s="776"/>
    </row>
    <row r="423">
      <c r="A423" s="774" t="str">
        <f>'Semana 4'!M30</f>
        <v>Remada Frontal Máquina</v>
      </c>
      <c r="B423" s="201">
        <f t="shared" si="1"/>
        <v>0</v>
      </c>
      <c r="D423" s="740">
        <f>'Semana 4'!F30</f>
        <v>8</v>
      </c>
      <c r="E423" s="775"/>
      <c r="F423" s="774" t="str">
        <f>'Semana 4'!N30</f>
        <v/>
      </c>
      <c r="G423" s="774" t="str">
        <f>'Semana 4'!J30</f>
        <v/>
      </c>
      <c r="H423" s="776"/>
      <c r="K423" s="776"/>
    </row>
    <row r="424">
      <c r="A424" s="774" t="str">
        <f>'Semana 4'!M32</f>
        <v>Esteira</v>
      </c>
      <c r="B424" s="201">
        <f t="shared" si="1"/>
        <v>0</v>
      </c>
      <c r="D424" s="740" t="str">
        <f>'Semana 4'!F32</f>
        <v/>
      </c>
      <c r="E424" s="775"/>
      <c r="F424" s="774" t="str">
        <f>'Semana 4'!N32</f>
        <v/>
      </c>
      <c r="G424" s="774" t="str">
        <f>'Semana 4'!J32</f>
        <v/>
      </c>
      <c r="H424" s="776"/>
      <c r="K424" s="776"/>
    </row>
    <row r="425">
      <c r="A425" s="774" t="str">
        <f>'Semana 4'!M34</f>
        <v>Supino Inclinado</v>
      </c>
      <c r="B425" s="201">
        <f t="shared" si="1"/>
        <v>0</v>
      </c>
      <c r="D425" s="740">
        <f>'Semana 4'!F34</f>
        <v>8</v>
      </c>
      <c r="E425" s="775"/>
      <c r="F425" s="774" t="str">
        <f>'Semana 4'!N34</f>
        <v/>
      </c>
      <c r="G425" s="774" t="str">
        <f>'Semana 4'!J34</f>
        <v/>
      </c>
      <c r="H425" s="776"/>
      <c r="K425" s="776"/>
    </row>
    <row r="426">
      <c r="A426" s="774" t="str">
        <f>'Semana 4'!M36</f>
        <v>Pulley frente</v>
      </c>
      <c r="B426" s="201">
        <f t="shared" si="1"/>
        <v>0</v>
      </c>
      <c r="D426" s="740">
        <f>'Semana 4'!F36</f>
        <v>8</v>
      </c>
      <c r="E426" s="775"/>
      <c r="F426" s="774" t="str">
        <f>'Semana 4'!N36</f>
        <v/>
      </c>
      <c r="G426" s="774" t="str">
        <f>'Semana 4'!J36</f>
        <v/>
      </c>
      <c r="H426" s="776"/>
      <c r="K426" s="776"/>
    </row>
    <row r="427">
      <c r="A427" s="774" t="str">
        <f>'Semana 4'!M38</f>
        <v>Esteira</v>
      </c>
      <c r="B427" s="201">
        <f t="shared" si="1"/>
        <v>0</v>
      </c>
      <c r="D427" s="740" t="str">
        <f>'Semana 4'!F38</f>
        <v/>
      </c>
      <c r="E427" s="775"/>
      <c r="F427" s="774" t="str">
        <f>'Semana 4'!N38</f>
        <v/>
      </c>
      <c r="G427" s="774" t="str">
        <f>'Semana 4'!J38</f>
        <v/>
      </c>
      <c r="H427" s="776"/>
      <c r="K427" s="776"/>
    </row>
    <row r="428">
      <c r="A428" s="774" t="str">
        <f>'Semana 4'!M40</f>
        <v>Fly Inverso</v>
      </c>
      <c r="B428" s="201">
        <f t="shared" si="1"/>
        <v>0</v>
      </c>
      <c r="D428" s="740">
        <f>'Semana 4'!F40</f>
        <v>8</v>
      </c>
      <c r="E428" s="775"/>
      <c r="F428" s="774" t="str">
        <f>'Semana 4'!N40</f>
        <v/>
      </c>
      <c r="G428" s="774" t="str">
        <f>'Semana 4'!J40</f>
        <v/>
      </c>
      <c r="H428" s="776"/>
      <c r="K428" s="776"/>
    </row>
    <row r="429">
      <c r="A429" s="774" t="str">
        <f>'Semana 4'!M42</f>
        <v>Rosca Direta</v>
      </c>
      <c r="B429" s="201">
        <f t="shared" si="1"/>
        <v>0</v>
      </c>
      <c r="D429" s="740">
        <f>'Semana 4'!F42</f>
        <v>8</v>
      </c>
      <c r="E429" s="775"/>
      <c r="F429" s="774" t="str">
        <f>'Semana 4'!N42</f>
        <v/>
      </c>
      <c r="G429" s="774" t="str">
        <f>'Semana 4'!J42</f>
        <v/>
      </c>
      <c r="H429" s="776"/>
      <c r="K429" s="776"/>
    </row>
    <row r="430">
      <c r="A430" s="774" t="str">
        <f>'Semana 4'!M44</f>
        <v>Esteira</v>
      </c>
      <c r="B430" s="201">
        <f t="shared" si="1"/>
        <v>0</v>
      </c>
      <c r="D430" s="740" t="str">
        <f>'Semana 4'!F44</f>
        <v/>
      </c>
      <c r="E430" s="775"/>
      <c r="F430" s="774" t="str">
        <f>'Semana 4'!N44</f>
        <v/>
      </c>
      <c r="G430" s="774" t="str">
        <f>'Semana 4'!J44</f>
        <v/>
      </c>
      <c r="H430" s="776"/>
      <c r="K430" s="776"/>
    </row>
    <row r="431">
      <c r="A431" s="774" t="str">
        <f>'Semana 4'!M46</f>
        <v>Fly no peck deck</v>
      </c>
      <c r="B431" s="201">
        <f t="shared" si="1"/>
        <v>0</v>
      </c>
      <c r="D431" s="740">
        <f>'Semana 4'!F46</f>
        <v>8</v>
      </c>
      <c r="E431" s="775"/>
      <c r="F431" s="774" t="str">
        <f>'Semana 4'!N46</f>
        <v/>
      </c>
      <c r="G431" s="774" t="str">
        <f>'Semana 4'!J46</f>
        <v/>
      </c>
      <c r="H431" s="776"/>
      <c r="K431" s="776"/>
    </row>
    <row r="432">
      <c r="A432" s="774" t="str">
        <f>'Semana 4'!M48</f>
        <v>Tríceps Testa polia</v>
      </c>
      <c r="B432" s="201">
        <f t="shared" si="1"/>
        <v>0</v>
      </c>
      <c r="D432" s="740">
        <f>'Semana 4'!F48</f>
        <v>8</v>
      </c>
      <c r="E432" s="775"/>
      <c r="F432" s="774" t="str">
        <f>'Semana 4'!N48</f>
        <v/>
      </c>
      <c r="G432" s="774" t="str">
        <f>'Semana 4'!J48</f>
        <v/>
      </c>
      <c r="H432" s="776"/>
      <c r="K432" s="776"/>
    </row>
    <row r="433">
      <c r="A433" s="774" t="str">
        <f>'Semana 4'!M50</f>
        <v>Esteira</v>
      </c>
      <c r="B433" s="201">
        <f t="shared" si="1"/>
        <v>0</v>
      </c>
      <c r="D433" s="740" t="str">
        <f>'Semana 4'!F50</f>
        <v/>
      </c>
      <c r="E433" s="775"/>
      <c r="F433" s="774" t="str">
        <f>'Semana 4'!N50</f>
        <v/>
      </c>
      <c r="G433" s="774" t="str">
        <f>'Semana 4'!J50</f>
        <v/>
      </c>
      <c r="H433" s="776"/>
      <c r="K433" s="776"/>
    </row>
    <row r="434">
      <c r="A434" s="774" t="str">
        <f>'Semana 4'!M52</f>
        <v>Abdominal canoa</v>
      </c>
      <c r="B434" s="201">
        <f t="shared" si="1"/>
        <v>0</v>
      </c>
      <c r="D434" s="740">
        <f>'Semana 4'!F52</f>
        <v>15</v>
      </c>
      <c r="E434" s="775"/>
      <c r="F434" s="774" t="str">
        <f>'Semana 4'!N52</f>
        <v/>
      </c>
      <c r="G434" s="774" t="str">
        <f>'Semana 4'!J52</f>
        <v/>
      </c>
      <c r="H434" s="776"/>
      <c r="K434" s="776"/>
    </row>
    <row r="435">
      <c r="A435" s="774" t="str">
        <f>'Semana 4'!M54</f>
        <v>Abdominal Remador</v>
      </c>
      <c r="B435" s="201">
        <f t="shared" si="1"/>
        <v>0</v>
      </c>
      <c r="D435" s="740">
        <f>'Semana 4'!F54</f>
        <v>15</v>
      </c>
      <c r="E435" s="775"/>
      <c r="F435" s="774" t="str">
        <f>'Semana 4'!N54</f>
        <v/>
      </c>
      <c r="G435" s="774" t="str">
        <f>'Semana 4'!J54</f>
        <v/>
      </c>
      <c r="H435" s="776"/>
      <c r="K435" s="776"/>
    </row>
    <row r="436">
      <c r="A436" s="774" t="str">
        <f>'Semana 4'!M56</f>
        <v/>
      </c>
      <c r="B436" s="201">
        <f t="shared" si="1"/>
        <v>0</v>
      </c>
      <c r="D436" s="740" t="str">
        <f>'Semana 4'!F56</f>
        <v/>
      </c>
      <c r="E436" s="775"/>
      <c r="F436" s="774" t="str">
        <f>'Semana 4'!N56</f>
        <v/>
      </c>
      <c r="G436" s="774" t="str">
        <f>'Semana 4'!J56</f>
        <v/>
      </c>
      <c r="H436" s="776"/>
      <c r="K436" s="776"/>
    </row>
    <row r="437">
      <c r="A437" s="774" t="str">
        <f>'Semana 4'!M58</f>
        <v/>
      </c>
      <c r="B437" s="201">
        <f t="shared" si="1"/>
        <v>0</v>
      </c>
      <c r="D437" s="740" t="str">
        <f>'Semana 4'!F58</f>
        <v/>
      </c>
      <c r="E437" s="775"/>
      <c r="F437" s="774" t="str">
        <f>'Semana 4'!N58</f>
        <v/>
      </c>
      <c r="G437" s="774" t="str">
        <f>'Semana 4'!J58</f>
        <v/>
      </c>
      <c r="H437" s="776"/>
      <c r="K437" s="776"/>
    </row>
    <row r="438">
      <c r="A438" s="774" t="str">
        <f>'Semana 4'!M60</f>
        <v/>
      </c>
      <c r="B438" s="201">
        <f t="shared" si="1"/>
        <v>0</v>
      </c>
      <c r="D438" s="740" t="str">
        <f>'Semana 4'!F60</f>
        <v/>
      </c>
      <c r="E438" s="775"/>
      <c r="F438" s="774" t="str">
        <f>'Semana 4'!N60</f>
        <v/>
      </c>
      <c r="G438" s="774" t="str">
        <f>'Semana 4'!J60</f>
        <v/>
      </c>
      <c r="H438" s="776"/>
      <c r="K438" s="776"/>
    </row>
    <row r="439">
      <c r="A439" s="774" t="str">
        <f>'Semana 4'!M62</f>
        <v/>
      </c>
      <c r="B439" s="201">
        <f t="shared" si="1"/>
        <v>0</v>
      </c>
      <c r="D439" s="740" t="str">
        <f>'Semana 4'!F62</f>
        <v/>
      </c>
      <c r="E439" s="775"/>
      <c r="F439" s="774" t="str">
        <f>'Semana 4'!N62</f>
        <v/>
      </c>
      <c r="G439" s="774" t="str">
        <f>'Semana 4'!J62</f>
        <v/>
      </c>
      <c r="H439" s="776"/>
      <c r="K439" s="776"/>
    </row>
    <row r="440">
      <c r="A440" s="774" t="str">
        <f>'Semana 4'!M64</f>
        <v/>
      </c>
      <c r="B440" s="201">
        <f t="shared" si="1"/>
        <v>0</v>
      </c>
      <c r="D440" s="740" t="str">
        <f>'Semana 4'!F64</f>
        <v/>
      </c>
      <c r="E440" s="775"/>
      <c r="F440" s="774" t="str">
        <f>'Semana 4'!N64</f>
        <v/>
      </c>
      <c r="G440" s="774" t="str">
        <f>'Semana 4'!J64</f>
        <v/>
      </c>
      <c r="H440" s="776"/>
      <c r="K440" s="776"/>
    </row>
    <row r="441">
      <c r="A441" s="774" t="str">
        <f>'Semana 4'!AD26</f>
        <v>Bicicleta</v>
      </c>
      <c r="B441" s="201">
        <f t="shared" si="1"/>
        <v>0</v>
      </c>
      <c r="D441" s="740" t="str">
        <f>'Semana 4'!W26</f>
        <v/>
      </c>
      <c r="E441" s="775"/>
      <c r="F441" s="774" t="str">
        <f>'Semana 4'!AE26</f>
        <v/>
      </c>
      <c r="G441" s="774" t="str">
        <f>'Semana 4'!AA26</f>
        <v/>
      </c>
      <c r="H441" s="776"/>
      <c r="K441" s="776"/>
    </row>
    <row r="442">
      <c r="A442" s="774" t="str">
        <f>'Semana 4'!AD28</f>
        <v>Agachamento</v>
      </c>
      <c r="B442" s="201">
        <f t="shared" si="1"/>
        <v>0</v>
      </c>
      <c r="D442" s="740">
        <f>'Semana 4'!W28</f>
        <v>8</v>
      </c>
      <c r="E442" s="775"/>
      <c r="F442" s="774" t="str">
        <f>'Semana 4'!AE28</f>
        <v/>
      </c>
      <c r="G442" s="774" t="str">
        <f>'Semana 4'!AA28</f>
        <v/>
      </c>
      <c r="H442" s="776"/>
      <c r="K442" s="776"/>
    </row>
    <row r="443">
      <c r="A443" s="774" t="str">
        <f>'Semana 4'!AD30</f>
        <v>Stiff</v>
      </c>
      <c r="B443" s="201">
        <f t="shared" si="1"/>
        <v>0</v>
      </c>
      <c r="D443" s="740">
        <f>'Semana 4'!W30</f>
        <v>8</v>
      </c>
      <c r="E443" s="775"/>
      <c r="F443" s="774" t="str">
        <f>'Semana 4'!AE30</f>
        <v/>
      </c>
      <c r="G443" s="774" t="str">
        <f>'Semana 4'!AA30</f>
        <v/>
      </c>
      <c r="H443" s="776"/>
      <c r="K443" s="776"/>
    </row>
    <row r="444">
      <c r="A444" s="774" t="str">
        <f>'Semana 4'!AD32</f>
        <v>Bicicleta</v>
      </c>
      <c r="B444" s="201">
        <f t="shared" si="1"/>
        <v>0</v>
      </c>
      <c r="D444" s="740" t="str">
        <f>'Semana 4'!W32</f>
        <v/>
      </c>
      <c r="E444" s="775"/>
      <c r="F444" s="774" t="str">
        <f>'Semana 4'!AE32</f>
        <v/>
      </c>
      <c r="G444" s="774" t="str">
        <f>'Semana 4'!AA32</f>
        <v/>
      </c>
      <c r="H444" s="776"/>
      <c r="K444" s="776"/>
    </row>
    <row r="445">
      <c r="A445" s="774" t="str">
        <f>'Semana 4'!AD34</f>
        <v>Elevação Pélvica</v>
      </c>
      <c r="B445" s="201">
        <f t="shared" si="1"/>
        <v>0</v>
      </c>
      <c r="D445" s="740">
        <f>'Semana 4'!W34</f>
        <v>8</v>
      </c>
      <c r="E445" s="775"/>
      <c r="F445" s="774" t="str">
        <f>'Semana 4'!AE34</f>
        <v/>
      </c>
      <c r="G445" s="774" t="str">
        <f>'Semana 4'!AA34</f>
        <v/>
      </c>
      <c r="H445" s="776"/>
      <c r="K445" s="776"/>
    </row>
    <row r="446">
      <c r="A446" s="774" t="str">
        <f>'Semana 4'!AD36</f>
        <v>Cadeira Abdutora</v>
      </c>
      <c r="B446" s="201">
        <f t="shared" si="1"/>
        <v>0</v>
      </c>
      <c r="D446" s="740">
        <f>'Semana 4'!W36</f>
        <v>8</v>
      </c>
      <c r="E446" s="775"/>
      <c r="F446" s="774" t="str">
        <f>'Semana 4'!AE36</f>
        <v/>
      </c>
      <c r="G446" s="774" t="str">
        <f>'Semana 4'!AA36</f>
        <v/>
      </c>
      <c r="H446" s="776"/>
      <c r="K446" s="776"/>
    </row>
    <row r="447">
      <c r="A447" s="774" t="str">
        <f>'Semana 4'!AD38</f>
        <v>Bicicleta</v>
      </c>
      <c r="B447" s="201">
        <f t="shared" si="1"/>
        <v>0</v>
      </c>
      <c r="D447" s="740" t="str">
        <f>'Semana 4'!W38</f>
        <v/>
      </c>
      <c r="E447" s="775"/>
      <c r="F447" s="774" t="str">
        <f>'Semana 4'!AE38</f>
        <v/>
      </c>
      <c r="G447" s="774" t="str">
        <f>'Semana 4'!AA38</f>
        <v/>
      </c>
      <c r="H447" s="776"/>
      <c r="K447" s="776"/>
    </row>
    <row r="448">
      <c r="A448" s="774" t="str">
        <f>'Semana 4'!AD40</f>
        <v>Leg Press</v>
      </c>
      <c r="B448" s="201">
        <f t="shared" si="1"/>
        <v>0</v>
      </c>
      <c r="D448" s="740">
        <f>'Semana 4'!W40</f>
        <v>8</v>
      </c>
      <c r="E448" s="775"/>
      <c r="F448" s="774" t="str">
        <f>'Semana 4'!AE40</f>
        <v/>
      </c>
      <c r="G448" s="774" t="str">
        <f>'Semana 4'!AA40</f>
        <v/>
      </c>
      <c r="H448" s="776"/>
      <c r="K448" s="776"/>
    </row>
    <row r="449">
      <c r="A449" s="774" t="str">
        <f>'Semana 4'!AD42</f>
        <v>Panturrilha Leg Press</v>
      </c>
      <c r="B449" s="201">
        <f t="shared" si="1"/>
        <v>0</v>
      </c>
      <c r="D449" s="740">
        <f>'Semana 4'!W42</f>
        <v>8</v>
      </c>
      <c r="E449" s="775"/>
      <c r="F449" s="774" t="str">
        <f>'Semana 4'!AE42</f>
        <v/>
      </c>
      <c r="G449" s="774" t="str">
        <f>'Semana 4'!AA42</f>
        <v/>
      </c>
      <c r="H449" s="776"/>
      <c r="K449" s="776"/>
    </row>
    <row r="450">
      <c r="A450" s="774" t="str">
        <f>'Semana 4'!AD44</f>
        <v>Bicicleta</v>
      </c>
      <c r="B450" s="201">
        <f t="shared" si="1"/>
        <v>0</v>
      </c>
      <c r="D450" s="740" t="str">
        <f>'Semana 4'!W44</f>
        <v/>
      </c>
      <c r="E450" s="775"/>
      <c r="F450" s="774" t="str">
        <f>'Semana 4'!AE44</f>
        <v/>
      </c>
      <c r="G450" s="774" t="str">
        <f>'Semana 4'!AA44</f>
        <v/>
      </c>
      <c r="H450" s="776"/>
      <c r="K450" s="776"/>
    </row>
    <row r="451">
      <c r="A451" s="774" t="str">
        <f>'Semana 4'!AD46</f>
        <v>Afundo</v>
      </c>
      <c r="B451" s="201">
        <f t="shared" si="1"/>
        <v>0</v>
      </c>
      <c r="D451" s="740">
        <f>'Semana 4'!W46</f>
        <v>8</v>
      </c>
      <c r="E451" s="775"/>
      <c r="F451" s="774" t="str">
        <f>'Semana 4'!AE46</f>
        <v/>
      </c>
      <c r="G451" s="774" t="str">
        <f>'Semana 4'!AA46</f>
        <v/>
      </c>
      <c r="H451" s="776"/>
      <c r="K451" s="776"/>
    </row>
    <row r="452">
      <c r="A452" s="774" t="str">
        <f>'Semana 4'!AD48</f>
        <v>Flexão Plantar na Máquina</v>
      </c>
      <c r="B452" s="201">
        <f t="shared" si="1"/>
        <v>0</v>
      </c>
      <c r="D452" s="740">
        <f>'Semana 4'!W48</f>
        <v>8</v>
      </c>
      <c r="E452" s="775"/>
      <c r="F452" s="774" t="str">
        <f>'Semana 4'!AE48</f>
        <v/>
      </c>
      <c r="G452" s="774" t="str">
        <f>'Semana 4'!AA48</f>
        <v/>
      </c>
      <c r="H452" s="776"/>
      <c r="K452" s="776"/>
    </row>
    <row r="453">
      <c r="A453" s="774" t="str">
        <f>'Semana 4'!AD50</f>
        <v>Bicicleta</v>
      </c>
      <c r="B453" s="201">
        <f t="shared" si="1"/>
        <v>0</v>
      </c>
      <c r="D453" s="740" t="str">
        <f>'Semana 4'!W50</f>
        <v/>
      </c>
      <c r="E453" s="775"/>
      <c r="F453" s="774" t="str">
        <f>'Semana 4'!AE50</f>
        <v/>
      </c>
      <c r="G453" s="774" t="str">
        <f>'Semana 4'!AA50</f>
        <v/>
      </c>
      <c r="H453" s="776"/>
      <c r="K453" s="776"/>
    </row>
    <row r="454">
      <c r="A454" s="774" t="str">
        <f>'Semana 4'!AD52</f>
        <v>Abdominal roda</v>
      </c>
      <c r="B454" s="201">
        <f t="shared" si="1"/>
        <v>0</v>
      </c>
      <c r="D454" s="740">
        <f>'Semana 4'!W52</f>
        <v>15</v>
      </c>
      <c r="E454" s="775"/>
      <c r="F454" s="774" t="str">
        <f>'Semana 4'!AE52</f>
        <v/>
      </c>
      <c r="G454" s="774" t="str">
        <f>'Semana 4'!AA52</f>
        <v/>
      </c>
      <c r="H454" s="776"/>
      <c r="K454" s="776"/>
    </row>
    <row r="455">
      <c r="A455" s="774" t="str">
        <f>'Semana 4'!AD54</f>
        <v>Abdominal Obliquo na polia média</v>
      </c>
      <c r="B455" s="201">
        <f t="shared" si="1"/>
        <v>0</v>
      </c>
      <c r="D455" s="740">
        <f>'Semana 4'!W54</f>
        <v>10</v>
      </c>
      <c r="E455" s="775"/>
      <c r="F455" s="774" t="str">
        <f>'Semana 4'!AE54</f>
        <v/>
      </c>
      <c r="G455" s="774" t="str">
        <f>'Semana 4'!AA54</f>
        <v/>
      </c>
      <c r="H455" s="776"/>
      <c r="K455" s="776"/>
    </row>
    <row r="456">
      <c r="A456" s="774" t="str">
        <f>'Semana 4'!AD56</f>
        <v/>
      </c>
      <c r="B456" s="201">
        <f t="shared" si="1"/>
        <v>0</v>
      </c>
      <c r="D456" s="740" t="str">
        <f>'Semana 4'!W56</f>
        <v/>
      </c>
      <c r="E456" s="775"/>
      <c r="F456" s="774" t="str">
        <f>'Semana 4'!AE56</f>
        <v/>
      </c>
      <c r="G456" s="774" t="str">
        <f>'Semana 4'!AA56</f>
        <v/>
      </c>
      <c r="H456" s="776"/>
      <c r="K456" s="776"/>
    </row>
    <row r="457">
      <c r="A457" s="774" t="str">
        <f>'Semana 4'!AD58</f>
        <v/>
      </c>
      <c r="B457" s="201">
        <f t="shared" si="1"/>
        <v>0</v>
      </c>
      <c r="D457" s="740" t="str">
        <f>'Semana 4'!W58</f>
        <v/>
      </c>
      <c r="E457" s="775"/>
      <c r="F457" s="774" t="str">
        <f>'Semana 4'!AE58</f>
        <v/>
      </c>
      <c r="G457" s="774" t="str">
        <f>'Semana 4'!AA58</f>
        <v/>
      </c>
      <c r="H457" s="776"/>
      <c r="K457" s="776"/>
    </row>
    <row r="458">
      <c r="A458" s="774" t="str">
        <f>'Semana 4'!AD60</f>
        <v/>
      </c>
      <c r="B458" s="201">
        <f t="shared" si="1"/>
        <v>0</v>
      </c>
      <c r="D458" s="740" t="str">
        <f>'Semana 4'!W60</f>
        <v/>
      </c>
      <c r="E458" s="775"/>
      <c r="F458" s="774" t="str">
        <f>'Semana 4'!AE60</f>
        <v/>
      </c>
      <c r="G458" s="774" t="str">
        <f>'Semana 4'!AA60</f>
        <v/>
      </c>
      <c r="H458" s="776"/>
      <c r="K458" s="776"/>
    </row>
    <row r="459">
      <c r="A459" s="774" t="str">
        <f>'Semana 4'!AD62</f>
        <v/>
      </c>
      <c r="B459" s="201">
        <f t="shared" si="1"/>
        <v>0</v>
      </c>
      <c r="D459" s="740" t="str">
        <f>'Semana 4'!W62</f>
        <v/>
      </c>
      <c r="E459" s="775"/>
      <c r="F459" s="774" t="str">
        <f>'Semana 4'!AE62</f>
        <v/>
      </c>
      <c r="G459" s="774" t="str">
        <f>'Semana 4'!AA62</f>
        <v/>
      </c>
      <c r="H459" s="776"/>
      <c r="K459" s="776"/>
    </row>
    <row r="460">
      <c r="A460" s="774" t="str">
        <f>'Semana 4'!AD64</f>
        <v/>
      </c>
      <c r="B460" s="201">
        <f t="shared" si="1"/>
        <v>0</v>
      </c>
      <c r="D460" s="740" t="str">
        <f>'Semana 4'!W64</f>
        <v/>
      </c>
      <c r="E460" s="775"/>
      <c r="F460" s="774" t="str">
        <f>'Semana 4'!AE64</f>
        <v/>
      </c>
      <c r="G460" s="774" t="str">
        <f>'Semana 4'!AA64</f>
        <v/>
      </c>
      <c r="H460" s="776"/>
      <c r="K460" s="776"/>
    </row>
    <row r="461">
      <c r="A461" s="774" t="str">
        <f>'Semana 4'!AU26</f>
        <v>Pista</v>
      </c>
      <c r="B461" s="201">
        <f t="shared" si="1"/>
        <v>0</v>
      </c>
      <c r="D461" s="740" t="str">
        <f>'Semana 4'!AN26</f>
        <v/>
      </c>
      <c r="E461" s="775"/>
      <c r="F461" s="774" t="str">
        <f>'Semana 4'!AV26</f>
        <v/>
      </c>
      <c r="G461" s="774" t="str">
        <f>'Semana 4'!AR26</f>
        <v/>
      </c>
      <c r="H461" s="776"/>
      <c r="K461" s="776"/>
    </row>
    <row r="462">
      <c r="A462" s="774" t="str">
        <f>'Semana 4'!AU28</f>
        <v/>
      </c>
      <c r="B462" s="201">
        <f t="shared" si="1"/>
        <v>0</v>
      </c>
      <c r="D462" s="740" t="str">
        <f>'Semana 4'!AN28</f>
        <v/>
      </c>
      <c r="E462" s="775"/>
      <c r="F462" s="774" t="str">
        <f>'Semana 4'!AV28</f>
        <v/>
      </c>
      <c r="G462" s="774" t="str">
        <f>'Semana 4'!AR28</f>
        <v/>
      </c>
      <c r="H462" s="776"/>
      <c r="K462" s="776"/>
    </row>
    <row r="463">
      <c r="A463" s="774" t="str">
        <f>'Semana 4'!AU30</f>
        <v/>
      </c>
      <c r="B463" s="201">
        <f t="shared" si="1"/>
        <v>0</v>
      </c>
      <c r="D463" s="740" t="str">
        <f>'Semana 4'!AN30</f>
        <v/>
      </c>
      <c r="E463" s="775"/>
      <c r="F463" s="774" t="str">
        <f>'Semana 4'!AV30</f>
        <v/>
      </c>
      <c r="G463" s="774" t="str">
        <f>'Semana 4'!AR30</f>
        <v/>
      </c>
      <c r="H463" s="776"/>
      <c r="K463" s="776"/>
    </row>
    <row r="464">
      <c r="A464" s="774" t="str">
        <f>'Semana 4'!AU32</f>
        <v/>
      </c>
      <c r="B464" s="201">
        <f t="shared" si="1"/>
        <v>0</v>
      </c>
      <c r="D464" s="740" t="str">
        <f>'Semana 4'!AN32</f>
        <v/>
      </c>
      <c r="E464" s="775"/>
      <c r="F464" s="774" t="str">
        <f>'Semana 4'!AV32</f>
        <v/>
      </c>
      <c r="G464" s="774" t="str">
        <f>'Semana 4'!AR32</f>
        <v/>
      </c>
      <c r="H464" s="776"/>
      <c r="K464" s="776"/>
    </row>
    <row r="465">
      <c r="A465" s="774" t="str">
        <f>'Semana 4'!AU34</f>
        <v/>
      </c>
      <c r="B465" s="201">
        <f t="shared" si="1"/>
        <v>0</v>
      </c>
      <c r="D465" s="740" t="str">
        <f>'Semana 4'!AN34</f>
        <v/>
      </c>
      <c r="E465" s="775"/>
      <c r="F465" s="774" t="str">
        <f>'Semana 4'!AV34</f>
        <v/>
      </c>
      <c r="G465" s="774" t="str">
        <f>'Semana 4'!AR34</f>
        <v/>
      </c>
      <c r="H465" s="776"/>
      <c r="K465" s="776"/>
    </row>
    <row r="466">
      <c r="A466" s="774" t="str">
        <f>'Semana 4'!AU36</f>
        <v/>
      </c>
      <c r="B466" s="201">
        <f t="shared" si="1"/>
        <v>0</v>
      </c>
      <c r="D466" s="740" t="str">
        <f>'Semana 4'!AN36</f>
        <v/>
      </c>
      <c r="E466" s="775"/>
      <c r="F466" s="774" t="str">
        <f>'Semana 4'!AV36</f>
        <v/>
      </c>
      <c r="G466" s="774" t="str">
        <f>'Semana 4'!AR36</f>
        <v/>
      </c>
      <c r="H466" s="776"/>
      <c r="K466" s="776"/>
    </row>
    <row r="467">
      <c r="A467" s="774" t="str">
        <f>'Semana 4'!AU38</f>
        <v/>
      </c>
      <c r="B467" s="201">
        <f t="shared" si="1"/>
        <v>0</v>
      </c>
      <c r="D467" s="740" t="str">
        <f>'Semana 4'!AN38</f>
        <v/>
      </c>
      <c r="E467" s="775"/>
      <c r="F467" s="774" t="str">
        <f>'Semana 4'!AV38</f>
        <v/>
      </c>
      <c r="G467" s="774" t="str">
        <f>'Semana 4'!AR38</f>
        <v/>
      </c>
      <c r="H467" s="776"/>
      <c r="K467" s="776"/>
    </row>
    <row r="468">
      <c r="A468" s="774" t="str">
        <f>'Semana 4'!AU40</f>
        <v/>
      </c>
      <c r="B468" s="201">
        <f t="shared" si="1"/>
        <v>0</v>
      </c>
      <c r="D468" s="740" t="str">
        <f>'Semana 4'!AN40</f>
        <v/>
      </c>
      <c r="E468" s="775"/>
      <c r="F468" s="774" t="str">
        <f>'Semana 4'!AV40</f>
        <v/>
      </c>
      <c r="G468" s="774" t="str">
        <f>'Semana 4'!AR40</f>
        <v/>
      </c>
      <c r="H468" s="776"/>
      <c r="K468" s="776"/>
    </row>
    <row r="469">
      <c r="A469" s="774" t="str">
        <f>'Semana 4'!AU42</f>
        <v/>
      </c>
      <c r="B469" s="201">
        <f t="shared" si="1"/>
        <v>0</v>
      </c>
      <c r="D469" s="740" t="str">
        <f>'Semana 4'!AN42</f>
        <v/>
      </c>
      <c r="E469" s="775"/>
      <c r="F469" s="774" t="str">
        <f>'Semana 4'!AV42</f>
        <v/>
      </c>
      <c r="G469" s="774" t="str">
        <f>'Semana 4'!AR42</f>
        <v/>
      </c>
      <c r="H469" s="776"/>
      <c r="K469" s="776"/>
    </row>
    <row r="470">
      <c r="A470" s="774" t="str">
        <f>'Semana 4'!AU44</f>
        <v/>
      </c>
      <c r="B470" s="201">
        <f t="shared" si="1"/>
        <v>0</v>
      </c>
      <c r="D470" s="740" t="str">
        <f>'Semana 4'!AN44</f>
        <v/>
      </c>
      <c r="E470" s="775"/>
      <c r="F470" s="774" t="str">
        <f>'Semana 4'!AV44</f>
        <v/>
      </c>
      <c r="G470" s="774" t="str">
        <f>'Semana 4'!AR44</f>
        <v/>
      </c>
      <c r="H470" s="776"/>
      <c r="K470" s="776"/>
    </row>
    <row r="471">
      <c r="A471" s="774" t="str">
        <f>'Semana 4'!AU46</f>
        <v/>
      </c>
      <c r="B471" s="201">
        <f t="shared" si="1"/>
        <v>0</v>
      </c>
      <c r="D471" s="740" t="str">
        <f>'Semana 4'!AN46</f>
        <v/>
      </c>
      <c r="E471" s="775"/>
      <c r="F471" s="774" t="str">
        <f>'Semana 4'!AV46</f>
        <v/>
      </c>
      <c r="G471" s="774" t="str">
        <f>'Semana 4'!AR46</f>
        <v/>
      </c>
      <c r="H471" s="776"/>
      <c r="K471" s="776"/>
    </row>
    <row r="472">
      <c r="A472" s="774" t="str">
        <f>'Semana 4'!AU48</f>
        <v/>
      </c>
      <c r="B472" s="201">
        <f t="shared" si="1"/>
        <v>0</v>
      </c>
      <c r="D472" s="740" t="str">
        <f>'Semana 4'!AN48</f>
        <v/>
      </c>
      <c r="E472" s="775"/>
      <c r="F472" s="774" t="str">
        <f>'Semana 4'!AV48</f>
        <v/>
      </c>
      <c r="G472" s="774" t="str">
        <f>'Semana 4'!AR48</f>
        <v/>
      </c>
      <c r="H472" s="776"/>
      <c r="K472" s="776"/>
    </row>
    <row r="473">
      <c r="A473" s="774" t="str">
        <f>'Semana 4'!AU50</f>
        <v/>
      </c>
      <c r="B473" s="201">
        <f t="shared" si="1"/>
        <v>0</v>
      </c>
      <c r="D473" s="740" t="str">
        <f>'Semana 4'!AN50</f>
        <v/>
      </c>
      <c r="E473" s="775"/>
      <c r="F473" s="774" t="str">
        <f>'Semana 4'!AV50</f>
        <v/>
      </c>
      <c r="G473" s="774" t="str">
        <f>'Semana 4'!AR50</f>
        <v/>
      </c>
      <c r="H473" s="776"/>
      <c r="K473" s="776"/>
    </row>
    <row r="474">
      <c r="A474" s="774" t="str">
        <f>'Semana 4'!AU52</f>
        <v/>
      </c>
      <c r="B474" s="201">
        <f t="shared" si="1"/>
        <v>0</v>
      </c>
      <c r="D474" s="740" t="str">
        <f>'Semana 4'!AN52</f>
        <v/>
      </c>
      <c r="E474" s="775"/>
      <c r="F474" s="774" t="str">
        <f>'Semana 4'!AV52</f>
        <v/>
      </c>
      <c r="G474" s="774" t="str">
        <f>'Semana 4'!AR52</f>
        <v/>
      </c>
      <c r="H474" s="776"/>
      <c r="K474" s="776"/>
    </row>
    <row r="475">
      <c r="A475" s="774" t="str">
        <f>'Semana 4'!AU54</f>
        <v/>
      </c>
      <c r="B475" s="201">
        <f t="shared" si="1"/>
        <v>0</v>
      </c>
      <c r="D475" s="740" t="str">
        <f>'Semana 4'!AN54</f>
        <v/>
      </c>
      <c r="E475" s="775"/>
      <c r="F475" s="774" t="str">
        <f>'Semana 4'!AV54</f>
        <v/>
      </c>
      <c r="G475" s="774" t="str">
        <f>'Semana 4'!AR54</f>
        <v/>
      </c>
      <c r="H475" s="776"/>
      <c r="K475" s="776"/>
    </row>
    <row r="476">
      <c r="A476" s="774" t="str">
        <f>'Semana 4'!AU56</f>
        <v/>
      </c>
      <c r="B476" s="201">
        <f t="shared" si="1"/>
        <v>0</v>
      </c>
      <c r="D476" s="740" t="str">
        <f>'Semana 4'!AN56</f>
        <v/>
      </c>
      <c r="E476" s="775"/>
      <c r="F476" s="774" t="str">
        <f>'Semana 4'!AV56</f>
        <v/>
      </c>
      <c r="G476" s="774" t="str">
        <f>'Semana 4'!AR56</f>
        <v/>
      </c>
      <c r="H476" s="776"/>
      <c r="K476" s="776"/>
    </row>
    <row r="477">
      <c r="A477" s="774" t="str">
        <f>'Semana 4'!AU58</f>
        <v/>
      </c>
      <c r="B477" s="201">
        <f t="shared" si="1"/>
        <v>0</v>
      </c>
      <c r="D477" s="740" t="str">
        <f>'Semana 4'!AN58</f>
        <v/>
      </c>
      <c r="E477" s="775"/>
      <c r="F477" s="774" t="str">
        <f>'Semana 4'!AV58</f>
        <v/>
      </c>
      <c r="G477" s="774" t="str">
        <f>'Semana 4'!AR58</f>
        <v/>
      </c>
      <c r="H477" s="776"/>
      <c r="K477" s="776"/>
    </row>
    <row r="478">
      <c r="A478" s="774" t="str">
        <f>'Semana 4'!AU60</f>
        <v/>
      </c>
      <c r="B478" s="201">
        <f t="shared" si="1"/>
        <v>0</v>
      </c>
      <c r="D478" s="740" t="str">
        <f>'Semana 4'!AN60</f>
        <v/>
      </c>
      <c r="E478" s="775"/>
      <c r="F478" s="774" t="str">
        <f>'Semana 4'!AV60</f>
        <v/>
      </c>
      <c r="G478" s="774" t="str">
        <f>'Semana 4'!AR60</f>
        <v/>
      </c>
      <c r="H478" s="776"/>
      <c r="K478" s="776"/>
    </row>
    <row r="479">
      <c r="A479" s="774" t="str">
        <f>'Semana 4'!AU62</f>
        <v/>
      </c>
      <c r="B479" s="201">
        <f t="shared" si="1"/>
        <v>0</v>
      </c>
      <c r="D479" s="740" t="str">
        <f>'Semana 4'!AN62</f>
        <v/>
      </c>
      <c r="E479" s="775"/>
      <c r="F479" s="774" t="str">
        <f>'Semana 4'!AV62</f>
        <v/>
      </c>
      <c r="G479" s="774" t="str">
        <f>'Semana 4'!AR62</f>
        <v/>
      </c>
      <c r="H479" s="776"/>
      <c r="K479" s="776"/>
    </row>
    <row r="480">
      <c r="A480" s="774" t="str">
        <f>'Semana 4'!AU64</f>
        <v/>
      </c>
      <c r="B480" s="201">
        <f t="shared" si="1"/>
        <v>0</v>
      </c>
      <c r="D480" s="740" t="str">
        <f>'Semana 4'!AN64</f>
        <v/>
      </c>
      <c r="E480" s="775"/>
      <c r="F480" s="774" t="str">
        <f>'Semana 4'!AV64</f>
        <v/>
      </c>
      <c r="G480" s="774" t="str">
        <f>'Semana 4'!AR64</f>
        <v/>
      </c>
      <c r="H480" s="776"/>
      <c r="K480" s="776"/>
    </row>
    <row r="481">
      <c r="A481" s="774" t="str">
        <f>'Semana 4'!BL26</f>
        <v>Flexão com impulsão</v>
      </c>
      <c r="B481" s="201">
        <f t="shared" si="1"/>
        <v>0</v>
      </c>
      <c r="D481" s="740">
        <f>'Semana 4'!BE26</f>
        <v>10</v>
      </c>
      <c r="E481" s="775"/>
      <c r="F481" s="774" t="str">
        <f>'Semana 4'!BM26</f>
        <v/>
      </c>
      <c r="G481" s="774" t="str">
        <f>'Semana 4'!BI26</f>
        <v/>
      </c>
      <c r="H481" s="776"/>
      <c r="K481" s="776"/>
    </row>
    <row r="482">
      <c r="A482" s="774" t="str">
        <f>'Semana 4'!BL28</f>
        <v>Remada Horizontal com Movimentação do Tronco</v>
      </c>
      <c r="B482" s="201">
        <f t="shared" si="1"/>
        <v>0</v>
      </c>
      <c r="D482" s="740">
        <f>'Semana 4'!BE28</f>
        <v>8</v>
      </c>
      <c r="E482" s="775"/>
      <c r="F482" s="774" t="str">
        <f>'Semana 4'!BM28</f>
        <v/>
      </c>
      <c r="G482" s="774" t="str">
        <f>'Semana 4'!BI28</f>
        <v/>
      </c>
      <c r="H482" s="776"/>
      <c r="K482" s="776"/>
    </row>
    <row r="483">
      <c r="A483" s="774" t="str">
        <f>'Semana 4'!BL30</f>
        <v>Remada Alta na Polia</v>
      </c>
      <c r="B483" s="201">
        <f t="shared" si="1"/>
        <v>0</v>
      </c>
      <c r="D483" s="740">
        <f>'Semana 4'!BE30</f>
        <v>8</v>
      </c>
      <c r="E483" s="775"/>
      <c r="F483" s="774" t="str">
        <f>'Semana 4'!BM30</f>
        <v/>
      </c>
      <c r="G483" s="774" t="str">
        <f>'Semana 4'!BI30</f>
        <v/>
      </c>
      <c r="H483" s="776"/>
      <c r="K483" s="776"/>
    </row>
    <row r="484">
      <c r="A484" s="774" t="str">
        <f>'Semana 4'!BL32</f>
        <v>Arremesso</v>
      </c>
      <c r="B484" s="201">
        <f t="shared" si="1"/>
        <v>0</v>
      </c>
      <c r="D484" s="740">
        <f>'Semana 4'!BE32</f>
        <v>8</v>
      </c>
      <c r="E484" s="775"/>
      <c r="F484" s="774" t="str">
        <f>'Semana 4'!BM32</f>
        <v/>
      </c>
      <c r="G484" s="774" t="str">
        <f>'Semana 4'!BI32</f>
        <v/>
      </c>
      <c r="H484" s="776"/>
      <c r="K484" s="776"/>
    </row>
    <row r="485">
      <c r="A485" s="774" t="str">
        <f>'Semana 4'!BL34</f>
        <v>Lat PullDown</v>
      </c>
      <c r="B485" s="201">
        <f t="shared" si="1"/>
        <v>0</v>
      </c>
      <c r="D485" s="740">
        <f>'Semana 4'!BE34</f>
        <v>8</v>
      </c>
      <c r="E485" s="775"/>
      <c r="F485" s="774" t="str">
        <f>'Semana 4'!BM34</f>
        <v/>
      </c>
      <c r="G485" s="774" t="str">
        <f>'Semana 4'!BI34</f>
        <v/>
      </c>
      <c r="H485" s="776"/>
      <c r="K485" s="776"/>
    </row>
    <row r="486">
      <c r="A486" s="774" t="str">
        <f>'Semana 4'!BL36</f>
        <v>Desenvolvimento Deltoide</v>
      </c>
      <c r="B486" s="201">
        <f t="shared" si="1"/>
        <v>0</v>
      </c>
      <c r="D486" s="740">
        <f>'Semana 4'!BE36</f>
        <v>8</v>
      </c>
      <c r="E486" s="775"/>
      <c r="F486" s="774" t="str">
        <f>'Semana 4'!BM36</f>
        <v/>
      </c>
      <c r="G486" s="774" t="str">
        <f>'Semana 4'!BI36</f>
        <v/>
      </c>
      <c r="H486" s="776"/>
      <c r="K486" s="776"/>
    </row>
    <row r="487">
      <c r="A487" s="774" t="str">
        <f>'Semana 4'!BL38</f>
        <v>Triceps Coice na Polia</v>
      </c>
      <c r="B487" s="201">
        <f t="shared" si="1"/>
        <v>0</v>
      </c>
      <c r="D487" s="740">
        <f>'Semana 4'!BE38</f>
        <v>8</v>
      </c>
      <c r="E487" s="775"/>
      <c r="F487" s="774" t="str">
        <f>'Semana 4'!BM38</f>
        <v/>
      </c>
      <c r="G487" s="774" t="str">
        <f>'Semana 4'!BI38</f>
        <v/>
      </c>
      <c r="H487" s="776"/>
      <c r="K487" s="776"/>
    </row>
    <row r="488">
      <c r="A488" s="774" t="str">
        <f>'Semana 4'!BL40</f>
        <v>Rosca Scott</v>
      </c>
      <c r="B488" s="201">
        <f t="shared" si="1"/>
        <v>0</v>
      </c>
      <c r="D488" s="740">
        <f>'Semana 4'!BE40</f>
        <v>8</v>
      </c>
      <c r="E488" s="775"/>
      <c r="F488" s="774" t="str">
        <f>'Semana 4'!BM40</f>
        <v/>
      </c>
      <c r="G488" s="774" t="str">
        <f>'Semana 4'!BI40</f>
        <v/>
      </c>
      <c r="H488" s="776"/>
      <c r="K488" s="776"/>
    </row>
    <row r="489">
      <c r="A489" s="774" t="str">
        <f>'Semana 4'!BL42</f>
        <v>Abdominal Reto</v>
      </c>
      <c r="B489" s="201">
        <f t="shared" si="1"/>
        <v>0</v>
      </c>
      <c r="D489" s="740">
        <f>'Semana 4'!BE42</f>
        <v>20</v>
      </c>
      <c r="E489" s="775"/>
      <c r="F489" s="774" t="str">
        <f>'Semana 4'!BM42</f>
        <v/>
      </c>
      <c r="G489" s="774" t="str">
        <f>'Semana 4'!BI42</f>
        <v/>
      </c>
      <c r="H489" s="776"/>
      <c r="K489" s="776"/>
    </row>
    <row r="490">
      <c r="A490" s="774" t="str">
        <f>'Semana 4'!BL44</f>
        <v>Abdominal canoa lateral</v>
      </c>
      <c r="B490" s="201">
        <f t="shared" si="1"/>
        <v>0</v>
      </c>
      <c r="D490" s="740">
        <f>'Semana 4'!BE44</f>
        <v>15</v>
      </c>
      <c r="E490" s="775"/>
      <c r="F490" s="774" t="str">
        <f>'Semana 4'!BM44</f>
        <v/>
      </c>
      <c r="G490" s="774" t="str">
        <f>'Semana 4'!BI44</f>
        <v/>
      </c>
      <c r="H490" s="776"/>
      <c r="K490" s="776"/>
    </row>
    <row r="491">
      <c r="A491" s="774" t="str">
        <f>'Semana 4'!BL46</f>
        <v>Superman</v>
      </c>
      <c r="B491" s="201">
        <f t="shared" si="1"/>
        <v>0</v>
      </c>
      <c r="D491" s="740">
        <f>'Semana 4'!BE46</f>
        <v>15</v>
      </c>
      <c r="E491" s="775"/>
      <c r="F491" s="774" t="str">
        <f>'Semana 4'!BM46</f>
        <v/>
      </c>
      <c r="G491" s="774" t="str">
        <f>'Semana 4'!BI46</f>
        <v/>
      </c>
      <c r="H491" s="776"/>
      <c r="K491" s="776"/>
    </row>
    <row r="492">
      <c r="A492" s="774" t="str">
        <f>'Semana 4'!BL48</f>
        <v>Esteira</v>
      </c>
      <c r="B492" s="201">
        <f t="shared" si="1"/>
        <v>0</v>
      </c>
      <c r="D492" s="740" t="str">
        <f>'Semana 4'!BE48</f>
        <v/>
      </c>
      <c r="E492" s="775"/>
      <c r="F492" s="774" t="str">
        <f>'Semana 4'!BM48</f>
        <v/>
      </c>
      <c r="G492" s="774" t="str">
        <f>'Semana 4'!BI48</f>
        <v/>
      </c>
      <c r="H492" s="776"/>
      <c r="K492" s="776"/>
    </row>
    <row r="493">
      <c r="A493" s="774" t="str">
        <f>'Semana 4'!BL50</f>
        <v/>
      </c>
      <c r="B493" s="201">
        <f t="shared" si="1"/>
        <v>0</v>
      </c>
      <c r="D493" s="740" t="str">
        <f>'Semana 4'!BE50</f>
        <v/>
      </c>
      <c r="E493" s="775"/>
      <c r="F493" s="774" t="str">
        <f>'Semana 4'!BM50</f>
        <v/>
      </c>
      <c r="G493" s="774" t="str">
        <f>'Semana 4'!BI50</f>
        <v/>
      </c>
      <c r="H493" s="776"/>
      <c r="K493" s="776"/>
    </row>
    <row r="494">
      <c r="A494" s="774" t="str">
        <f>'Semana 4'!BL52</f>
        <v/>
      </c>
      <c r="B494" s="201">
        <f t="shared" si="1"/>
        <v>0</v>
      </c>
      <c r="D494" s="740" t="str">
        <f>'Semana 4'!BE52</f>
        <v/>
      </c>
      <c r="E494" s="775"/>
      <c r="F494" s="774" t="str">
        <f>'Semana 4'!BM52</f>
        <v/>
      </c>
      <c r="G494" s="774" t="str">
        <f>'Semana 4'!BI52</f>
        <v/>
      </c>
      <c r="H494" s="776"/>
      <c r="K494" s="776"/>
    </row>
    <row r="495">
      <c r="A495" s="774" t="str">
        <f>'Semana 4'!BL54</f>
        <v/>
      </c>
      <c r="B495" s="201">
        <f t="shared" si="1"/>
        <v>0</v>
      </c>
      <c r="D495" s="740" t="str">
        <f>'Semana 4'!BE54</f>
        <v/>
      </c>
      <c r="E495" s="775"/>
      <c r="F495" s="774" t="str">
        <f>'Semana 4'!BM54</f>
        <v/>
      </c>
      <c r="G495" s="774" t="str">
        <f>'Semana 4'!BI54</f>
        <v/>
      </c>
      <c r="H495" s="776"/>
      <c r="K495" s="776"/>
    </row>
    <row r="496">
      <c r="A496" s="774" t="str">
        <f>'Semana 4'!BL56</f>
        <v/>
      </c>
      <c r="B496" s="201">
        <f t="shared" si="1"/>
        <v>0</v>
      </c>
      <c r="D496" s="740" t="str">
        <f>'Semana 4'!BE56</f>
        <v/>
      </c>
      <c r="E496" s="775"/>
      <c r="F496" s="774" t="str">
        <f>'Semana 4'!BM56</f>
        <v/>
      </c>
      <c r="G496" s="774" t="str">
        <f>'Semana 4'!BI56</f>
        <v/>
      </c>
      <c r="H496" s="776"/>
      <c r="K496" s="776"/>
    </row>
    <row r="497">
      <c r="A497" s="774" t="str">
        <f>'Semana 4'!BL58</f>
        <v/>
      </c>
      <c r="B497" s="201">
        <f t="shared" si="1"/>
        <v>0</v>
      </c>
      <c r="D497" s="740" t="str">
        <f>'Semana 4'!BE58</f>
        <v/>
      </c>
      <c r="E497" s="775"/>
      <c r="F497" s="774" t="str">
        <f>'Semana 4'!BM58</f>
        <v/>
      </c>
      <c r="G497" s="774" t="str">
        <f>'Semana 4'!BI58</f>
        <v/>
      </c>
      <c r="H497" s="776"/>
      <c r="K497" s="776"/>
    </row>
    <row r="498">
      <c r="A498" s="774" t="str">
        <f>'Semana 4'!BL60</f>
        <v/>
      </c>
      <c r="B498" s="201">
        <f t="shared" si="1"/>
        <v>0</v>
      </c>
      <c r="D498" s="740" t="str">
        <f>'Semana 4'!BE60</f>
        <v/>
      </c>
      <c r="E498" s="775"/>
      <c r="F498" s="774" t="str">
        <f>'Semana 4'!BM60</f>
        <v/>
      </c>
      <c r="G498" s="774" t="str">
        <f>'Semana 4'!BI60</f>
        <v/>
      </c>
      <c r="H498" s="776"/>
      <c r="K498" s="776"/>
    </row>
    <row r="499">
      <c r="A499" s="774" t="str">
        <f>'Semana 4'!BL62</f>
        <v/>
      </c>
      <c r="B499" s="201">
        <f t="shared" si="1"/>
        <v>0</v>
      </c>
      <c r="D499" s="740" t="str">
        <f>'Semana 4'!BE62</f>
        <v/>
      </c>
      <c r="E499" s="775"/>
      <c r="F499" s="774" t="str">
        <f>'Semana 4'!BM62</f>
        <v/>
      </c>
      <c r="G499" s="774" t="str">
        <f>'Semana 4'!BI62</f>
        <v/>
      </c>
      <c r="H499" s="776"/>
      <c r="K499" s="776"/>
    </row>
    <row r="500">
      <c r="A500" s="774" t="str">
        <f>'Semana 4'!BL64</f>
        <v/>
      </c>
      <c r="B500" s="201">
        <f t="shared" si="1"/>
        <v>0</v>
      </c>
      <c r="D500" s="740" t="str">
        <f>'Semana 4'!BE64</f>
        <v/>
      </c>
      <c r="E500" s="775"/>
      <c r="F500" s="774" t="str">
        <f>'Semana 4'!BM64</f>
        <v/>
      </c>
      <c r="G500" s="774" t="str">
        <f>'Semana 4'!BI64</f>
        <v/>
      </c>
      <c r="H500" s="776"/>
      <c r="K500" s="776"/>
    </row>
    <row r="501">
      <c r="A501" s="774" t="str">
        <f>'Semana 4'!CC26</f>
        <v>Corda</v>
      </c>
      <c r="B501" s="201">
        <f t="shared" si="1"/>
        <v>0</v>
      </c>
      <c r="D501" s="740" t="str">
        <f>'Semana 4'!BV26</f>
        <v/>
      </c>
      <c r="E501" s="775"/>
      <c r="F501" s="774" t="str">
        <f>'Semana 4'!CD26</f>
        <v/>
      </c>
      <c r="G501" s="774" t="str">
        <f>'Semana 4'!BZ26</f>
        <v/>
      </c>
      <c r="H501" s="776"/>
      <c r="K501" s="776"/>
    </row>
    <row r="502">
      <c r="A502" s="774" t="str">
        <f>'Semana 4'!CC28</f>
        <v>Levantamento Terra</v>
      </c>
      <c r="B502" s="201">
        <f t="shared" si="1"/>
        <v>0</v>
      </c>
      <c r="D502" s="740">
        <f>'Semana 4'!BV28</f>
        <v>8</v>
      </c>
      <c r="E502" s="775"/>
      <c r="F502" s="774" t="str">
        <f>'Semana 4'!CD28</f>
        <v/>
      </c>
      <c r="G502" s="774" t="str">
        <f>'Semana 4'!BZ28</f>
        <v/>
      </c>
      <c r="H502" s="776"/>
      <c r="K502" s="776"/>
    </row>
    <row r="503">
      <c r="A503" s="774" t="str">
        <f>'Semana 4'!CC30</f>
        <v>Banco Sóleo</v>
      </c>
      <c r="B503" s="201">
        <f t="shared" si="1"/>
        <v>0</v>
      </c>
      <c r="D503" s="740">
        <f>'Semana 4'!BV30</f>
        <v>8</v>
      </c>
      <c r="E503" s="775"/>
      <c r="F503" s="774" t="str">
        <f>'Semana 4'!CD30</f>
        <v/>
      </c>
      <c r="G503" s="774" t="str">
        <f>'Semana 4'!BZ30</f>
        <v/>
      </c>
      <c r="H503" s="776"/>
      <c r="K503" s="776"/>
    </row>
    <row r="504">
      <c r="A504" s="774" t="str">
        <f>'Semana 4'!CC32</f>
        <v>Flexão Nórdica</v>
      </c>
      <c r="B504" s="201">
        <f t="shared" si="1"/>
        <v>0</v>
      </c>
      <c r="D504" s="740">
        <f>'Semana 4'!BV32</f>
        <v>8</v>
      </c>
      <c r="E504" s="775"/>
      <c r="F504" s="774" t="str">
        <f>'Semana 4'!CD32</f>
        <v/>
      </c>
      <c r="G504" s="774" t="str">
        <f>'Semana 4'!BZ32</f>
        <v/>
      </c>
      <c r="H504" s="776"/>
      <c r="K504" s="776"/>
    </row>
    <row r="505">
      <c r="A505" s="774" t="str">
        <f>'Semana 4'!CC34</f>
        <v>Cadeira Extensora</v>
      </c>
      <c r="B505" s="201">
        <f t="shared" si="1"/>
        <v>0</v>
      </c>
      <c r="D505" s="740">
        <f>'Semana 4'!BV34</f>
        <v>8</v>
      </c>
      <c r="E505" s="775"/>
      <c r="F505" s="774" t="str">
        <f>'Semana 4'!CD34</f>
        <v/>
      </c>
      <c r="G505" s="774" t="str">
        <f>'Semana 4'!BZ34</f>
        <v/>
      </c>
      <c r="H505" s="776"/>
      <c r="K505" s="776"/>
    </row>
    <row r="506">
      <c r="A506" s="774" t="str">
        <f>'Semana 4'!CC36</f>
        <v>Flexão Nórdica Reversa</v>
      </c>
      <c r="B506" s="201">
        <f t="shared" si="1"/>
        <v>0</v>
      </c>
      <c r="D506" s="740">
        <f>'Semana 4'!BV36</f>
        <v>8</v>
      </c>
      <c r="E506" s="775"/>
      <c r="F506" s="774" t="str">
        <f>'Semana 4'!CD36</f>
        <v/>
      </c>
      <c r="G506" s="774" t="str">
        <f>'Semana 4'!BZ36</f>
        <v/>
      </c>
      <c r="H506" s="776"/>
      <c r="K506" s="776"/>
    </row>
    <row r="507">
      <c r="A507" s="774" t="str">
        <f>'Semana 4'!CC38</f>
        <v>Cadeira Flexora</v>
      </c>
      <c r="B507" s="201">
        <f t="shared" si="1"/>
        <v>0</v>
      </c>
      <c r="D507" s="740">
        <f>'Semana 4'!BV38</f>
        <v>8</v>
      </c>
      <c r="E507" s="775"/>
      <c r="F507" s="774" t="str">
        <f>'Semana 4'!CD38</f>
        <v/>
      </c>
      <c r="G507" s="774" t="str">
        <f>'Semana 4'!BZ38</f>
        <v/>
      </c>
      <c r="H507" s="776"/>
      <c r="K507" s="776"/>
    </row>
    <row r="508">
      <c r="A508" s="774" t="str">
        <f>'Semana 4'!CC40</f>
        <v>Deslocamento Lateral com Miniband</v>
      </c>
      <c r="B508" s="201">
        <f t="shared" si="1"/>
        <v>0</v>
      </c>
      <c r="D508" s="740">
        <f>'Semana 4'!BV40</f>
        <v>10</v>
      </c>
      <c r="E508" s="775"/>
      <c r="F508" s="774" t="str">
        <f>'Semana 4'!CD40</f>
        <v/>
      </c>
      <c r="G508" s="774" t="str">
        <f>'Semana 4'!BZ40</f>
        <v/>
      </c>
      <c r="H508" s="776"/>
      <c r="K508" s="776"/>
    </row>
    <row r="509">
      <c r="A509" s="774" t="str">
        <f>'Semana 4'!CC42</f>
        <v>Extensão de Quadril com elástico</v>
      </c>
      <c r="B509" s="201">
        <f t="shared" si="1"/>
        <v>0</v>
      </c>
      <c r="D509" s="740">
        <f>'Semana 4'!BV42</f>
        <v>10</v>
      </c>
      <c r="E509" s="775"/>
      <c r="F509" s="774" t="str">
        <f>'Semana 4'!CD42</f>
        <v/>
      </c>
      <c r="G509" s="774" t="str">
        <f>'Semana 4'!BZ42</f>
        <v/>
      </c>
      <c r="H509" s="776"/>
      <c r="K509" s="776"/>
    </row>
    <row r="510">
      <c r="A510" s="774" t="str">
        <f>'Semana 4'!CC44</f>
        <v>Abdominal infra no solo</v>
      </c>
      <c r="B510" s="201">
        <f t="shared" si="1"/>
        <v>0</v>
      </c>
      <c r="D510" s="740">
        <f>'Semana 4'!BV44</f>
        <v>15</v>
      </c>
      <c r="E510" s="775"/>
      <c r="F510" s="774" t="str">
        <f>'Semana 4'!CD44</f>
        <v/>
      </c>
      <c r="G510" s="774" t="str">
        <f>'Semana 4'!BZ44</f>
        <v/>
      </c>
      <c r="H510" s="776"/>
      <c r="K510" s="776"/>
    </row>
    <row r="511">
      <c r="A511" s="774" t="str">
        <f>'Semana 4'!CC46</f>
        <v>Abdominal Bicicleta</v>
      </c>
      <c r="B511" s="201">
        <f t="shared" si="1"/>
        <v>0</v>
      </c>
      <c r="D511" s="740">
        <f>'Semana 4'!BV46</f>
        <v>15</v>
      </c>
      <c r="E511" s="775"/>
      <c r="F511" s="774" t="str">
        <f>'Semana 4'!CD46</f>
        <v/>
      </c>
      <c r="G511" s="774" t="str">
        <f>'Semana 4'!BZ46</f>
        <v/>
      </c>
      <c r="H511" s="776"/>
      <c r="K511" s="776"/>
    </row>
    <row r="512">
      <c r="A512" s="774" t="str">
        <f>'Semana 4'!CC48</f>
        <v>Corda</v>
      </c>
      <c r="B512" s="201">
        <f t="shared" si="1"/>
        <v>0</v>
      </c>
      <c r="D512" s="740" t="str">
        <f>'Semana 4'!BV48</f>
        <v/>
      </c>
      <c r="E512" s="775"/>
      <c r="F512" s="774" t="str">
        <f>'Semana 4'!CD48</f>
        <v/>
      </c>
      <c r="G512" s="774" t="str">
        <f>'Semana 4'!BZ48</f>
        <v/>
      </c>
      <c r="H512" s="776"/>
      <c r="K512" s="776"/>
    </row>
    <row r="513">
      <c r="A513" s="774" t="str">
        <f>'Semana 4'!CC50</f>
        <v/>
      </c>
      <c r="B513" s="201">
        <f t="shared" si="1"/>
        <v>0</v>
      </c>
      <c r="D513" s="740" t="str">
        <f>'Semana 4'!BV50</f>
        <v/>
      </c>
      <c r="E513" s="775"/>
      <c r="F513" s="774" t="str">
        <f>'Semana 4'!CD50</f>
        <v/>
      </c>
      <c r="G513" s="774" t="str">
        <f>'Semana 4'!BZ50</f>
        <v/>
      </c>
      <c r="H513" s="776"/>
      <c r="K513" s="776"/>
    </row>
    <row r="514">
      <c r="A514" s="774" t="str">
        <f>'Semana 4'!CC52</f>
        <v/>
      </c>
      <c r="B514" s="201">
        <f t="shared" si="1"/>
        <v>0</v>
      </c>
      <c r="D514" s="740" t="str">
        <f>'Semana 4'!BV52</f>
        <v/>
      </c>
      <c r="E514" s="775"/>
      <c r="F514" s="774" t="str">
        <f>'Semana 4'!CD52</f>
        <v/>
      </c>
      <c r="G514" s="774" t="str">
        <f>'Semana 4'!BZ52</f>
        <v/>
      </c>
      <c r="H514" s="776"/>
      <c r="K514" s="776"/>
    </row>
    <row r="515">
      <c r="A515" s="774" t="str">
        <f>'Semana 4'!CC54</f>
        <v/>
      </c>
      <c r="B515" s="201">
        <f t="shared" si="1"/>
        <v>0</v>
      </c>
      <c r="D515" s="740" t="str">
        <f>'Semana 4'!BV54</f>
        <v/>
      </c>
      <c r="E515" s="775"/>
      <c r="F515" s="774" t="str">
        <f>'Semana 4'!CD54</f>
        <v/>
      </c>
      <c r="G515" s="774" t="str">
        <f>'Semana 4'!BZ54</f>
        <v/>
      </c>
      <c r="H515" s="776"/>
      <c r="K515" s="776"/>
    </row>
    <row r="516">
      <c r="A516" s="774" t="str">
        <f>'Semana 4'!CC56</f>
        <v/>
      </c>
      <c r="B516" s="201">
        <f t="shared" si="1"/>
        <v>0</v>
      </c>
      <c r="D516" s="740" t="str">
        <f>'Semana 4'!BV56</f>
        <v/>
      </c>
      <c r="E516" s="775"/>
      <c r="F516" s="774" t="str">
        <f>'Semana 4'!CD56</f>
        <v/>
      </c>
      <c r="G516" s="774" t="str">
        <f>'Semana 4'!BZ56</f>
        <v/>
      </c>
      <c r="H516" s="776"/>
      <c r="K516" s="776"/>
    </row>
    <row r="517">
      <c r="A517" s="774" t="str">
        <f>'Semana 4'!CC58</f>
        <v/>
      </c>
      <c r="B517" s="201">
        <f t="shared" si="1"/>
        <v>0</v>
      </c>
      <c r="D517" s="740" t="str">
        <f>'Semana 4'!BV58</f>
        <v/>
      </c>
      <c r="E517" s="775"/>
      <c r="F517" s="774" t="str">
        <f>'Semana 4'!CD58</f>
        <v/>
      </c>
      <c r="G517" s="774" t="str">
        <f>'Semana 4'!BZ58</f>
        <v/>
      </c>
      <c r="H517" s="776"/>
      <c r="K517" s="776"/>
    </row>
    <row r="518">
      <c r="A518" s="774" t="str">
        <f>'Semana 4'!CC60</f>
        <v/>
      </c>
      <c r="B518" s="201">
        <f t="shared" si="1"/>
        <v>0</v>
      </c>
      <c r="D518" s="740" t="str">
        <f>'Semana 4'!BV60</f>
        <v/>
      </c>
      <c r="E518" s="775"/>
      <c r="F518" s="774" t="str">
        <f>'Semana 4'!CD60</f>
        <v/>
      </c>
      <c r="G518" s="774" t="str">
        <f>'Semana 4'!BZ60</f>
        <v/>
      </c>
      <c r="H518" s="776"/>
      <c r="K518" s="776"/>
    </row>
    <row r="519">
      <c r="A519" s="774" t="str">
        <f>'Semana 4'!CC62</f>
        <v/>
      </c>
      <c r="B519" s="201">
        <f t="shared" si="1"/>
        <v>0</v>
      </c>
      <c r="D519" s="740" t="str">
        <f>'Semana 4'!BV62</f>
        <v/>
      </c>
      <c r="E519" s="775"/>
      <c r="F519" s="774" t="str">
        <f>'Semana 4'!CD62</f>
        <v/>
      </c>
      <c r="G519" s="774" t="str">
        <f>'Semana 4'!BZ62</f>
        <v/>
      </c>
      <c r="H519" s="776"/>
      <c r="K519" s="776"/>
    </row>
    <row r="520">
      <c r="A520" s="774" t="str">
        <f>'Semana 4'!CC64</f>
        <v/>
      </c>
      <c r="B520" s="201">
        <f t="shared" si="1"/>
        <v>0</v>
      </c>
      <c r="D520" s="740" t="str">
        <f>'Semana 4'!BV64</f>
        <v/>
      </c>
      <c r="E520" s="775"/>
      <c r="F520" s="774" t="str">
        <f>'Semana 4'!CD64</f>
        <v/>
      </c>
      <c r="G520" s="774" t="str">
        <f>'Semana 4'!BZ64</f>
        <v/>
      </c>
      <c r="H520" s="776"/>
      <c r="K520" s="776"/>
    </row>
    <row r="521">
      <c r="A521" s="774" t="str">
        <f>'Semana 4'!CT26</f>
        <v>Pista</v>
      </c>
      <c r="B521" s="201">
        <f t="shared" si="1"/>
        <v>0</v>
      </c>
      <c r="D521" s="740" t="str">
        <f>'Semana 4'!CM26</f>
        <v/>
      </c>
      <c r="E521" s="775"/>
      <c r="F521" s="774" t="str">
        <f>'Semana 4'!CU26</f>
        <v/>
      </c>
      <c r="G521" s="774" t="str">
        <f>'Semana 4'!CQ26</f>
        <v/>
      </c>
      <c r="H521" s="776"/>
      <c r="K521" s="776"/>
    </row>
    <row r="522">
      <c r="A522" s="774" t="str">
        <f>'Semana 4'!CT28</f>
        <v/>
      </c>
      <c r="B522" s="201">
        <f t="shared" si="1"/>
        <v>0</v>
      </c>
      <c r="D522" s="740" t="str">
        <f>'Semana 4'!CM28</f>
        <v/>
      </c>
      <c r="E522" s="775"/>
      <c r="F522" s="774" t="str">
        <f>'Semana 4'!CU28</f>
        <v/>
      </c>
      <c r="G522" s="774" t="str">
        <f>'Semana 4'!CQ28</f>
        <v/>
      </c>
      <c r="H522" s="776"/>
      <c r="K522" s="776"/>
    </row>
    <row r="523">
      <c r="A523" s="774" t="str">
        <f>'Semana 4'!CT30</f>
        <v/>
      </c>
      <c r="B523" s="201">
        <f t="shared" si="1"/>
        <v>0</v>
      </c>
      <c r="D523" s="740" t="str">
        <f>'Semana 4'!CM30</f>
        <v/>
      </c>
      <c r="E523" s="775"/>
      <c r="F523" s="774" t="str">
        <f>'Semana 4'!CU30</f>
        <v/>
      </c>
      <c r="G523" s="774" t="str">
        <f>'Semana 4'!CQ30</f>
        <v/>
      </c>
      <c r="H523" s="776"/>
      <c r="K523" s="776"/>
    </row>
    <row r="524">
      <c r="A524" s="774" t="str">
        <f>'Semana 4'!CT32</f>
        <v/>
      </c>
      <c r="B524" s="201">
        <f t="shared" si="1"/>
        <v>0</v>
      </c>
      <c r="D524" s="740" t="str">
        <f>'Semana 4'!CM32</f>
        <v/>
      </c>
      <c r="E524" s="775"/>
      <c r="F524" s="774" t="str">
        <f>'Semana 4'!CU32</f>
        <v/>
      </c>
      <c r="G524" s="774" t="str">
        <f>'Semana 4'!CQ32</f>
        <v/>
      </c>
      <c r="H524" s="776"/>
      <c r="K524" s="776"/>
    </row>
    <row r="525">
      <c r="A525" s="774" t="str">
        <f>'Semana 4'!CT34</f>
        <v/>
      </c>
      <c r="B525" s="201">
        <f t="shared" si="1"/>
        <v>0</v>
      </c>
      <c r="D525" s="740" t="str">
        <f>'Semana 4'!CM34</f>
        <v/>
      </c>
      <c r="E525" s="775"/>
      <c r="F525" s="774" t="str">
        <f>'Semana 4'!CU34</f>
        <v/>
      </c>
      <c r="G525" s="774" t="str">
        <f>'Semana 4'!CQ34</f>
        <v/>
      </c>
      <c r="H525" s="776"/>
      <c r="K525" s="776"/>
    </row>
    <row r="526">
      <c r="A526" s="774" t="str">
        <f>'Semana 4'!CT36</f>
        <v/>
      </c>
      <c r="B526" s="201">
        <f t="shared" si="1"/>
        <v>0</v>
      </c>
      <c r="D526" s="740" t="str">
        <f>'Semana 4'!CM36</f>
        <v/>
      </c>
      <c r="E526" s="775"/>
      <c r="F526" s="774" t="str">
        <f>'Semana 4'!CU36</f>
        <v/>
      </c>
      <c r="G526" s="774" t="str">
        <f>'Semana 4'!CQ36</f>
        <v/>
      </c>
      <c r="H526" s="776"/>
      <c r="K526" s="776"/>
    </row>
    <row r="527">
      <c r="A527" s="774" t="str">
        <f>'Semana 4'!CT38</f>
        <v/>
      </c>
      <c r="B527" s="201">
        <f t="shared" si="1"/>
        <v>0</v>
      </c>
      <c r="D527" s="740" t="str">
        <f>'Semana 4'!CM38</f>
        <v/>
      </c>
      <c r="E527" s="775"/>
      <c r="F527" s="774" t="str">
        <f>'Semana 4'!CU38</f>
        <v/>
      </c>
      <c r="G527" s="774" t="str">
        <f>'Semana 4'!CQ38</f>
        <v/>
      </c>
      <c r="H527" s="776"/>
      <c r="K527" s="776"/>
    </row>
    <row r="528">
      <c r="A528" s="774" t="str">
        <f>'Semana 4'!CT40</f>
        <v/>
      </c>
      <c r="B528" s="201">
        <f t="shared" si="1"/>
        <v>0</v>
      </c>
      <c r="D528" s="740" t="str">
        <f>'Semana 4'!CM40</f>
        <v/>
      </c>
      <c r="E528" s="775"/>
      <c r="F528" s="774" t="str">
        <f>'Semana 4'!CU40</f>
        <v/>
      </c>
      <c r="G528" s="774" t="str">
        <f>'Semana 4'!CQ40</f>
        <v/>
      </c>
      <c r="H528" s="776"/>
      <c r="K528" s="776"/>
    </row>
    <row r="529">
      <c r="A529" s="774" t="str">
        <f>'Semana 4'!CT42</f>
        <v/>
      </c>
      <c r="B529" s="201">
        <f t="shared" si="1"/>
        <v>0</v>
      </c>
      <c r="D529" s="740" t="str">
        <f>'Semana 4'!CM42</f>
        <v/>
      </c>
      <c r="E529" s="775"/>
      <c r="F529" s="774" t="str">
        <f>'Semana 4'!CU42</f>
        <v/>
      </c>
      <c r="G529" s="774" t="str">
        <f>'Semana 4'!CQ42</f>
        <v/>
      </c>
      <c r="H529" s="776"/>
      <c r="K529" s="776"/>
    </row>
    <row r="530">
      <c r="A530" s="774" t="str">
        <f>'Semana 4'!CT44</f>
        <v/>
      </c>
      <c r="B530" s="201">
        <f t="shared" si="1"/>
        <v>0</v>
      </c>
      <c r="D530" s="740" t="str">
        <f>'Semana 4'!CM44</f>
        <v/>
      </c>
      <c r="E530" s="775"/>
      <c r="F530" s="774" t="str">
        <f>'Semana 4'!CU44</f>
        <v/>
      </c>
      <c r="G530" s="774" t="str">
        <f>'Semana 4'!CQ44</f>
        <v/>
      </c>
      <c r="H530" s="776"/>
      <c r="K530" s="776"/>
    </row>
    <row r="531">
      <c r="A531" s="774" t="str">
        <f>'Semana 4'!CT46</f>
        <v/>
      </c>
      <c r="B531" s="201">
        <f t="shared" si="1"/>
        <v>0</v>
      </c>
      <c r="D531" s="740" t="str">
        <f>'Semana 4'!CM46</f>
        <v/>
      </c>
      <c r="E531" s="775"/>
      <c r="F531" s="774" t="str">
        <f>'Semana 4'!CU46</f>
        <v/>
      </c>
      <c r="G531" s="774" t="str">
        <f>'Semana 4'!CQ46</f>
        <v/>
      </c>
      <c r="H531" s="776"/>
      <c r="K531" s="776"/>
    </row>
    <row r="532">
      <c r="A532" s="774" t="str">
        <f>'Semana 4'!CT48</f>
        <v/>
      </c>
      <c r="B532" s="201">
        <f t="shared" si="1"/>
        <v>0</v>
      </c>
      <c r="D532" s="740" t="str">
        <f>'Semana 4'!CM48</f>
        <v/>
      </c>
      <c r="E532" s="775"/>
      <c r="F532" s="774" t="str">
        <f>'Semana 4'!CU48</f>
        <v/>
      </c>
      <c r="G532" s="774" t="str">
        <f>'Semana 4'!CQ48</f>
        <v/>
      </c>
      <c r="H532" s="776"/>
      <c r="K532" s="776"/>
    </row>
    <row r="533">
      <c r="A533" s="774" t="str">
        <f>'Semana 4'!CT50</f>
        <v/>
      </c>
      <c r="B533" s="201">
        <f t="shared" si="1"/>
        <v>0</v>
      </c>
      <c r="D533" s="740" t="str">
        <f>'Semana 4'!CM50</f>
        <v/>
      </c>
      <c r="E533" s="775"/>
      <c r="F533" s="774" t="str">
        <f>'Semana 4'!CU50</f>
        <v/>
      </c>
      <c r="G533" s="774" t="str">
        <f>'Semana 4'!CQ50</f>
        <v/>
      </c>
      <c r="H533" s="776"/>
      <c r="K533" s="776"/>
    </row>
    <row r="534">
      <c r="A534" s="774" t="str">
        <f>'Semana 4'!CT52</f>
        <v/>
      </c>
      <c r="B534" s="201">
        <f t="shared" si="1"/>
        <v>0</v>
      </c>
      <c r="D534" s="740" t="str">
        <f>'Semana 4'!CM52</f>
        <v/>
      </c>
      <c r="E534" s="775"/>
      <c r="F534" s="774" t="str">
        <f>'Semana 4'!CU52</f>
        <v/>
      </c>
      <c r="G534" s="774" t="str">
        <f>'Semana 4'!CQ52</f>
        <v/>
      </c>
      <c r="H534" s="776"/>
      <c r="K534" s="776"/>
    </row>
    <row r="535">
      <c r="A535" s="774" t="str">
        <f>'Semana 4'!CT54</f>
        <v/>
      </c>
      <c r="B535" s="201">
        <f t="shared" si="1"/>
        <v>0</v>
      </c>
      <c r="D535" s="740" t="str">
        <f>'Semana 4'!CM54</f>
        <v/>
      </c>
      <c r="E535" s="775"/>
      <c r="F535" s="774" t="str">
        <f>'Semana 4'!CU54</f>
        <v/>
      </c>
      <c r="G535" s="774" t="str">
        <f>'Semana 4'!CQ54</f>
        <v/>
      </c>
      <c r="H535" s="776"/>
      <c r="K535" s="776"/>
    </row>
    <row r="536">
      <c r="A536" s="774" t="str">
        <f>'Semana 4'!CT56</f>
        <v/>
      </c>
      <c r="B536" s="201">
        <f t="shared" si="1"/>
        <v>0</v>
      </c>
      <c r="D536" s="740" t="str">
        <f>'Semana 4'!CM56</f>
        <v/>
      </c>
      <c r="E536" s="775"/>
      <c r="F536" s="774" t="str">
        <f>'Semana 4'!CU56</f>
        <v/>
      </c>
      <c r="G536" s="774" t="str">
        <f>'Semana 4'!CQ56</f>
        <v/>
      </c>
      <c r="H536" s="776"/>
      <c r="K536" s="776"/>
    </row>
    <row r="537">
      <c r="A537" s="774" t="str">
        <f>'Semana 4'!CT58</f>
        <v/>
      </c>
      <c r="B537" s="201">
        <f t="shared" si="1"/>
        <v>0</v>
      </c>
      <c r="D537" s="740" t="str">
        <f>'Semana 4'!CM58</f>
        <v/>
      </c>
      <c r="E537" s="775"/>
      <c r="F537" s="774" t="str">
        <f>'Semana 4'!CU58</f>
        <v/>
      </c>
      <c r="G537" s="774" t="str">
        <f>'Semana 4'!CQ58</f>
        <v/>
      </c>
      <c r="H537" s="776"/>
      <c r="K537" s="776"/>
    </row>
    <row r="538">
      <c r="A538" s="774" t="str">
        <f>'Semana 4'!CT60</f>
        <v/>
      </c>
      <c r="B538" s="201">
        <f t="shared" si="1"/>
        <v>0</v>
      </c>
      <c r="D538" s="740" t="str">
        <f>'Semana 4'!CM60</f>
        <v/>
      </c>
      <c r="E538" s="775"/>
      <c r="F538" s="774" t="str">
        <f>'Semana 4'!CU60</f>
        <v/>
      </c>
      <c r="G538" s="774" t="str">
        <f>'Semana 4'!CQ60</f>
        <v/>
      </c>
      <c r="H538" s="776"/>
      <c r="K538" s="776"/>
    </row>
    <row r="539">
      <c r="A539" s="774" t="str">
        <f>'Semana 4'!CT62</f>
        <v/>
      </c>
      <c r="B539" s="201">
        <f t="shared" si="1"/>
        <v>0</v>
      </c>
      <c r="D539" s="740" t="str">
        <f>'Semana 4'!CM62</f>
        <v/>
      </c>
      <c r="E539" s="775"/>
      <c r="F539" s="774" t="str">
        <f>'Semana 4'!CU62</f>
        <v/>
      </c>
      <c r="G539" s="774" t="str">
        <f>'Semana 4'!CQ62</f>
        <v/>
      </c>
      <c r="H539" s="776"/>
      <c r="K539" s="776"/>
    </row>
    <row r="540">
      <c r="A540" s="774" t="str">
        <f>'Semana 4'!CT64</f>
        <v/>
      </c>
      <c r="B540" s="201">
        <f t="shared" si="1"/>
        <v>0</v>
      </c>
      <c r="D540" s="740" t="str">
        <f>'Semana 4'!CM64</f>
        <v/>
      </c>
      <c r="E540" s="775"/>
      <c r="F540" s="774" t="str">
        <f>'Semana 4'!CU64</f>
        <v/>
      </c>
      <c r="G540" s="774" t="str">
        <f>'Semana 4'!CQ64</f>
        <v/>
      </c>
      <c r="H540" s="776"/>
      <c r="K540" s="776"/>
    </row>
    <row r="541">
      <c r="A541" s="774" t="str">
        <f>'Semana 4'!DK26</f>
        <v/>
      </c>
      <c r="B541" s="201">
        <f t="shared" si="1"/>
        <v>0</v>
      </c>
      <c r="D541" s="740" t="str">
        <f>'Semana 4'!DD26</f>
        <v/>
      </c>
      <c r="E541" s="775"/>
      <c r="F541" s="774" t="str">
        <f>'Semana 4'!DL26</f>
        <v/>
      </c>
      <c r="G541" s="774" t="str">
        <f>'Semana 4'!DH26</f>
        <v/>
      </c>
      <c r="H541" s="776"/>
      <c r="K541" s="776"/>
    </row>
    <row r="542">
      <c r="A542" s="774" t="str">
        <f>'Semana 4'!DK28</f>
        <v/>
      </c>
      <c r="B542" s="201">
        <f t="shared" si="1"/>
        <v>0</v>
      </c>
      <c r="D542" s="740" t="str">
        <f>'Semana 4'!DD28</f>
        <v/>
      </c>
      <c r="E542" s="775"/>
      <c r="F542" s="774" t="str">
        <f>'Semana 4'!DL28</f>
        <v/>
      </c>
      <c r="G542" s="774" t="str">
        <f>'Semana 4'!DH28</f>
        <v/>
      </c>
      <c r="H542" s="776"/>
      <c r="K542" s="776"/>
    </row>
    <row r="543">
      <c r="A543" s="774" t="str">
        <f>'Semana 4'!DK30</f>
        <v/>
      </c>
      <c r="B543" s="201">
        <f t="shared" si="1"/>
        <v>0</v>
      </c>
      <c r="D543" s="740" t="str">
        <f>'Semana 4'!DD30</f>
        <v/>
      </c>
      <c r="E543" s="775"/>
      <c r="F543" s="774" t="str">
        <f>'Semana 4'!DL30</f>
        <v/>
      </c>
      <c r="G543" s="774" t="str">
        <f>'Semana 4'!DH30</f>
        <v/>
      </c>
      <c r="H543" s="776"/>
      <c r="K543" s="776"/>
    </row>
    <row r="544">
      <c r="A544" s="774" t="str">
        <f>'Semana 4'!DK32</f>
        <v/>
      </c>
      <c r="B544" s="201">
        <f t="shared" si="1"/>
        <v>0</v>
      </c>
      <c r="D544" s="740" t="str">
        <f>'Semana 4'!DD32</f>
        <v/>
      </c>
      <c r="E544" s="775"/>
      <c r="F544" s="774" t="str">
        <f>'Semana 4'!DL32</f>
        <v/>
      </c>
      <c r="G544" s="774" t="str">
        <f>'Semana 4'!DH32</f>
        <v/>
      </c>
      <c r="H544" s="776"/>
      <c r="K544" s="776"/>
    </row>
    <row r="545">
      <c r="A545" s="774" t="str">
        <f>'Semana 4'!DK34</f>
        <v/>
      </c>
      <c r="B545" s="201">
        <f t="shared" si="1"/>
        <v>0</v>
      </c>
      <c r="D545" s="740" t="str">
        <f>'Semana 4'!DD34</f>
        <v/>
      </c>
      <c r="E545" s="775"/>
      <c r="F545" s="774" t="str">
        <f>'Semana 4'!DL34</f>
        <v/>
      </c>
      <c r="G545" s="774" t="str">
        <f>'Semana 4'!DH34</f>
        <v/>
      </c>
      <c r="H545" s="776"/>
      <c r="K545" s="776"/>
    </row>
    <row r="546">
      <c r="A546" s="774" t="str">
        <f>'Semana 4'!DK36</f>
        <v/>
      </c>
      <c r="B546" s="201">
        <f t="shared" si="1"/>
        <v>0</v>
      </c>
      <c r="D546" s="740" t="str">
        <f>'Semana 4'!DD36</f>
        <v/>
      </c>
      <c r="E546" s="775"/>
      <c r="F546" s="774" t="str">
        <f>'Semana 4'!DL36</f>
        <v/>
      </c>
      <c r="G546" s="774" t="str">
        <f>'Semana 4'!DH36</f>
        <v/>
      </c>
      <c r="H546" s="776"/>
      <c r="K546" s="776"/>
    </row>
    <row r="547">
      <c r="A547" s="774" t="str">
        <f>'Semana 4'!DK38</f>
        <v/>
      </c>
      <c r="B547" s="201">
        <f t="shared" si="1"/>
        <v>0</v>
      </c>
      <c r="D547" s="740" t="str">
        <f>'Semana 4'!DD38</f>
        <v/>
      </c>
      <c r="E547" s="775"/>
      <c r="F547" s="774" t="str">
        <f>'Semana 4'!DL38</f>
        <v/>
      </c>
      <c r="G547" s="774" t="str">
        <f>'Semana 4'!DH38</f>
        <v/>
      </c>
      <c r="H547" s="776"/>
      <c r="K547" s="776"/>
    </row>
    <row r="548">
      <c r="A548" s="774" t="str">
        <f>'Semana 4'!DK40</f>
        <v/>
      </c>
      <c r="B548" s="201">
        <f t="shared" si="1"/>
        <v>0</v>
      </c>
      <c r="D548" s="740" t="str">
        <f>'Semana 4'!DD40</f>
        <v/>
      </c>
      <c r="E548" s="775"/>
      <c r="F548" s="774" t="str">
        <f>'Semana 4'!DL40</f>
        <v/>
      </c>
      <c r="G548" s="774" t="str">
        <f>'Semana 4'!DH40</f>
        <v/>
      </c>
      <c r="H548" s="776"/>
      <c r="K548" s="776"/>
    </row>
    <row r="549">
      <c r="A549" s="774" t="str">
        <f>'Semana 4'!DK42</f>
        <v/>
      </c>
      <c r="B549" s="201">
        <f t="shared" si="1"/>
        <v>0</v>
      </c>
      <c r="D549" s="740" t="str">
        <f>'Semana 4'!DD42</f>
        <v/>
      </c>
      <c r="E549" s="775"/>
      <c r="F549" s="774" t="str">
        <f>'Semana 4'!DL42</f>
        <v/>
      </c>
      <c r="G549" s="774" t="str">
        <f>'Semana 4'!DH42</f>
        <v/>
      </c>
      <c r="H549" s="776"/>
      <c r="K549" s="776"/>
    </row>
    <row r="550">
      <c r="A550" s="774" t="str">
        <f>'Semana 4'!DK44</f>
        <v/>
      </c>
      <c r="B550" s="201">
        <f t="shared" si="1"/>
        <v>0</v>
      </c>
      <c r="D550" s="740" t="str">
        <f>'Semana 4'!DD44</f>
        <v/>
      </c>
      <c r="E550" s="775"/>
      <c r="F550" s="774" t="str">
        <f>'Semana 4'!DL44</f>
        <v/>
      </c>
      <c r="G550" s="774" t="str">
        <f>'Semana 4'!DH44</f>
        <v/>
      </c>
      <c r="H550" s="776"/>
      <c r="K550" s="776"/>
    </row>
    <row r="551">
      <c r="A551" s="774" t="str">
        <f>'Semana 4'!DK46</f>
        <v/>
      </c>
      <c r="B551" s="201">
        <f t="shared" si="1"/>
        <v>0</v>
      </c>
      <c r="D551" s="740" t="str">
        <f>'Semana 4'!DD46</f>
        <v/>
      </c>
      <c r="E551" s="775"/>
      <c r="F551" s="774" t="str">
        <f>'Semana 4'!DL46</f>
        <v/>
      </c>
      <c r="G551" s="774" t="str">
        <f>'Semana 4'!DH46</f>
        <v/>
      </c>
      <c r="H551" s="776"/>
      <c r="K551" s="776"/>
    </row>
    <row r="552">
      <c r="A552" s="774" t="str">
        <f>'Semana 4'!DK48</f>
        <v/>
      </c>
      <c r="B552" s="201">
        <f t="shared" si="1"/>
        <v>0</v>
      </c>
      <c r="D552" s="740" t="str">
        <f>'Semana 4'!DD48</f>
        <v/>
      </c>
      <c r="E552" s="775"/>
      <c r="F552" s="774" t="str">
        <f>'Semana 4'!DL48</f>
        <v/>
      </c>
      <c r="G552" s="774" t="str">
        <f>'Semana 4'!DH48</f>
        <v/>
      </c>
      <c r="H552" s="776"/>
      <c r="K552" s="776"/>
    </row>
    <row r="553">
      <c r="A553" s="774" t="str">
        <f>'Semana 4'!DK50</f>
        <v/>
      </c>
      <c r="B553" s="201">
        <f t="shared" si="1"/>
        <v>0</v>
      </c>
      <c r="D553" s="740" t="str">
        <f>'Semana 4'!DD50</f>
        <v/>
      </c>
      <c r="E553" s="775"/>
      <c r="F553" s="774" t="str">
        <f>'Semana 4'!DL50</f>
        <v/>
      </c>
      <c r="G553" s="774" t="str">
        <f>'Semana 4'!DH50</f>
        <v/>
      </c>
      <c r="H553" s="776"/>
      <c r="K553" s="776"/>
    </row>
    <row r="554">
      <c r="A554" s="774" t="str">
        <f>'Semana 4'!DK52</f>
        <v/>
      </c>
      <c r="B554" s="201">
        <f t="shared" si="1"/>
        <v>0</v>
      </c>
      <c r="D554" s="740" t="str">
        <f>'Semana 4'!DD52</f>
        <v/>
      </c>
      <c r="E554" s="775"/>
      <c r="F554" s="774" t="str">
        <f>'Semana 4'!DL52</f>
        <v/>
      </c>
      <c r="G554" s="774" t="str">
        <f>'Semana 4'!DH52</f>
        <v/>
      </c>
      <c r="H554" s="776"/>
      <c r="K554" s="776"/>
    </row>
    <row r="555">
      <c r="A555" s="774" t="str">
        <f>'Semana 4'!DK54</f>
        <v/>
      </c>
      <c r="B555" s="201">
        <f t="shared" si="1"/>
        <v>0</v>
      </c>
      <c r="D555" s="740" t="str">
        <f>'Semana 4'!DD54</f>
        <v/>
      </c>
      <c r="E555" s="775"/>
      <c r="F555" s="774" t="str">
        <f>'Semana 4'!DL54</f>
        <v/>
      </c>
      <c r="G555" s="774" t="str">
        <f>'Semana 4'!DH54</f>
        <v/>
      </c>
      <c r="H555" s="776"/>
      <c r="K555" s="776"/>
    </row>
    <row r="556">
      <c r="A556" s="774" t="str">
        <f>'Semana 4'!DK56</f>
        <v/>
      </c>
      <c r="B556" s="201">
        <f t="shared" si="1"/>
        <v>0</v>
      </c>
      <c r="D556" s="740" t="str">
        <f>'Semana 4'!DD56</f>
        <v/>
      </c>
      <c r="E556" s="775"/>
      <c r="F556" s="774" t="str">
        <f>'Semana 4'!DL56</f>
        <v/>
      </c>
      <c r="G556" s="774" t="str">
        <f>'Semana 4'!DH56</f>
        <v/>
      </c>
      <c r="H556" s="776"/>
      <c r="K556" s="776"/>
    </row>
    <row r="557">
      <c r="A557" s="774" t="str">
        <f>'Semana 4'!DK58</f>
        <v/>
      </c>
      <c r="B557" s="201">
        <f t="shared" si="1"/>
        <v>0</v>
      </c>
      <c r="D557" s="740" t="str">
        <f>'Semana 4'!DD58</f>
        <v/>
      </c>
      <c r="E557" s="775"/>
      <c r="F557" s="774" t="str">
        <f>'Semana 4'!DL58</f>
        <v/>
      </c>
      <c r="G557" s="774" t="str">
        <f>'Semana 4'!DH58</f>
        <v/>
      </c>
      <c r="H557" s="776"/>
      <c r="K557" s="776"/>
    </row>
    <row r="558">
      <c r="A558" s="774" t="str">
        <f>'Semana 4'!DK60</f>
        <v/>
      </c>
      <c r="B558" s="201">
        <f t="shared" si="1"/>
        <v>0</v>
      </c>
      <c r="D558" s="740" t="str">
        <f>'Semana 4'!DD60</f>
        <v/>
      </c>
      <c r="E558" s="775"/>
      <c r="F558" s="774" t="str">
        <f>'Semana 4'!DL60</f>
        <v/>
      </c>
      <c r="G558" s="774" t="str">
        <f>'Semana 4'!DH60</f>
        <v/>
      </c>
      <c r="H558" s="776"/>
      <c r="K558" s="776"/>
    </row>
    <row r="559">
      <c r="A559" s="774" t="str">
        <f>'Semana 4'!DK62</f>
        <v/>
      </c>
      <c r="B559" s="201">
        <f t="shared" si="1"/>
        <v>0</v>
      </c>
      <c r="D559" s="740" t="str">
        <f>'Semana 4'!DD62</f>
        <v/>
      </c>
      <c r="E559" s="775"/>
      <c r="F559" s="774" t="str">
        <f>'Semana 4'!DL62</f>
        <v/>
      </c>
      <c r="G559" s="774" t="str">
        <f>'Semana 4'!DH62</f>
        <v/>
      </c>
      <c r="H559" s="776"/>
      <c r="K559" s="776"/>
    </row>
    <row r="560">
      <c r="A560" s="774" t="str">
        <f>'Semana 4'!DK64</f>
        <v/>
      </c>
      <c r="B560" s="201">
        <f t="shared" si="1"/>
        <v>0</v>
      </c>
      <c r="D560" s="740" t="str">
        <f>'Semana 4'!DD64</f>
        <v/>
      </c>
      <c r="E560" s="775"/>
      <c r="F560" s="774" t="str">
        <f>'Semana 4'!DL64</f>
        <v/>
      </c>
      <c r="G560" s="774" t="str">
        <f>'Semana 4'!DH64</f>
        <v/>
      </c>
      <c r="H560" s="776"/>
      <c r="K560" s="776"/>
    </row>
    <row r="561">
      <c r="A561" s="774" t="str">
        <f>'Semana 5'!M26</f>
        <v/>
      </c>
      <c r="B561" s="201">
        <f t="shared" si="1"/>
        <v>0</v>
      </c>
      <c r="D561" s="740" t="str">
        <f>'Semana 5'!F26</f>
        <v/>
      </c>
      <c r="E561" s="775"/>
      <c r="F561" s="774" t="str">
        <f>'Semana 5'!N26</f>
        <v/>
      </c>
      <c r="G561" s="774" t="str">
        <f>'Semana 5'!J26</f>
        <v/>
      </c>
      <c r="H561" s="776"/>
      <c r="K561" s="776"/>
    </row>
    <row r="562">
      <c r="A562" s="774" t="str">
        <f>'Semana 5'!M28</f>
        <v/>
      </c>
      <c r="B562" s="201">
        <f t="shared" si="1"/>
        <v>0</v>
      </c>
      <c r="D562" s="740" t="str">
        <f>'Semana 5'!F28</f>
        <v/>
      </c>
      <c r="E562" s="775"/>
      <c r="F562" s="774" t="str">
        <f>'Semana 5'!N28</f>
        <v/>
      </c>
      <c r="G562" s="774" t="str">
        <f>'Semana 5'!J28</f>
        <v/>
      </c>
      <c r="H562" s="776"/>
      <c r="K562" s="776"/>
    </row>
    <row r="563">
      <c r="A563" s="774" t="str">
        <f>'Semana 5'!M30</f>
        <v/>
      </c>
      <c r="B563" s="201">
        <f t="shared" si="1"/>
        <v>0</v>
      </c>
      <c r="D563" s="740" t="str">
        <f>'Semana 5'!F30</f>
        <v/>
      </c>
      <c r="E563" s="775"/>
      <c r="F563" s="774" t="str">
        <f>'Semana 5'!N30</f>
        <v/>
      </c>
      <c r="G563" s="774" t="str">
        <f>'Semana 5'!J30</f>
        <v/>
      </c>
      <c r="H563" s="776"/>
      <c r="K563" s="776"/>
    </row>
    <row r="564">
      <c r="A564" s="774" t="str">
        <f>'Semana 5'!M32</f>
        <v/>
      </c>
      <c r="B564" s="201">
        <f t="shared" si="1"/>
        <v>0</v>
      </c>
      <c r="D564" s="740" t="str">
        <f>'Semana 5'!F32</f>
        <v/>
      </c>
      <c r="E564" s="775"/>
      <c r="F564" s="774" t="str">
        <f>'Semana 5'!N32</f>
        <v/>
      </c>
      <c r="G564" s="774" t="str">
        <f>'Semana 5'!J32</f>
        <v/>
      </c>
      <c r="H564" s="776"/>
      <c r="K564" s="776"/>
    </row>
    <row r="565">
      <c r="A565" s="774" t="str">
        <f>'Semana 5'!M34</f>
        <v/>
      </c>
      <c r="B565" s="201">
        <f t="shared" si="1"/>
        <v>0</v>
      </c>
      <c r="D565" s="740" t="str">
        <f>'Semana 5'!F34</f>
        <v/>
      </c>
      <c r="E565" s="775"/>
      <c r="F565" s="774" t="str">
        <f>'Semana 5'!N34</f>
        <v/>
      </c>
      <c r="G565" s="774" t="str">
        <f>'Semana 5'!J34</f>
        <v/>
      </c>
      <c r="H565" s="776"/>
      <c r="K565" s="776"/>
    </row>
    <row r="566">
      <c r="A566" s="774" t="str">
        <f>'Semana 5'!M36</f>
        <v/>
      </c>
      <c r="B566" s="201">
        <f t="shared" si="1"/>
        <v>0</v>
      </c>
      <c r="D566" s="740" t="str">
        <f>'Semana 5'!F36</f>
        <v/>
      </c>
      <c r="E566" s="775"/>
      <c r="F566" s="774" t="str">
        <f>'Semana 5'!N36</f>
        <v/>
      </c>
      <c r="G566" s="774" t="str">
        <f>'Semana 5'!J36</f>
        <v/>
      </c>
      <c r="H566" s="776"/>
      <c r="K566" s="776"/>
    </row>
    <row r="567">
      <c r="A567" s="774" t="str">
        <f>'Semana 5'!M38</f>
        <v/>
      </c>
      <c r="B567" s="201">
        <f t="shared" si="1"/>
        <v>0</v>
      </c>
      <c r="D567" s="740" t="str">
        <f>'Semana 5'!F38</f>
        <v/>
      </c>
      <c r="E567" s="775"/>
      <c r="F567" s="774" t="str">
        <f>'Semana 5'!N38</f>
        <v/>
      </c>
      <c r="G567" s="774" t="str">
        <f>'Semana 5'!J38</f>
        <v/>
      </c>
      <c r="H567" s="776"/>
      <c r="K567" s="776"/>
    </row>
    <row r="568">
      <c r="A568" s="774" t="str">
        <f>'Semana 5'!M40</f>
        <v/>
      </c>
      <c r="B568" s="201">
        <f t="shared" si="1"/>
        <v>0</v>
      </c>
      <c r="D568" s="740" t="str">
        <f>'Semana 5'!F40</f>
        <v/>
      </c>
      <c r="E568" s="775"/>
      <c r="F568" s="774" t="str">
        <f>'Semana 5'!N40</f>
        <v/>
      </c>
      <c r="G568" s="774" t="str">
        <f>'Semana 5'!J40</f>
        <v/>
      </c>
      <c r="H568" s="776"/>
      <c r="K568" s="776"/>
    </row>
    <row r="569">
      <c r="A569" s="774" t="str">
        <f>'Semana 5'!M42</f>
        <v/>
      </c>
      <c r="B569" s="201">
        <f t="shared" si="1"/>
        <v>0</v>
      </c>
      <c r="D569" s="740" t="str">
        <f>'Semana 5'!F42</f>
        <v/>
      </c>
      <c r="E569" s="775"/>
      <c r="F569" s="774" t="str">
        <f>'Semana 5'!N42</f>
        <v/>
      </c>
      <c r="G569" s="774" t="str">
        <f>'Semana 5'!J42</f>
        <v/>
      </c>
      <c r="H569" s="776"/>
      <c r="K569" s="776"/>
    </row>
    <row r="570">
      <c r="A570" s="774" t="str">
        <f>'Semana 5'!M44</f>
        <v/>
      </c>
      <c r="B570" s="201">
        <f t="shared" si="1"/>
        <v>0</v>
      </c>
      <c r="D570" s="740" t="str">
        <f>'Semana 5'!F44</f>
        <v/>
      </c>
      <c r="E570" s="775"/>
      <c r="F570" s="774" t="str">
        <f>'Semana 5'!N44</f>
        <v/>
      </c>
      <c r="G570" s="774" t="str">
        <f>'Semana 5'!J44</f>
        <v/>
      </c>
      <c r="H570" s="776"/>
      <c r="K570" s="776"/>
    </row>
    <row r="571">
      <c r="A571" s="774" t="str">
        <f>'Semana 5'!M46</f>
        <v/>
      </c>
      <c r="B571" s="201">
        <f t="shared" si="1"/>
        <v>0</v>
      </c>
      <c r="D571" s="740" t="str">
        <f>'Semana 5'!F46</f>
        <v/>
      </c>
      <c r="E571" s="775"/>
      <c r="F571" s="774" t="str">
        <f>'Semana 5'!N46</f>
        <v/>
      </c>
      <c r="G571" s="774" t="str">
        <f>'Semana 5'!J46</f>
        <v/>
      </c>
      <c r="H571" s="776"/>
      <c r="K571" s="776"/>
    </row>
    <row r="572">
      <c r="A572" s="774" t="str">
        <f>'Semana 5'!M48</f>
        <v/>
      </c>
      <c r="B572" s="201">
        <f t="shared" si="1"/>
        <v>0</v>
      </c>
      <c r="D572" s="740" t="str">
        <f>'Semana 5'!F48</f>
        <v/>
      </c>
      <c r="E572" s="775"/>
      <c r="F572" s="774" t="str">
        <f>'Semana 5'!N48</f>
        <v/>
      </c>
      <c r="G572" s="774" t="str">
        <f>'Semana 5'!J48</f>
        <v/>
      </c>
      <c r="H572" s="776"/>
      <c r="K572" s="776"/>
    </row>
    <row r="573">
      <c r="A573" s="774" t="str">
        <f>'Semana 5'!M50</f>
        <v/>
      </c>
      <c r="B573" s="201">
        <f t="shared" si="1"/>
        <v>0</v>
      </c>
      <c r="D573" s="740" t="str">
        <f>'Semana 5'!F50</f>
        <v/>
      </c>
      <c r="E573" s="775"/>
      <c r="F573" s="774" t="str">
        <f>'Semana 5'!N50</f>
        <v/>
      </c>
      <c r="G573" s="774" t="str">
        <f>'Semana 5'!J50</f>
        <v/>
      </c>
      <c r="H573" s="776"/>
      <c r="K573" s="776"/>
    </row>
    <row r="574">
      <c r="A574" s="774" t="str">
        <f>'Semana 5'!M52</f>
        <v/>
      </c>
      <c r="B574" s="201">
        <f t="shared" si="1"/>
        <v>0</v>
      </c>
      <c r="D574" s="740" t="str">
        <f>'Semana 5'!F52</f>
        <v/>
      </c>
      <c r="E574" s="775"/>
      <c r="F574" s="774" t="str">
        <f>'Semana 5'!N52</f>
        <v/>
      </c>
      <c r="G574" s="774" t="str">
        <f>'Semana 5'!J52</f>
        <v/>
      </c>
      <c r="H574" s="776"/>
      <c r="K574" s="776"/>
    </row>
    <row r="575">
      <c r="A575" s="774" t="str">
        <f>'Semana 5'!M54</f>
        <v/>
      </c>
      <c r="B575" s="201">
        <f t="shared" si="1"/>
        <v>0</v>
      </c>
      <c r="D575" s="740" t="str">
        <f>'Semana 5'!F54</f>
        <v/>
      </c>
      <c r="E575" s="775"/>
      <c r="F575" s="774" t="str">
        <f>'Semana 5'!N54</f>
        <v/>
      </c>
      <c r="G575" s="774" t="str">
        <f>'Semana 5'!J54</f>
        <v/>
      </c>
      <c r="H575" s="776"/>
      <c r="K575" s="776"/>
    </row>
    <row r="576">
      <c r="A576" s="774" t="str">
        <f>'Semana 5'!M56</f>
        <v/>
      </c>
      <c r="B576" s="201">
        <f t="shared" si="1"/>
        <v>0</v>
      </c>
      <c r="D576" s="740" t="str">
        <f>'Semana 5'!F56</f>
        <v/>
      </c>
      <c r="E576" s="775"/>
      <c r="F576" s="774" t="str">
        <f>'Semana 5'!N56</f>
        <v/>
      </c>
      <c r="G576" s="774" t="str">
        <f>'Semana 5'!J56</f>
        <v/>
      </c>
      <c r="H576" s="776"/>
      <c r="K576" s="776"/>
    </row>
    <row r="577">
      <c r="A577" s="774" t="str">
        <f>'Semana 5'!M58</f>
        <v/>
      </c>
      <c r="B577" s="201">
        <f t="shared" si="1"/>
        <v>0</v>
      </c>
      <c r="D577" s="740" t="str">
        <f>'Semana 5'!F58</f>
        <v/>
      </c>
      <c r="E577" s="775"/>
      <c r="F577" s="774" t="str">
        <f>'Semana 5'!N58</f>
        <v/>
      </c>
      <c r="G577" s="774" t="str">
        <f>'Semana 5'!J58</f>
        <v/>
      </c>
      <c r="H577" s="776"/>
      <c r="K577" s="776"/>
    </row>
    <row r="578">
      <c r="A578" s="774" t="str">
        <f>'Semana 5'!M60</f>
        <v/>
      </c>
      <c r="B578" s="201">
        <f t="shared" si="1"/>
        <v>0</v>
      </c>
      <c r="D578" s="740" t="str">
        <f>'Semana 5'!F60</f>
        <v/>
      </c>
      <c r="E578" s="775"/>
      <c r="F578" s="774" t="str">
        <f>'Semana 5'!N60</f>
        <v/>
      </c>
      <c r="G578" s="774" t="str">
        <f>'Semana 5'!J60</f>
        <v/>
      </c>
      <c r="H578" s="776"/>
      <c r="K578" s="776"/>
    </row>
    <row r="579">
      <c r="A579" s="774" t="str">
        <f>'Semana 5'!M62</f>
        <v/>
      </c>
      <c r="B579" s="201">
        <f t="shared" si="1"/>
        <v>0</v>
      </c>
      <c r="D579" s="740" t="str">
        <f>'Semana 5'!F62</f>
        <v/>
      </c>
      <c r="E579" s="775"/>
      <c r="F579" s="774" t="str">
        <f>'Semana 5'!N62</f>
        <v/>
      </c>
      <c r="G579" s="774" t="str">
        <f>'Semana 5'!J62</f>
        <v/>
      </c>
      <c r="H579" s="776"/>
      <c r="K579" s="776"/>
    </row>
    <row r="580">
      <c r="A580" s="774" t="str">
        <f>'Semana 5'!M64</f>
        <v/>
      </c>
      <c r="B580" s="201">
        <f t="shared" si="1"/>
        <v>0</v>
      </c>
      <c r="D580" s="740" t="str">
        <f>'Semana 5'!F64</f>
        <v/>
      </c>
      <c r="E580" s="775"/>
      <c r="F580" s="774" t="str">
        <f>'Semana 5'!N64</f>
        <v/>
      </c>
      <c r="G580" s="774" t="str">
        <f>'Semana 5'!J64</f>
        <v/>
      </c>
      <c r="H580" s="776"/>
      <c r="K580" s="776"/>
    </row>
    <row r="581">
      <c r="A581" s="774" t="str">
        <f>'Semana 5'!AD26</f>
        <v/>
      </c>
      <c r="B581" s="201">
        <f t="shared" si="1"/>
        <v>0</v>
      </c>
      <c r="D581" s="740" t="str">
        <f>'Semana 5'!W26</f>
        <v/>
      </c>
      <c r="E581" s="775"/>
      <c r="F581" s="774" t="str">
        <f>'Semana 5'!AE26</f>
        <v/>
      </c>
      <c r="G581" s="774" t="str">
        <f>'Semana 5'!AA26</f>
        <v/>
      </c>
      <c r="H581" s="776"/>
      <c r="K581" s="776"/>
    </row>
    <row r="582">
      <c r="A582" s="774" t="str">
        <f>'Semana 5'!AD28</f>
        <v/>
      </c>
      <c r="B582" s="201">
        <f t="shared" si="1"/>
        <v>0</v>
      </c>
      <c r="D582" s="740" t="str">
        <f>'Semana 5'!W28</f>
        <v/>
      </c>
      <c r="E582" s="775"/>
      <c r="F582" s="774" t="str">
        <f>'Semana 5'!AE28</f>
        <v/>
      </c>
      <c r="G582" s="774" t="str">
        <f>'Semana 5'!AA28</f>
        <v/>
      </c>
      <c r="H582" s="776"/>
      <c r="K582" s="776"/>
    </row>
    <row r="583">
      <c r="A583" s="774" t="str">
        <f>'Semana 5'!AD30</f>
        <v/>
      </c>
      <c r="B583" s="201">
        <f t="shared" si="1"/>
        <v>0</v>
      </c>
      <c r="D583" s="740" t="str">
        <f>'Semana 5'!W30</f>
        <v/>
      </c>
      <c r="E583" s="775"/>
      <c r="F583" s="774" t="str">
        <f>'Semana 5'!AE30</f>
        <v/>
      </c>
      <c r="G583" s="774" t="str">
        <f>'Semana 5'!AA30</f>
        <v/>
      </c>
      <c r="H583" s="776"/>
      <c r="K583" s="776"/>
    </row>
    <row r="584">
      <c r="A584" s="774" t="str">
        <f>'Semana 5'!AD32</f>
        <v/>
      </c>
      <c r="B584" s="201">
        <f t="shared" si="1"/>
        <v>0</v>
      </c>
      <c r="D584" s="740" t="str">
        <f>'Semana 5'!W32</f>
        <v/>
      </c>
      <c r="E584" s="775"/>
      <c r="F584" s="774" t="str">
        <f>'Semana 5'!AE32</f>
        <v/>
      </c>
      <c r="G584" s="774" t="str">
        <f>'Semana 5'!AA32</f>
        <v/>
      </c>
      <c r="H584" s="776"/>
      <c r="K584" s="776"/>
    </row>
    <row r="585">
      <c r="A585" s="774" t="str">
        <f>'Semana 5'!AD34</f>
        <v/>
      </c>
      <c r="B585" s="201">
        <f t="shared" si="1"/>
        <v>0</v>
      </c>
      <c r="D585" s="740" t="str">
        <f>'Semana 5'!W34</f>
        <v/>
      </c>
      <c r="E585" s="775"/>
      <c r="F585" s="774" t="str">
        <f>'Semana 5'!AE34</f>
        <v/>
      </c>
      <c r="G585" s="774" t="str">
        <f>'Semana 5'!AA34</f>
        <v/>
      </c>
      <c r="H585" s="776"/>
      <c r="K585" s="776"/>
    </row>
    <row r="586">
      <c r="A586" s="774" t="str">
        <f>'Semana 5'!AD36</f>
        <v/>
      </c>
      <c r="B586" s="201">
        <f t="shared" si="1"/>
        <v>0</v>
      </c>
      <c r="D586" s="740" t="str">
        <f>'Semana 5'!W36</f>
        <v/>
      </c>
      <c r="E586" s="775"/>
      <c r="F586" s="774" t="str">
        <f>'Semana 5'!AE36</f>
        <v/>
      </c>
      <c r="G586" s="774" t="str">
        <f>'Semana 5'!AA36</f>
        <v/>
      </c>
      <c r="H586" s="776"/>
      <c r="K586" s="776"/>
    </row>
    <row r="587">
      <c r="A587" s="774" t="str">
        <f>'Semana 5'!AD38</f>
        <v/>
      </c>
      <c r="B587" s="201">
        <f t="shared" si="1"/>
        <v>0</v>
      </c>
      <c r="D587" s="740" t="str">
        <f>'Semana 5'!W38</f>
        <v/>
      </c>
      <c r="E587" s="775"/>
      <c r="F587" s="774" t="str">
        <f>'Semana 5'!AE38</f>
        <v/>
      </c>
      <c r="G587" s="774" t="str">
        <f>'Semana 5'!AA38</f>
        <v/>
      </c>
      <c r="H587" s="776"/>
      <c r="K587" s="776"/>
    </row>
    <row r="588">
      <c r="A588" s="774" t="str">
        <f>'Semana 5'!AD40</f>
        <v/>
      </c>
      <c r="B588" s="201">
        <f t="shared" si="1"/>
        <v>0</v>
      </c>
      <c r="D588" s="740" t="str">
        <f>'Semana 5'!W40</f>
        <v/>
      </c>
      <c r="E588" s="775"/>
      <c r="F588" s="774" t="str">
        <f>'Semana 5'!AE40</f>
        <v/>
      </c>
      <c r="G588" s="774" t="str">
        <f>'Semana 5'!AA40</f>
        <v/>
      </c>
      <c r="H588" s="776"/>
      <c r="K588" s="776"/>
    </row>
    <row r="589">
      <c r="A589" s="774" t="str">
        <f>'Semana 5'!AD42</f>
        <v/>
      </c>
      <c r="B589" s="201">
        <f t="shared" si="1"/>
        <v>0</v>
      </c>
      <c r="D589" s="740" t="str">
        <f>'Semana 5'!W42</f>
        <v/>
      </c>
      <c r="E589" s="775"/>
      <c r="F589" s="774" t="str">
        <f>'Semana 5'!AE42</f>
        <v/>
      </c>
      <c r="G589" s="774" t="str">
        <f>'Semana 5'!AA42</f>
        <v/>
      </c>
      <c r="H589" s="776"/>
      <c r="K589" s="776"/>
    </row>
    <row r="590">
      <c r="A590" s="774" t="str">
        <f>'Semana 5'!AD44</f>
        <v/>
      </c>
      <c r="B590" s="201">
        <f t="shared" si="1"/>
        <v>0</v>
      </c>
      <c r="D590" s="740" t="str">
        <f>'Semana 5'!W44</f>
        <v/>
      </c>
      <c r="E590" s="775"/>
      <c r="F590" s="774" t="str">
        <f>'Semana 5'!AE44</f>
        <v/>
      </c>
      <c r="G590" s="774" t="str">
        <f>'Semana 5'!AA44</f>
        <v/>
      </c>
      <c r="H590" s="776"/>
      <c r="K590" s="776"/>
    </row>
    <row r="591">
      <c r="A591" s="774" t="str">
        <f>'Semana 5'!AD46</f>
        <v/>
      </c>
      <c r="B591" s="201">
        <f t="shared" si="1"/>
        <v>0</v>
      </c>
      <c r="D591" s="740" t="str">
        <f>'Semana 5'!W46</f>
        <v/>
      </c>
      <c r="E591" s="775"/>
      <c r="F591" s="774" t="str">
        <f>'Semana 5'!AE46</f>
        <v/>
      </c>
      <c r="G591" s="774" t="str">
        <f>'Semana 5'!AA46</f>
        <v/>
      </c>
      <c r="H591" s="776"/>
      <c r="K591" s="776"/>
    </row>
    <row r="592">
      <c r="A592" s="774" t="str">
        <f>'Semana 5'!AD48</f>
        <v/>
      </c>
      <c r="B592" s="201">
        <f t="shared" si="1"/>
        <v>0</v>
      </c>
      <c r="D592" s="740" t="str">
        <f>'Semana 5'!W48</f>
        <v/>
      </c>
      <c r="E592" s="775"/>
      <c r="F592" s="774" t="str">
        <f>'Semana 5'!AE48</f>
        <v/>
      </c>
      <c r="G592" s="774" t="str">
        <f>'Semana 5'!AA48</f>
        <v/>
      </c>
      <c r="H592" s="776"/>
      <c r="K592" s="776"/>
    </row>
    <row r="593">
      <c r="A593" s="774" t="str">
        <f>'Semana 5'!AD50</f>
        <v/>
      </c>
      <c r="B593" s="201">
        <f t="shared" si="1"/>
        <v>0</v>
      </c>
      <c r="D593" s="740" t="str">
        <f>'Semana 5'!W50</f>
        <v/>
      </c>
      <c r="E593" s="775"/>
      <c r="F593" s="774" t="str">
        <f>'Semana 5'!AE50</f>
        <v/>
      </c>
      <c r="G593" s="774" t="str">
        <f>'Semana 5'!AA50</f>
        <v/>
      </c>
      <c r="H593" s="776"/>
      <c r="K593" s="776"/>
    </row>
    <row r="594">
      <c r="A594" s="774" t="str">
        <f>'Semana 5'!AD52</f>
        <v/>
      </c>
      <c r="B594" s="201">
        <f t="shared" si="1"/>
        <v>0</v>
      </c>
      <c r="D594" s="740" t="str">
        <f>'Semana 5'!W52</f>
        <v/>
      </c>
      <c r="E594" s="775"/>
      <c r="F594" s="774" t="str">
        <f>'Semana 5'!AE52</f>
        <v/>
      </c>
      <c r="G594" s="774" t="str">
        <f>'Semana 5'!AA52</f>
        <v/>
      </c>
      <c r="H594" s="776"/>
      <c r="K594" s="776"/>
    </row>
    <row r="595">
      <c r="A595" s="774" t="str">
        <f>'Semana 5'!AD54</f>
        <v/>
      </c>
      <c r="B595" s="201">
        <f t="shared" si="1"/>
        <v>0</v>
      </c>
      <c r="D595" s="740" t="str">
        <f>'Semana 5'!W54</f>
        <v/>
      </c>
      <c r="E595" s="775"/>
      <c r="F595" s="774" t="str">
        <f>'Semana 5'!AE54</f>
        <v/>
      </c>
      <c r="G595" s="774" t="str">
        <f>'Semana 5'!AA54</f>
        <v/>
      </c>
      <c r="H595" s="776"/>
      <c r="K595" s="776"/>
    </row>
    <row r="596">
      <c r="A596" s="774" t="str">
        <f>'Semana 5'!AD56</f>
        <v/>
      </c>
      <c r="B596" s="201">
        <f t="shared" si="1"/>
        <v>0</v>
      </c>
      <c r="D596" s="740" t="str">
        <f>'Semana 5'!W56</f>
        <v/>
      </c>
      <c r="E596" s="775"/>
      <c r="F596" s="774" t="str">
        <f>'Semana 5'!AE56</f>
        <v/>
      </c>
      <c r="G596" s="774" t="str">
        <f>'Semana 5'!AA56</f>
        <v/>
      </c>
      <c r="H596" s="776"/>
      <c r="K596" s="776"/>
    </row>
    <row r="597">
      <c r="A597" s="774" t="str">
        <f>'Semana 5'!AD58</f>
        <v/>
      </c>
      <c r="B597" s="201">
        <f t="shared" si="1"/>
        <v>0</v>
      </c>
      <c r="D597" s="740" t="str">
        <f>'Semana 5'!W58</f>
        <v/>
      </c>
      <c r="E597" s="775"/>
      <c r="F597" s="774" t="str">
        <f>'Semana 5'!AE58</f>
        <v/>
      </c>
      <c r="G597" s="774" t="str">
        <f>'Semana 5'!AA58</f>
        <v/>
      </c>
      <c r="H597" s="776"/>
      <c r="K597" s="776"/>
    </row>
    <row r="598">
      <c r="A598" s="774" t="str">
        <f>'Semana 5'!AD60</f>
        <v/>
      </c>
      <c r="B598" s="201">
        <f t="shared" si="1"/>
        <v>0</v>
      </c>
      <c r="D598" s="740" t="str">
        <f>'Semana 5'!W60</f>
        <v/>
      </c>
      <c r="E598" s="775"/>
      <c r="F598" s="774" t="str">
        <f>'Semana 5'!AE60</f>
        <v/>
      </c>
      <c r="G598" s="774" t="str">
        <f>'Semana 5'!AA60</f>
        <v/>
      </c>
      <c r="H598" s="776"/>
      <c r="K598" s="776"/>
    </row>
    <row r="599">
      <c r="A599" s="774" t="str">
        <f>'Semana 5'!AD62</f>
        <v/>
      </c>
      <c r="B599" s="201">
        <f t="shared" si="1"/>
        <v>0</v>
      </c>
      <c r="D599" s="740" t="str">
        <f>'Semana 5'!W62</f>
        <v/>
      </c>
      <c r="E599" s="775"/>
      <c r="F599" s="774" t="str">
        <f>'Semana 5'!AE62</f>
        <v/>
      </c>
      <c r="G599" s="774" t="str">
        <f>'Semana 5'!AA62</f>
        <v/>
      </c>
      <c r="H599" s="776"/>
      <c r="K599" s="776"/>
    </row>
    <row r="600">
      <c r="A600" s="774" t="str">
        <f>'Semana 5'!AD64</f>
        <v/>
      </c>
      <c r="B600" s="201">
        <f t="shared" si="1"/>
        <v>0</v>
      </c>
      <c r="D600" s="740" t="str">
        <f>'Semana 5'!W64</f>
        <v/>
      </c>
      <c r="E600" s="775"/>
      <c r="F600" s="774" t="str">
        <f>'Semana 5'!AE64</f>
        <v/>
      </c>
      <c r="G600" s="774" t="str">
        <f>'Semana 5'!AA64</f>
        <v/>
      </c>
      <c r="H600" s="776"/>
      <c r="K600" s="776"/>
    </row>
    <row r="601">
      <c r="A601" s="774" t="str">
        <f>'Semana 5'!AU26</f>
        <v/>
      </c>
      <c r="B601" s="201">
        <f t="shared" si="1"/>
        <v>0</v>
      </c>
      <c r="D601" s="740" t="str">
        <f>'Semana 5'!AN26</f>
        <v/>
      </c>
      <c r="E601" s="775"/>
      <c r="F601" s="774" t="str">
        <f>'Semana 5'!AV26</f>
        <v/>
      </c>
      <c r="G601" s="774" t="str">
        <f>'Semana 5'!AR26</f>
        <v/>
      </c>
      <c r="H601" s="776"/>
      <c r="K601" s="776"/>
    </row>
    <row r="602">
      <c r="A602" s="774" t="str">
        <f>'Semana 5'!AU28</f>
        <v/>
      </c>
      <c r="B602" s="201">
        <f t="shared" si="1"/>
        <v>0</v>
      </c>
      <c r="D602" s="740" t="str">
        <f>'Semana 5'!AN28</f>
        <v/>
      </c>
      <c r="E602" s="775"/>
      <c r="F602" s="774" t="str">
        <f>'Semana 5'!AV28</f>
        <v/>
      </c>
      <c r="G602" s="774" t="str">
        <f>'Semana 5'!AR28</f>
        <v/>
      </c>
      <c r="H602" s="776"/>
      <c r="K602" s="776"/>
    </row>
    <row r="603">
      <c r="A603" s="774" t="str">
        <f>'Semana 5'!AU30</f>
        <v/>
      </c>
      <c r="B603" s="201">
        <f t="shared" si="1"/>
        <v>0</v>
      </c>
      <c r="D603" s="740" t="str">
        <f>'Semana 5'!AN30</f>
        <v/>
      </c>
      <c r="E603" s="775"/>
      <c r="F603" s="774" t="str">
        <f>'Semana 5'!AV30</f>
        <v/>
      </c>
      <c r="G603" s="774" t="str">
        <f>'Semana 5'!AR30</f>
        <v/>
      </c>
      <c r="H603" s="776"/>
      <c r="K603" s="776"/>
    </row>
    <row r="604">
      <c r="A604" s="774" t="str">
        <f>'Semana 5'!AU32</f>
        <v/>
      </c>
      <c r="B604" s="201">
        <f t="shared" si="1"/>
        <v>0</v>
      </c>
      <c r="D604" s="740" t="str">
        <f>'Semana 5'!AN32</f>
        <v/>
      </c>
      <c r="E604" s="775"/>
      <c r="F604" s="774" t="str">
        <f>'Semana 5'!AV32</f>
        <v/>
      </c>
      <c r="G604" s="774" t="str">
        <f>'Semana 5'!AR32</f>
        <v/>
      </c>
      <c r="H604" s="776"/>
      <c r="K604" s="776"/>
    </row>
    <row r="605">
      <c r="A605" s="774" t="str">
        <f>'Semana 5'!AU34</f>
        <v/>
      </c>
      <c r="B605" s="201">
        <f t="shared" si="1"/>
        <v>0</v>
      </c>
      <c r="D605" s="740" t="str">
        <f>'Semana 5'!AN34</f>
        <v/>
      </c>
      <c r="E605" s="775"/>
      <c r="F605" s="774" t="str">
        <f>'Semana 5'!AV34</f>
        <v/>
      </c>
      <c r="G605" s="774" t="str">
        <f>'Semana 5'!AR34</f>
        <v/>
      </c>
      <c r="H605" s="776"/>
      <c r="K605" s="776"/>
    </row>
    <row r="606">
      <c r="A606" s="774" t="str">
        <f>'Semana 5'!AU36</f>
        <v/>
      </c>
      <c r="B606" s="201">
        <f t="shared" si="1"/>
        <v>0</v>
      </c>
      <c r="D606" s="740" t="str">
        <f>'Semana 5'!AN36</f>
        <v/>
      </c>
      <c r="E606" s="775"/>
      <c r="F606" s="774" t="str">
        <f>'Semana 5'!AV36</f>
        <v/>
      </c>
      <c r="G606" s="774" t="str">
        <f>'Semana 5'!AR36</f>
        <v/>
      </c>
      <c r="H606" s="776"/>
      <c r="K606" s="776"/>
    </row>
    <row r="607">
      <c r="A607" s="774" t="str">
        <f>'Semana 5'!AU38</f>
        <v/>
      </c>
      <c r="B607" s="201">
        <f t="shared" si="1"/>
        <v>0</v>
      </c>
      <c r="D607" s="740" t="str">
        <f>'Semana 5'!AN38</f>
        <v/>
      </c>
      <c r="E607" s="775"/>
      <c r="F607" s="774" t="str">
        <f>'Semana 5'!AV38</f>
        <v/>
      </c>
      <c r="G607" s="774" t="str">
        <f>'Semana 5'!AR38</f>
        <v/>
      </c>
      <c r="H607" s="776"/>
      <c r="K607" s="776"/>
    </row>
    <row r="608">
      <c r="A608" s="774" t="str">
        <f>'Semana 5'!AU40</f>
        <v/>
      </c>
      <c r="B608" s="201">
        <f t="shared" si="1"/>
        <v>0</v>
      </c>
      <c r="D608" s="740" t="str">
        <f>'Semana 5'!AN40</f>
        <v/>
      </c>
      <c r="E608" s="775"/>
      <c r="F608" s="774" t="str">
        <f>'Semana 5'!AV40</f>
        <v/>
      </c>
      <c r="G608" s="774" t="str">
        <f>'Semana 5'!AR40</f>
        <v/>
      </c>
      <c r="H608" s="776"/>
      <c r="K608" s="776"/>
    </row>
    <row r="609">
      <c r="A609" s="774" t="str">
        <f>'Semana 5'!AU42</f>
        <v/>
      </c>
      <c r="B609" s="201">
        <f t="shared" si="1"/>
        <v>0</v>
      </c>
      <c r="D609" s="740" t="str">
        <f>'Semana 5'!AN42</f>
        <v/>
      </c>
      <c r="E609" s="775"/>
      <c r="F609" s="774" t="str">
        <f>'Semana 5'!AV42</f>
        <v/>
      </c>
      <c r="G609" s="774" t="str">
        <f>'Semana 5'!AR42</f>
        <v/>
      </c>
      <c r="H609" s="776"/>
      <c r="K609" s="776"/>
    </row>
    <row r="610">
      <c r="A610" s="774" t="str">
        <f>'Semana 5'!AU44</f>
        <v/>
      </c>
      <c r="B610" s="201">
        <f t="shared" si="1"/>
        <v>0</v>
      </c>
      <c r="D610" s="740" t="str">
        <f>'Semana 5'!AN44</f>
        <v/>
      </c>
      <c r="E610" s="775"/>
      <c r="F610" s="774" t="str">
        <f>'Semana 5'!AV44</f>
        <v/>
      </c>
      <c r="G610" s="774" t="str">
        <f>'Semana 5'!AR44</f>
        <v/>
      </c>
      <c r="H610" s="776"/>
      <c r="K610" s="776"/>
    </row>
    <row r="611">
      <c r="A611" s="774" t="str">
        <f>'Semana 5'!AU46</f>
        <v/>
      </c>
      <c r="B611" s="201">
        <f t="shared" si="1"/>
        <v>0</v>
      </c>
      <c r="D611" s="740" t="str">
        <f>'Semana 5'!AN46</f>
        <v/>
      </c>
      <c r="E611" s="775"/>
      <c r="F611" s="774" t="str">
        <f>'Semana 5'!AV46</f>
        <v/>
      </c>
      <c r="G611" s="774" t="str">
        <f>'Semana 5'!AR46</f>
        <v/>
      </c>
      <c r="H611" s="776"/>
      <c r="K611" s="776"/>
    </row>
    <row r="612">
      <c r="A612" s="774" t="str">
        <f>'Semana 5'!AU48</f>
        <v/>
      </c>
      <c r="B612" s="201">
        <f t="shared" si="1"/>
        <v>0</v>
      </c>
      <c r="D612" s="740" t="str">
        <f>'Semana 5'!AN48</f>
        <v/>
      </c>
      <c r="E612" s="775"/>
      <c r="F612" s="774" t="str">
        <f>'Semana 5'!AV48</f>
        <v/>
      </c>
      <c r="G612" s="774" t="str">
        <f>'Semana 5'!AR48</f>
        <v/>
      </c>
      <c r="H612" s="776"/>
      <c r="K612" s="776"/>
    </row>
    <row r="613">
      <c r="A613" s="774" t="str">
        <f>'Semana 5'!AU50</f>
        <v/>
      </c>
      <c r="B613" s="201">
        <f t="shared" si="1"/>
        <v>0</v>
      </c>
      <c r="D613" s="740" t="str">
        <f>'Semana 5'!AN50</f>
        <v/>
      </c>
      <c r="E613" s="775"/>
      <c r="F613" s="774" t="str">
        <f>'Semana 5'!AV50</f>
        <v/>
      </c>
      <c r="G613" s="774" t="str">
        <f>'Semana 5'!AR50</f>
        <v/>
      </c>
      <c r="H613" s="776"/>
      <c r="K613" s="776"/>
    </row>
    <row r="614">
      <c r="A614" s="774" t="str">
        <f>'Semana 5'!AU52</f>
        <v/>
      </c>
      <c r="B614" s="201">
        <f t="shared" si="1"/>
        <v>0</v>
      </c>
      <c r="D614" s="740" t="str">
        <f>'Semana 5'!AN52</f>
        <v/>
      </c>
      <c r="E614" s="775"/>
      <c r="F614" s="774" t="str">
        <f>'Semana 5'!AV52</f>
        <v/>
      </c>
      <c r="G614" s="774" t="str">
        <f>'Semana 5'!AR52</f>
        <v/>
      </c>
      <c r="H614" s="776"/>
      <c r="K614" s="776"/>
    </row>
    <row r="615">
      <c r="A615" s="774" t="str">
        <f>'Semana 5'!AU54</f>
        <v/>
      </c>
      <c r="B615" s="201">
        <f t="shared" si="1"/>
        <v>0</v>
      </c>
      <c r="D615" s="740" t="str">
        <f>'Semana 5'!AN54</f>
        <v/>
      </c>
      <c r="E615" s="775"/>
      <c r="F615" s="774" t="str">
        <f>'Semana 5'!AV54</f>
        <v/>
      </c>
      <c r="G615" s="774" t="str">
        <f>'Semana 5'!AR54</f>
        <v/>
      </c>
      <c r="H615" s="776"/>
      <c r="K615" s="776"/>
    </row>
    <row r="616">
      <c r="A616" s="774" t="str">
        <f>'Semana 5'!AU56</f>
        <v/>
      </c>
      <c r="B616" s="201">
        <f t="shared" si="1"/>
        <v>0</v>
      </c>
      <c r="D616" s="740" t="str">
        <f>'Semana 5'!AN56</f>
        <v/>
      </c>
      <c r="E616" s="775"/>
      <c r="F616" s="774" t="str">
        <f>'Semana 5'!AV56</f>
        <v/>
      </c>
      <c r="G616" s="774" t="str">
        <f>'Semana 5'!AR56</f>
        <v/>
      </c>
      <c r="H616" s="776"/>
      <c r="K616" s="776"/>
    </row>
    <row r="617">
      <c r="A617" s="774" t="str">
        <f>'Semana 5'!AU58</f>
        <v/>
      </c>
      <c r="B617" s="201">
        <f t="shared" si="1"/>
        <v>0</v>
      </c>
      <c r="D617" s="740" t="str">
        <f>'Semana 5'!AN58</f>
        <v/>
      </c>
      <c r="E617" s="775"/>
      <c r="F617" s="774" t="str">
        <f>'Semana 5'!AV58</f>
        <v/>
      </c>
      <c r="G617" s="774" t="str">
        <f>'Semana 5'!AR58</f>
        <v/>
      </c>
      <c r="H617" s="776"/>
      <c r="K617" s="776"/>
    </row>
    <row r="618">
      <c r="A618" s="774" t="str">
        <f>'Semana 5'!AU60</f>
        <v/>
      </c>
      <c r="B618" s="201">
        <f t="shared" si="1"/>
        <v>0</v>
      </c>
      <c r="D618" s="740" t="str">
        <f>'Semana 5'!AN60</f>
        <v/>
      </c>
      <c r="E618" s="775"/>
      <c r="F618" s="774" t="str">
        <f>'Semana 5'!AV60</f>
        <v/>
      </c>
      <c r="G618" s="774" t="str">
        <f>'Semana 5'!AR60</f>
        <v/>
      </c>
      <c r="H618" s="776"/>
      <c r="K618" s="776"/>
    </row>
    <row r="619">
      <c r="A619" s="774" t="str">
        <f>'Semana 5'!AU62</f>
        <v/>
      </c>
      <c r="B619" s="201">
        <f t="shared" si="1"/>
        <v>0</v>
      </c>
      <c r="D619" s="740" t="str">
        <f>'Semana 5'!AN62</f>
        <v/>
      </c>
      <c r="E619" s="775"/>
      <c r="F619" s="774" t="str">
        <f>'Semana 5'!AV62</f>
        <v/>
      </c>
      <c r="G619" s="774" t="str">
        <f>'Semana 5'!AR62</f>
        <v/>
      </c>
      <c r="H619" s="776"/>
      <c r="K619" s="776"/>
    </row>
    <row r="620">
      <c r="A620" s="774" t="str">
        <f>'Semana 5'!AU64</f>
        <v/>
      </c>
      <c r="B620" s="201">
        <f t="shared" si="1"/>
        <v>0</v>
      </c>
      <c r="D620" s="740" t="str">
        <f>'Semana 5'!AN64</f>
        <v/>
      </c>
      <c r="E620" s="775"/>
      <c r="F620" s="774" t="str">
        <f>'Semana 5'!AV64</f>
        <v/>
      </c>
      <c r="G620" s="774" t="str">
        <f>'Semana 5'!AR64</f>
        <v/>
      </c>
      <c r="H620" s="776"/>
      <c r="K620" s="776"/>
    </row>
    <row r="621">
      <c r="A621" s="774" t="str">
        <f>'Semana 5'!BL26</f>
        <v/>
      </c>
      <c r="B621" s="201">
        <f t="shared" si="1"/>
        <v>0</v>
      </c>
      <c r="D621" s="740" t="str">
        <f>'Semana 5'!BE26</f>
        <v/>
      </c>
      <c r="E621" s="775"/>
      <c r="F621" s="774" t="str">
        <f>'Semana 5'!BM26</f>
        <v/>
      </c>
      <c r="G621" s="774" t="str">
        <f>'Semana 5'!BI26</f>
        <v/>
      </c>
      <c r="H621" s="776"/>
      <c r="K621" s="776"/>
    </row>
    <row r="622">
      <c r="A622" s="774" t="str">
        <f>'Semana 5'!BL28</f>
        <v/>
      </c>
      <c r="B622" s="201">
        <f t="shared" si="1"/>
        <v>0</v>
      </c>
      <c r="D622" s="740" t="str">
        <f>'Semana 5'!BE28</f>
        <v/>
      </c>
      <c r="E622" s="775"/>
      <c r="F622" s="774" t="str">
        <f>'Semana 5'!BM28</f>
        <v/>
      </c>
      <c r="G622" s="774" t="str">
        <f>'Semana 5'!BI28</f>
        <v/>
      </c>
      <c r="H622" s="776"/>
      <c r="K622" s="776"/>
    </row>
    <row r="623">
      <c r="A623" s="774" t="str">
        <f>'Semana 5'!BL30</f>
        <v/>
      </c>
      <c r="B623" s="201">
        <f t="shared" si="1"/>
        <v>0</v>
      </c>
      <c r="D623" s="740" t="str">
        <f>'Semana 5'!BE30</f>
        <v/>
      </c>
      <c r="E623" s="775"/>
      <c r="F623" s="774" t="str">
        <f>'Semana 5'!BM30</f>
        <v/>
      </c>
      <c r="G623" s="774" t="str">
        <f>'Semana 5'!BI30</f>
        <v/>
      </c>
      <c r="H623" s="776"/>
      <c r="K623" s="776"/>
    </row>
    <row r="624">
      <c r="A624" s="774" t="str">
        <f>'Semana 5'!BL32</f>
        <v/>
      </c>
      <c r="B624" s="201">
        <f t="shared" si="1"/>
        <v>0</v>
      </c>
      <c r="D624" s="740" t="str">
        <f>'Semana 5'!BE32</f>
        <v/>
      </c>
      <c r="E624" s="775"/>
      <c r="F624" s="774" t="str">
        <f>'Semana 5'!BM32</f>
        <v/>
      </c>
      <c r="G624" s="774" t="str">
        <f>'Semana 5'!BI32</f>
        <v/>
      </c>
      <c r="H624" s="776"/>
      <c r="K624" s="776"/>
    </row>
    <row r="625">
      <c r="A625" s="774" t="str">
        <f>'Semana 5'!BL34</f>
        <v/>
      </c>
      <c r="B625" s="201">
        <f t="shared" si="1"/>
        <v>0</v>
      </c>
      <c r="D625" s="740" t="str">
        <f>'Semana 5'!BE34</f>
        <v/>
      </c>
      <c r="E625" s="775"/>
      <c r="F625" s="774" t="str">
        <f>'Semana 5'!BM34</f>
        <v/>
      </c>
      <c r="G625" s="774" t="str">
        <f>'Semana 5'!BI34</f>
        <v/>
      </c>
      <c r="H625" s="776"/>
      <c r="K625" s="776"/>
    </row>
    <row r="626">
      <c r="A626" s="774" t="str">
        <f>'Semana 5'!BL36</f>
        <v/>
      </c>
      <c r="B626" s="201">
        <f t="shared" si="1"/>
        <v>0</v>
      </c>
      <c r="D626" s="740" t="str">
        <f>'Semana 5'!BE36</f>
        <v/>
      </c>
      <c r="E626" s="775"/>
      <c r="F626" s="774" t="str">
        <f>'Semana 5'!BM36</f>
        <v/>
      </c>
      <c r="G626" s="774" t="str">
        <f>'Semana 5'!BI36</f>
        <v/>
      </c>
      <c r="H626" s="776"/>
      <c r="K626" s="776"/>
    </row>
    <row r="627">
      <c r="A627" s="774" t="str">
        <f>'Semana 5'!BL38</f>
        <v/>
      </c>
      <c r="B627" s="201">
        <f t="shared" si="1"/>
        <v>0</v>
      </c>
      <c r="D627" s="740" t="str">
        <f>'Semana 5'!BE38</f>
        <v/>
      </c>
      <c r="E627" s="775"/>
      <c r="F627" s="774" t="str">
        <f>'Semana 5'!BM38</f>
        <v/>
      </c>
      <c r="G627" s="774" t="str">
        <f>'Semana 5'!BI38</f>
        <v/>
      </c>
      <c r="H627" s="776"/>
      <c r="K627" s="776"/>
    </row>
    <row r="628">
      <c r="A628" s="774" t="str">
        <f>'Semana 5'!BL40</f>
        <v/>
      </c>
      <c r="B628" s="201">
        <f t="shared" si="1"/>
        <v>0</v>
      </c>
      <c r="D628" s="740" t="str">
        <f>'Semana 5'!BE40</f>
        <v/>
      </c>
      <c r="E628" s="775"/>
      <c r="F628" s="774" t="str">
        <f>'Semana 5'!BM40</f>
        <v/>
      </c>
      <c r="G628" s="774" t="str">
        <f>'Semana 5'!BI40</f>
        <v/>
      </c>
      <c r="H628" s="776"/>
      <c r="K628" s="776"/>
    </row>
    <row r="629">
      <c r="A629" s="774" t="str">
        <f>'Semana 5'!BL42</f>
        <v/>
      </c>
      <c r="B629" s="201">
        <f t="shared" si="1"/>
        <v>0</v>
      </c>
      <c r="D629" s="740" t="str">
        <f>'Semana 5'!BE42</f>
        <v/>
      </c>
      <c r="E629" s="775"/>
      <c r="F629" s="774" t="str">
        <f>'Semana 5'!BM42</f>
        <v/>
      </c>
      <c r="G629" s="774" t="str">
        <f>'Semana 5'!BI42</f>
        <v/>
      </c>
      <c r="H629" s="776"/>
      <c r="K629" s="776"/>
    </row>
    <row r="630">
      <c r="A630" s="774" t="str">
        <f>'Semana 5'!BL44</f>
        <v/>
      </c>
      <c r="B630" s="201">
        <f t="shared" si="1"/>
        <v>0</v>
      </c>
      <c r="D630" s="740" t="str">
        <f>'Semana 5'!BE44</f>
        <v/>
      </c>
      <c r="E630" s="775"/>
      <c r="F630" s="774" t="str">
        <f>'Semana 5'!BM44</f>
        <v/>
      </c>
      <c r="G630" s="774" t="str">
        <f>'Semana 5'!BI44</f>
        <v/>
      </c>
      <c r="H630" s="776"/>
      <c r="K630" s="776"/>
    </row>
    <row r="631">
      <c r="A631" s="774" t="str">
        <f>'Semana 5'!BL46</f>
        <v/>
      </c>
      <c r="B631" s="201">
        <f t="shared" si="1"/>
        <v>0</v>
      </c>
      <c r="D631" s="740" t="str">
        <f>'Semana 5'!BE46</f>
        <v/>
      </c>
      <c r="E631" s="775"/>
      <c r="F631" s="774" t="str">
        <f>'Semana 5'!BM46</f>
        <v/>
      </c>
      <c r="G631" s="774" t="str">
        <f>'Semana 5'!BI46</f>
        <v/>
      </c>
      <c r="H631" s="776"/>
      <c r="K631" s="776"/>
    </row>
    <row r="632">
      <c r="A632" s="774" t="str">
        <f>'Semana 5'!BL48</f>
        <v/>
      </c>
      <c r="B632" s="201">
        <f t="shared" si="1"/>
        <v>0</v>
      </c>
      <c r="D632" s="740" t="str">
        <f>'Semana 5'!BE48</f>
        <v/>
      </c>
      <c r="E632" s="775"/>
      <c r="F632" s="774" t="str">
        <f>'Semana 5'!BM48</f>
        <v/>
      </c>
      <c r="G632" s="774" t="str">
        <f>'Semana 5'!BI48</f>
        <v/>
      </c>
      <c r="H632" s="776"/>
      <c r="K632" s="776"/>
    </row>
    <row r="633">
      <c r="A633" s="774" t="str">
        <f>'Semana 5'!BL50</f>
        <v/>
      </c>
      <c r="B633" s="201">
        <f t="shared" si="1"/>
        <v>0</v>
      </c>
      <c r="D633" s="740" t="str">
        <f>'Semana 5'!BE50</f>
        <v/>
      </c>
      <c r="E633" s="775"/>
      <c r="F633" s="774" t="str">
        <f>'Semana 5'!BM50</f>
        <v/>
      </c>
      <c r="G633" s="774" t="str">
        <f>'Semana 5'!BI50</f>
        <v/>
      </c>
      <c r="H633" s="776"/>
      <c r="K633" s="776"/>
    </row>
    <row r="634">
      <c r="A634" s="774" t="str">
        <f>'Semana 5'!BL52</f>
        <v/>
      </c>
      <c r="B634" s="201">
        <f t="shared" si="1"/>
        <v>0</v>
      </c>
      <c r="D634" s="740" t="str">
        <f>'Semana 5'!BE52</f>
        <v/>
      </c>
      <c r="E634" s="775"/>
      <c r="F634" s="774" t="str">
        <f>'Semana 5'!BM52</f>
        <v/>
      </c>
      <c r="G634" s="774" t="str">
        <f>'Semana 5'!BI52</f>
        <v/>
      </c>
      <c r="H634" s="776"/>
      <c r="K634" s="776"/>
    </row>
    <row r="635">
      <c r="A635" s="774" t="str">
        <f>'Semana 5'!BL54</f>
        <v/>
      </c>
      <c r="B635" s="201">
        <f t="shared" si="1"/>
        <v>0</v>
      </c>
      <c r="D635" s="740" t="str">
        <f>'Semana 5'!BE54</f>
        <v/>
      </c>
      <c r="E635" s="775"/>
      <c r="F635" s="774" t="str">
        <f>'Semana 5'!BM54</f>
        <v/>
      </c>
      <c r="G635" s="774" t="str">
        <f>'Semana 5'!BI54</f>
        <v/>
      </c>
      <c r="H635" s="776"/>
      <c r="K635" s="776"/>
    </row>
    <row r="636">
      <c r="A636" s="774" t="str">
        <f>'Semana 5'!BL56</f>
        <v/>
      </c>
      <c r="B636" s="201">
        <f t="shared" si="1"/>
        <v>0</v>
      </c>
      <c r="D636" s="740" t="str">
        <f>'Semana 5'!BE56</f>
        <v/>
      </c>
      <c r="E636" s="775"/>
      <c r="F636" s="774" t="str">
        <f>'Semana 5'!BM56</f>
        <v/>
      </c>
      <c r="G636" s="774" t="str">
        <f>'Semana 5'!BI56</f>
        <v/>
      </c>
      <c r="H636" s="776"/>
      <c r="K636" s="776"/>
    </row>
    <row r="637">
      <c r="A637" s="774" t="str">
        <f>'Semana 5'!BL58</f>
        <v/>
      </c>
      <c r="B637" s="201">
        <f t="shared" si="1"/>
        <v>0</v>
      </c>
      <c r="D637" s="740" t="str">
        <f>'Semana 5'!BE58</f>
        <v/>
      </c>
      <c r="E637" s="775"/>
      <c r="F637" s="774" t="str">
        <f>'Semana 5'!BM58</f>
        <v/>
      </c>
      <c r="G637" s="774" t="str">
        <f>'Semana 5'!BI58</f>
        <v/>
      </c>
      <c r="H637" s="776"/>
      <c r="K637" s="776"/>
    </row>
    <row r="638">
      <c r="A638" s="774" t="str">
        <f>'Semana 5'!BL60</f>
        <v/>
      </c>
      <c r="B638" s="201">
        <f t="shared" si="1"/>
        <v>0</v>
      </c>
      <c r="D638" s="740" t="str">
        <f>'Semana 5'!BE60</f>
        <v/>
      </c>
      <c r="E638" s="775"/>
      <c r="F638" s="774" t="str">
        <f>'Semana 5'!BM60</f>
        <v/>
      </c>
      <c r="G638" s="774" t="str">
        <f>'Semana 5'!BI60</f>
        <v/>
      </c>
      <c r="H638" s="776"/>
      <c r="K638" s="776"/>
    </row>
    <row r="639">
      <c r="A639" s="774" t="str">
        <f>'Semana 5'!BL62</f>
        <v/>
      </c>
      <c r="B639" s="201">
        <f t="shared" si="1"/>
        <v>0</v>
      </c>
      <c r="D639" s="740" t="str">
        <f>'Semana 5'!BE62</f>
        <v/>
      </c>
      <c r="E639" s="775"/>
      <c r="F639" s="774" t="str">
        <f>'Semana 5'!BM62</f>
        <v/>
      </c>
      <c r="G639" s="774" t="str">
        <f>'Semana 5'!BI62</f>
        <v/>
      </c>
      <c r="H639" s="776"/>
      <c r="K639" s="776"/>
    </row>
    <row r="640">
      <c r="A640" s="774" t="str">
        <f>'Semana 5'!BL64</f>
        <v/>
      </c>
      <c r="B640" s="201">
        <f t="shared" si="1"/>
        <v>0</v>
      </c>
      <c r="D640" s="740" t="str">
        <f>'Semana 5'!BE64</f>
        <v/>
      </c>
      <c r="E640" s="775"/>
      <c r="F640" s="774" t="str">
        <f>'Semana 5'!BM64</f>
        <v/>
      </c>
      <c r="G640" s="774" t="str">
        <f>'Semana 5'!BI64</f>
        <v/>
      </c>
      <c r="H640" s="776"/>
      <c r="K640" s="776"/>
    </row>
    <row r="641">
      <c r="A641" s="774" t="str">
        <f>'Semana 5'!CC26</f>
        <v/>
      </c>
      <c r="B641" s="201">
        <f t="shared" si="1"/>
        <v>0</v>
      </c>
      <c r="D641" s="740" t="str">
        <f>'Semana 5'!BV26</f>
        <v/>
      </c>
      <c r="E641" s="775"/>
      <c r="F641" s="774" t="str">
        <f>'Semana 5'!CD26</f>
        <v/>
      </c>
      <c r="G641" s="774" t="str">
        <f>'Semana 5'!BZ26</f>
        <v/>
      </c>
      <c r="H641" s="776"/>
      <c r="K641" s="776"/>
    </row>
    <row r="642">
      <c r="A642" s="774" t="str">
        <f>'Semana 5'!CC28</f>
        <v/>
      </c>
      <c r="B642" s="201">
        <f t="shared" si="1"/>
        <v>0</v>
      </c>
      <c r="D642" s="740" t="str">
        <f>'Semana 5'!BV28</f>
        <v/>
      </c>
      <c r="E642" s="775"/>
      <c r="F642" s="774" t="str">
        <f>'Semana 5'!CD28</f>
        <v/>
      </c>
      <c r="G642" s="774" t="str">
        <f>'Semana 5'!BZ28</f>
        <v/>
      </c>
      <c r="H642" s="776"/>
      <c r="K642" s="776"/>
    </row>
    <row r="643">
      <c r="A643" s="774" t="str">
        <f>'Semana 5'!CC30</f>
        <v/>
      </c>
      <c r="B643" s="201">
        <f t="shared" si="1"/>
        <v>0</v>
      </c>
      <c r="D643" s="740" t="str">
        <f>'Semana 5'!BV30</f>
        <v/>
      </c>
      <c r="E643" s="775"/>
      <c r="F643" s="774" t="str">
        <f>'Semana 5'!CD30</f>
        <v/>
      </c>
      <c r="G643" s="774" t="str">
        <f>'Semana 5'!BZ30</f>
        <v/>
      </c>
      <c r="H643" s="776"/>
      <c r="K643" s="776"/>
    </row>
    <row r="644">
      <c r="A644" s="774" t="str">
        <f>'Semana 5'!CC32</f>
        <v/>
      </c>
      <c r="B644" s="201">
        <f t="shared" si="1"/>
        <v>0</v>
      </c>
      <c r="D644" s="740" t="str">
        <f>'Semana 5'!BV32</f>
        <v/>
      </c>
      <c r="E644" s="775"/>
      <c r="F644" s="774" t="str">
        <f>'Semana 5'!CD32</f>
        <v/>
      </c>
      <c r="G644" s="774" t="str">
        <f>'Semana 5'!BZ32</f>
        <v/>
      </c>
      <c r="H644" s="776"/>
      <c r="K644" s="776"/>
    </row>
    <row r="645">
      <c r="A645" s="774" t="str">
        <f>'Semana 5'!CC34</f>
        <v/>
      </c>
      <c r="B645" s="201">
        <f t="shared" si="1"/>
        <v>0</v>
      </c>
      <c r="D645" s="740" t="str">
        <f>'Semana 5'!BV34</f>
        <v/>
      </c>
      <c r="E645" s="775"/>
      <c r="F645" s="774" t="str">
        <f>'Semana 5'!CD34</f>
        <v/>
      </c>
      <c r="G645" s="774" t="str">
        <f>'Semana 5'!BZ34</f>
        <v/>
      </c>
      <c r="H645" s="776"/>
      <c r="K645" s="776"/>
    </row>
    <row r="646">
      <c r="A646" s="774" t="str">
        <f>'Semana 5'!CC36</f>
        <v/>
      </c>
      <c r="B646" s="201">
        <f t="shared" si="1"/>
        <v>0</v>
      </c>
      <c r="D646" s="740" t="str">
        <f>'Semana 5'!BV36</f>
        <v/>
      </c>
      <c r="E646" s="775"/>
      <c r="F646" s="774" t="str">
        <f>'Semana 5'!CD36</f>
        <v/>
      </c>
      <c r="G646" s="774" t="str">
        <f>'Semana 5'!BZ36</f>
        <v/>
      </c>
      <c r="H646" s="776"/>
      <c r="K646" s="776"/>
    </row>
    <row r="647">
      <c r="A647" s="774" t="str">
        <f>'Semana 5'!CC38</f>
        <v/>
      </c>
      <c r="B647" s="201">
        <f t="shared" si="1"/>
        <v>0</v>
      </c>
      <c r="D647" s="740" t="str">
        <f>'Semana 5'!BV38</f>
        <v/>
      </c>
      <c r="E647" s="775"/>
      <c r="F647" s="774" t="str">
        <f>'Semana 5'!CD38</f>
        <v/>
      </c>
      <c r="G647" s="774" t="str">
        <f>'Semana 5'!BZ38</f>
        <v/>
      </c>
      <c r="H647" s="776"/>
      <c r="K647" s="776"/>
    </row>
    <row r="648">
      <c r="A648" s="774" t="str">
        <f>'Semana 5'!CC40</f>
        <v/>
      </c>
      <c r="B648" s="201">
        <f t="shared" si="1"/>
        <v>0</v>
      </c>
      <c r="D648" s="740" t="str">
        <f>'Semana 5'!BV40</f>
        <v/>
      </c>
      <c r="E648" s="775"/>
      <c r="F648" s="774" t="str">
        <f>'Semana 5'!CD40</f>
        <v/>
      </c>
      <c r="G648" s="774" t="str">
        <f>'Semana 5'!BZ40</f>
        <v/>
      </c>
      <c r="H648" s="776"/>
      <c r="K648" s="776"/>
    </row>
    <row r="649">
      <c r="A649" s="774" t="str">
        <f>'Semana 5'!CC42</f>
        <v/>
      </c>
      <c r="B649" s="201">
        <f t="shared" si="1"/>
        <v>0</v>
      </c>
      <c r="D649" s="740" t="str">
        <f>'Semana 5'!BV42</f>
        <v/>
      </c>
      <c r="E649" s="775"/>
      <c r="F649" s="774" t="str">
        <f>'Semana 5'!CD42</f>
        <v/>
      </c>
      <c r="G649" s="774" t="str">
        <f>'Semana 5'!BZ42</f>
        <v/>
      </c>
      <c r="H649" s="776"/>
      <c r="K649" s="776"/>
    </row>
    <row r="650">
      <c r="A650" s="774" t="str">
        <f>'Semana 5'!CC44</f>
        <v/>
      </c>
      <c r="B650" s="201">
        <f t="shared" si="1"/>
        <v>0</v>
      </c>
      <c r="D650" s="740" t="str">
        <f>'Semana 5'!BV44</f>
        <v/>
      </c>
      <c r="E650" s="775"/>
      <c r="F650" s="774" t="str">
        <f>'Semana 5'!CD44</f>
        <v/>
      </c>
      <c r="G650" s="774" t="str">
        <f>'Semana 5'!BZ44</f>
        <v/>
      </c>
      <c r="H650" s="776"/>
      <c r="K650" s="776"/>
    </row>
    <row r="651">
      <c r="A651" s="774" t="str">
        <f>'Semana 5'!CC46</f>
        <v/>
      </c>
      <c r="B651" s="201">
        <f t="shared" si="1"/>
        <v>0</v>
      </c>
      <c r="D651" s="740" t="str">
        <f>'Semana 5'!BV46</f>
        <v/>
      </c>
      <c r="E651" s="775"/>
      <c r="F651" s="774" t="str">
        <f>'Semana 5'!CD46</f>
        <v/>
      </c>
      <c r="G651" s="774" t="str">
        <f>'Semana 5'!BZ46</f>
        <v/>
      </c>
      <c r="H651" s="776"/>
      <c r="K651" s="776"/>
    </row>
    <row r="652">
      <c r="A652" s="774" t="str">
        <f>'Semana 5'!CC48</f>
        <v/>
      </c>
      <c r="B652" s="201">
        <f t="shared" si="1"/>
        <v>0</v>
      </c>
      <c r="D652" s="740" t="str">
        <f>'Semana 5'!BV48</f>
        <v/>
      </c>
      <c r="E652" s="775"/>
      <c r="F652" s="774" t="str">
        <f>'Semana 5'!CD48</f>
        <v/>
      </c>
      <c r="G652" s="774" t="str">
        <f>'Semana 5'!BZ48</f>
        <v/>
      </c>
      <c r="H652" s="776"/>
      <c r="K652" s="776"/>
    </row>
    <row r="653">
      <c r="A653" s="774" t="str">
        <f>'Semana 5'!CC50</f>
        <v/>
      </c>
      <c r="B653" s="201">
        <f t="shared" si="1"/>
        <v>0</v>
      </c>
      <c r="D653" s="740" t="str">
        <f>'Semana 5'!BV50</f>
        <v/>
      </c>
      <c r="E653" s="775"/>
      <c r="F653" s="774" t="str">
        <f>'Semana 5'!CD50</f>
        <v/>
      </c>
      <c r="G653" s="774" t="str">
        <f>'Semana 5'!BZ50</f>
        <v/>
      </c>
      <c r="H653" s="776"/>
      <c r="K653" s="776"/>
    </row>
    <row r="654">
      <c r="A654" s="774" t="str">
        <f>'Semana 5'!CC52</f>
        <v/>
      </c>
      <c r="B654" s="201">
        <f t="shared" si="1"/>
        <v>0</v>
      </c>
      <c r="D654" s="740" t="str">
        <f>'Semana 5'!BV52</f>
        <v/>
      </c>
      <c r="E654" s="775"/>
      <c r="F654" s="774" t="str">
        <f>'Semana 5'!CD52</f>
        <v/>
      </c>
      <c r="G654" s="774" t="str">
        <f>'Semana 5'!BZ52</f>
        <v/>
      </c>
      <c r="H654" s="776"/>
      <c r="K654" s="776"/>
    </row>
    <row r="655">
      <c r="A655" s="774" t="str">
        <f>'Semana 5'!CC54</f>
        <v/>
      </c>
      <c r="B655" s="201">
        <f t="shared" si="1"/>
        <v>0</v>
      </c>
      <c r="D655" s="740" t="str">
        <f>'Semana 5'!BV54</f>
        <v/>
      </c>
      <c r="E655" s="775"/>
      <c r="F655" s="774" t="str">
        <f>'Semana 5'!CD54</f>
        <v/>
      </c>
      <c r="G655" s="774" t="str">
        <f>'Semana 5'!BZ54</f>
        <v/>
      </c>
      <c r="H655" s="776"/>
      <c r="K655" s="776"/>
    </row>
    <row r="656">
      <c r="A656" s="774" t="str">
        <f>'Semana 5'!CC56</f>
        <v/>
      </c>
      <c r="B656" s="201">
        <f t="shared" si="1"/>
        <v>0</v>
      </c>
      <c r="D656" s="740" t="str">
        <f>'Semana 5'!BV56</f>
        <v/>
      </c>
      <c r="E656" s="775"/>
      <c r="F656" s="774" t="str">
        <f>'Semana 5'!CD56</f>
        <v/>
      </c>
      <c r="G656" s="774" t="str">
        <f>'Semana 5'!BZ56</f>
        <v/>
      </c>
      <c r="H656" s="776"/>
      <c r="K656" s="776"/>
    </row>
    <row r="657">
      <c r="A657" s="774" t="str">
        <f>'Semana 5'!CC58</f>
        <v/>
      </c>
      <c r="B657" s="201">
        <f t="shared" si="1"/>
        <v>0</v>
      </c>
      <c r="D657" s="740" t="str">
        <f>'Semana 5'!BV58</f>
        <v/>
      </c>
      <c r="E657" s="775"/>
      <c r="F657" s="774" t="str">
        <f>'Semana 5'!CD58</f>
        <v/>
      </c>
      <c r="G657" s="774" t="str">
        <f>'Semana 5'!BZ58</f>
        <v/>
      </c>
      <c r="H657" s="776"/>
      <c r="K657" s="776"/>
    </row>
    <row r="658">
      <c r="A658" s="774" t="str">
        <f>'Semana 5'!CC60</f>
        <v/>
      </c>
      <c r="B658" s="201">
        <f t="shared" si="1"/>
        <v>0</v>
      </c>
      <c r="D658" s="740" t="str">
        <f>'Semana 5'!BV60</f>
        <v/>
      </c>
      <c r="E658" s="775"/>
      <c r="F658" s="774" t="str">
        <f>'Semana 5'!CD60</f>
        <v/>
      </c>
      <c r="G658" s="774" t="str">
        <f>'Semana 5'!BZ60</f>
        <v/>
      </c>
      <c r="H658" s="776"/>
      <c r="K658" s="776"/>
    </row>
    <row r="659">
      <c r="A659" s="774" t="str">
        <f>'Semana 5'!CC62</f>
        <v/>
      </c>
      <c r="B659" s="201">
        <f t="shared" si="1"/>
        <v>0</v>
      </c>
      <c r="D659" s="740" t="str">
        <f>'Semana 5'!BV62</f>
        <v/>
      </c>
      <c r="E659" s="775"/>
      <c r="F659" s="774" t="str">
        <f>'Semana 5'!CD62</f>
        <v/>
      </c>
      <c r="G659" s="774" t="str">
        <f>'Semana 5'!BZ62</f>
        <v/>
      </c>
      <c r="H659" s="776"/>
      <c r="K659" s="776"/>
    </row>
    <row r="660">
      <c r="A660" s="774" t="str">
        <f>'Semana 5'!CC64</f>
        <v/>
      </c>
      <c r="B660" s="201">
        <f t="shared" si="1"/>
        <v>0</v>
      </c>
      <c r="D660" s="740" t="str">
        <f>'Semana 5'!BV64</f>
        <v/>
      </c>
      <c r="E660" s="775"/>
      <c r="F660" s="774" t="str">
        <f>'Semana 5'!CD64</f>
        <v/>
      </c>
      <c r="G660" s="774" t="str">
        <f>'Semana 5'!BZ64</f>
        <v/>
      </c>
      <c r="H660" s="776"/>
      <c r="K660" s="776"/>
    </row>
    <row r="661">
      <c r="A661" s="774" t="str">
        <f>'Semana 5'!CT26</f>
        <v/>
      </c>
      <c r="B661" s="201">
        <f t="shared" si="1"/>
        <v>0</v>
      </c>
      <c r="D661" s="740" t="str">
        <f>'Semana 5'!CM26</f>
        <v/>
      </c>
      <c r="E661" s="775"/>
      <c r="F661" s="774" t="str">
        <f>'Semana 5'!CU26</f>
        <v/>
      </c>
      <c r="G661" s="774" t="str">
        <f>'Semana 5'!CQ26</f>
        <v/>
      </c>
      <c r="H661" s="776"/>
      <c r="K661" s="776"/>
    </row>
    <row r="662">
      <c r="A662" s="774" t="str">
        <f>'Semana 5'!CT28</f>
        <v/>
      </c>
      <c r="B662" s="201">
        <f t="shared" si="1"/>
        <v>0</v>
      </c>
      <c r="D662" s="740" t="str">
        <f>'Semana 5'!CM28</f>
        <v/>
      </c>
      <c r="E662" s="775"/>
      <c r="F662" s="774" t="str">
        <f>'Semana 5'!CU28</f>
        <v/>
      </c>
      <c r="G662" s="774" t="str">
        <f>'Semana 5'!CQ28</f>
        <v/>
      </c>
      <c r="H662" s="776"/>
      <c r="K662" s="776"/>
    </row>
    <row r="663">
      <c r="A663" s="774" t="str">
        <f>'Semana 5'!CT30</f>
        <v/>
      </c>
      <c r="B663" s="201">
        <f t="shared" si="1"/>
        <v>0</v>
      </c>
      <c r="D663" s="740" t="str">
        <f>'Semana 5'!CM30</f>
        <v/>
      </c>
      <c r="E663" s="775"/>
      <c r="F663" s="774" t="str">
        <f>'Semana 5'!CU30</f>
        <v/>
      </c>
      <c r="G663" s="774" t="str">
        <f>'Semana 5'!CQ30</f>
        <v/>
      </c>
      <c r="H663" s="776"/>
      <c r="K663" s="776"/>
    </row>
    <row r="664">
      <c r="A664" s="774" t="str">
        <f>'Semana 5'!CT32</f>
        <v/>
      </c>
      <c r="B664" s="201">
        <f t="shared" si="1"/>
        <v>0</v>
      </c>
      <c r="D664" s="740" t="str">
        <f>'Semana 5'!CM32</f>
        <v/>
      </c>
      <c r="E664" s="775"/>
      <c r="F664" s="774" t="str">
        <f>'Semana 5'!CU32</f>
        <v/>
      </c>
      <c r="G664" s="774" t="str">
        <f>'Semana 5'!CQ32</f>
        <v/>
      </c>
      <c r="H664" s="776"/>
      <c r="K664" s="776"/>
    </row>
    <row r="665">
      <c r="A665" s="774" t="str">
        <f>'Semana 5'!CT34</f>
        <v/>
      </c>
      <c r="B665" s="201">
        <f t="shared" si="1"/>
        <v>0</v>
      </c>
      <c r="D665" s="740" t="str">
        <f>'Semana 5'!CM34</f>
        <v/>
      </c>
      <c r="E665" s="775"/>
      <c r="F665" s="774" t="str">
        <f>'Semana 5'!CU34</f>
        <v/>
      </c>
      <c r="G665" s="774" t="str">
        <f>'Semana 5'!CQ34</f>
        <v/>
      </c>
      <c r="H665" s="776"/>
      <c r="K665" s="776"/>
    </row>
    <row r="666">
      <c r="A666" s="774" t="str">
        <f>'Semana 5'!CT36</f>
        <v/>
      </c>
      <c r="B666" s="201">
        <f t="shared" si="1"/>
        <v>0</v>
      </c>
      <c r="D666" s="740" t="str">
        <f>'Semana 5'!CM36</f>
        <v/>
      </c>
      <c r="E666" s="775"/>
      <c r="F666" s="774" t="str">
        <f>'Semana 5'!CU36</f>
        <v/>
      </c>
      <c r="G666" s="774" t="str">
        <f>'Semana 5'!CQ36</f>
        <v/>
      </c>
      <c r="H666" s="776"/>
      <c r="K666" s="776"/>
    </row>
    <row r="667">
      <c r="A667" s="774" t="str">
        <f>'Semana 5'!CT38</f>
        <v/>
      </c>
      <c r="B667" s="201">
        <f t="shared" si="1"/>
        <v>0</v>
      </c>
      <c r="D667" s="740" t="str">
        <f>'Semana 5'!CM38</f>
        <v/>
      </c>
      <c r="E667" s="775"/>
      <c r="F667" s="774" t="str">
        <f>'Semana 5'!CU38</f>
        <v/>
      </c>
      <c r="G667" s="774" t="str">
        <f>'Semana 5'!CQ38</f>
        <v/>
      </c>
      <c r="H667" s="776"/>
      <c r="K667" s="776"/>
    </row>
    <row r="668">
      <c r="A668" s="774" t="str">
        <f>'Semana 5'!CT40</f>
        <v/>
      </c>
      <c r="B668" s="201">
        <f t="shared" si="1"/>
        <v>0</v>
      </c>
      <c r="D668" s="740" t="str">
        <f>'Semana 5'!CM40</f>
        <v/>
      </c>
      <c r="E668" s="775"/>
      <c r="F668" s="774" t="str">
        <f>'Semana 5'!CU40</f>
        <v/>
      </c>
      <c r="G668" s="774" t="str">
        <f>'Semana 5'!CQ40</f>
        <v/>
      </c>
      <c r="H668" s="776"/>
      <c r="K668" s="776"/>
    </row>
    <row r="669">
      <c r="A669" s="774" t="str">
        <f>'Semana 5'!CT42</f>
        <v/>
      </c>
      <c r="B669" s="201">
        <f t="shared" si="1"/>
        <v>0</v>
      </c>
      <c r="D669" s="740" t="str">
        <f>'Semana 5'!CM42</f>
        <v/>
      </c>
      <c r="E669" s="775"/>
      <c r="F669" s="774" t="str">
        <f>'Semana 5'!CU42</f>
        <v/>
      </c>
      <c r="G669" s="774" t="str">
        <f>'Semana 5'!CQ42</f>
        <v/>
      </c>
      <c r="H669" s="776"/>
      <c r="K669" s="776"/>
    </row>
    <row r="670">
      <c r="A670" s="774" t="str">
        <f>'Semana 5'!CT44</f>
        <v/>
      </c>
      <c r="B670" s="201">
        <f t="shared" si="1"/>
        <v>0</v>
      </c>
      <c r="D670" s="740" t="str">
        <f>'Semana 5'!CM44</f>
        <v/>
      </c>
      <c r="E670" s="775"/>
      <c r="F670" s="774" t="str">
        <f>'Semana 5'!CU44</f>
        <v/>
      </c>
      <c r="G670" s="774" t="str">
        <f>'Semana 5'!CQ44</f>
        <v/>
      </c>
      <c r="H670" s="776"/>
      <c r="K670" s="776"/>
    </row>
    <row r="671">
      <c r="A671" s="774" t="str">
        <f>'Semana 5'!CT46</f>
        <v/>
      </c>
      <c r="B671" s="201">
        <f t="shared" si="1"/>
        <v>0</v>
      </c>
      <c r="D671" s="740" t="str">
        <f>'Semana 5'!CM46</f>
        <v/>
      </c>
      <c r="E671" s="775"/>
      <c r="F671" s="774" t="str">
        <f>'Semana 5'!CU46</f>
        <v/>
      </c>
      <c r="G671" s="774" t="str">
        <f>'Semana 5'!CQ46</f>
        <v/>
      </c>
      <c r="H671" s="776"/>
      <c r="K671" s="776"/>
    </row>
    <row r="672">
      <c r="A672" s="774" t="str">
        <f>'Semana 5'!CT48</f>
        <v/>
      </c>
      <c r="B672" s="201">
        <f t="shared" si="1"/>
        <v>0</v>
      </c>
      <c r="D672" s="740" t="str">
        <f>'Semana 5'!CM48</f>
        <v/>
      </c>
      <c r="E672" s="775"/>
      <c r="F672" s="774" t="str">
        <f>'Semana 5'!CU48</f>
        <v/>
      </c>
      <c r="G672" s="774" t="str">
        <f>'Semana 5'!CQ48</f>
        <v/>
      </c>
      <c r="H672" s="776"/>
      <c r="K672" s="776"/>
    </row>
    <row r="673">
      <c r="A673" s="774" t="str">
        <f>'Semana 5'!CT50</f>
        <v/>
      </c>
      <c r="B673" s="201">
        <f t="shared" si="1"/>
        <v>0</v>
      </c>
      <c r="D673" s="740" t="str">
        <f>'Semana 5'!CM50</f>
        <v/>
      </c>
      <c r="E673" s="775"/>
      <c r="F673" s="774" t="str">
        <f>'Semana 5'!CU50</f>
        <v/>
      </c>
      <c r="G673" s="774" t="str">
        <f>'Semana 5'!CQ50</f>
        <v/>
      </c>
      <c r="H673" s="776"/>
      <c r="K673" s="776"/>
    </row>
    <row r="674">
      <c r="A674" s="774" t="str">
        <f>'Semana 5'!CT52</f>
        <v/>
      </c>
      <c r="B674" s="201">
        <f t="shared" si="1"/>
        <v>0</v>
      </c>
      <c r="D674" s="740" t="str">
        <f>'Semana 5'!CM52</f>
        <v/>
      </c>
      <c r="E674" s="775"/>
      <c r="F674" s="774" t="str">
        <f>'Semana 5'!CU52</f>
        <v/>
      </c>
      <c r="G674" s="774" t="str">
        <f>'Semana 5'!CQ52</f>
        <v/>
      </c>
      <c r="H674" s="776"/>
      <c r="K674" s="776"/>
    </row>
    <row r="675">
      <c r="A675" s="774" t="str">
        <f>'Semana 5'!CT54</f>
        <v/>
      </c>
      <c r="B675" s="201">
        <f t="shared" si="1"/>
        <v>0</v>
      </c>
      <c r="D675" s="740" t="str">
        <f>'Semana 5'!CM54</f>
        <v/>
      </c>
      <c r="E675" s="775"/>
      <c r="F675" s="774" t="str">
        <f>'Semana 5'!CU54</f>
        <v/>
      </c>
      <c r="G675" s="774" t="str">
        <f>'Semana 5'!CQ54</f>
        <v/>
      </c>
      <c r="H675" s="776"/>
      <c r="K675" s="776"/>
    </row>
    <row r="676">
      <c r="A676" s="774" t="str">
        <f>'Semana 5'!CT56</f>
        <v/>
      </c>
      <c r="B676" s="201">
        <f t="shared" si="1"/>
        <v>0</v>
      </c>
      <c r="D676" s="740" t="str">
        <f>'Semana 5'!CM56</f>
        <v/>
      </c>
      <c r="E676" s="775"/>
      <c r="F676" s="774" t="str">
        <f>'Semana 5'!CU56</f>
        <v/>
      </c>
      <c r="G676" s="774" t="str">
        <f>'Semana 5'!CQ56</f>
        <v/>
      </c>
      <c r="H676" s="776"/>
      <c r="K676" s="776"/>
    </row>
    <row r="677">
      <c r="A677" s="774" t="str">
        <f>'Semana 5'!CT58</f>
        <v/>
      </c>
      <c r="B677" s="201">
        <f t="shared" si="1"/>
        <v>0</v>
      </c>
      <c r="D677" s="740" t="str">
        <f>'Semana 5'!CM58</f>
        <v/>
      </c>
      <c r="E677" s="775"/>
      <c r="F677" s="774" t="str">
        <f>'Semana 5'!CU58</f>
        <v/>
      </c>
      <c r="G677" s="774" t="str">
        <f>'Semana 5'!CQ58</f>
        <v/>
      </c>
      <c r="H677" s="776"/>
      <c r="K677" s="776"/>
    </row>
    <row r="678">
      <c r="A678" s="774" t="str">
        <f>'Semana 5'!CT60</f>
        <v/>
      </c>
      <c r="B678" s="201">
        <f t="shared" si="1"/>
        <v>0</v>
      </c>
      <c r="D678" s="740" t="str">
        <f>'Semana 5'!CM60</f>
        <v/>
      </c>
      <c r="E678" s="775"/>
      <c r="F678" s="774" t="str">
        <f>'Semana 5'!CU60</f>
        <v/>
      </c>
      <c r="G678" s="774" t="str">
        <f>'Semana 5'!CQ60</f>
        <v/>
      </c>
      <c r="H678" s="776"/>
      <c r="K678" s="776"/>
    </row>
    <row r="679">
      <c r="A679" s="774" t="str">
        <f>'Semana 5'!CT62</f>
        <v/>
      </c>
      <c r="B679" s="201">
        <f t="shared" si="1"/>
        <v>0</v>
      </c>
      <c r="D679" s="740" t="str">
        <f>'Semana 5'!CM62</f>
        <v/>
      </c>
      <c r="E679" s="775"/>
      <c r="F679" s="774" t="str">
        <f>'Semana 5'!CU62</f>
        <v/>
      </c>
      <c r="G679" s="774" t="str">
        <f>'Semana 5'!CQ62</f>
        <v/>
      </c>
      <c r="H679" s="776"/>
      <c r="K679" s="776"/>
    </row>
    <row r="680">
      <c r="A680" s="774" t="str">
        <f>'Semana 5'!CT64</f>
        <v/>
      </c>
      <c r="B680" s="201">
        <f t="shared" si="1"/>
        <v>0</v>
      </c>
      <c r="D680" s="740" t="str">
        <f>'Semana 5'!CM64</f>
        <v/>
      </c>
      <c r="E680" s="775"/>
      <c r="F680" s="774" t="str">
        <f>'Semana 5'!CU64</f>
        <v/>
      </c>
      <c r="G680" s="774" t="str">
        <f>'Semana 5'!CQ64</f>
        <v/>
      </c>
      <c r="H680" s="776"/>
      <c r="K680" s="776"/>
    </row>
    <row r="681">
      <c r="A681" s="774" t="str">
        <f>'Semana 5'!DK26</f>
        <v/>
      </c>
      <c r="B681" s="201">
        <f t="shared" si="1"/>
        <v>0</v>
      </c>
      <c r="D681" s="740" t="str">
        <f>'Semana 5'!DD26</f>
        <v/>
      </c>
      <c r="E681" s="775"/>
      <c r="F681" s="774" t="str">
        <f>'Semana 5'!DL26</f>
        <v/>
      </c>
      <c r="G681" s="774" t="str">
        <f>'Semana 5'!DH26</f>
        <v/>
      </c>
      <c r="H681" s="776"/>
      <c r="K681" s="776"/>
    </row>
    <row r="682">
      <c r="A682" s="774" t="str">
        <f>'Semana 5'!DK28</f>
        <v/>
      </c>
      <c r="B682" s="201">
        <f t="shared" si="1"/>
        <v>0</v>
      </c>
      <c r="D682" s="740" t="str">
        <f>'Semana 5'!DD28</f>
        <v/>
      </c>
      <c r="E682" s="775"/>
      <c r="F682" s="774" t="str">
        <f>'Semana 5'!DL28</f>
        <v/>
      </c>
      <c r="G682" s="774" t="str">
        <f>'Semana 5'!DH28</f>
        <v/>
      </c>
      <c r="H682" s="776"/>
      <c r="K682" s="776"/>
    </row>
    <row r="683">
      <c r="A683" s="774" t="str">
        <f>'Semana 5'!DK30</f>
        <v/>
      </c>
      <c r="B683" s="201">
        <f t="shared" si="1"/>
        <v>0</v>
      </c>
      <c r="D683" s="740" t="str">
        <f>'Semana 5'!DD30</f>
        <v/>
      </c>
      <c r="E683" s="775"/>
      <c r="F683" s="774" t="str">
        <f>'Semana 5'!DL30</f>
        <v/>
      </c>
      <c r="G683" s="774" t="str">
        <f>'Semana 5'!DH30</f>
        <v/>
      </c>
      <c r="H683" s="776"/>
      <c r="K683" s="776"/>
    </row>
    <row r="684">
      <c r="A684" s="774" t="str">
        <f>'Semana 5'!DK32</f>
        <v/>
      </c>
      <c r="B684" s="201">
        <f t="shared" si="1"/>
        <v>0</v>
      </c>
      <c r="D684" s="740" t="str">
        <f>'Semana 5'!DD32</f>
        <v/>
      </c>
      <c r="E684" s="775"/>
      <c r="F684" s="774" t="str">
        <f>'Semana 5'!DL32</f>
        <v/>
      </c>
      <c r="G684" s="774" t="str">
        <f>'Semana 5'!DH32</f>
        <v/>
      </c>
      <c r="H684" s="776"/>
      <c r="K684" s="776"/>
    </row>
    <row r="685">
      <c r="A685" s="774" t="str">
        <f>'Semana 5'!DK34</f>
        <v/>
      </c>
      <c r="B685" s="201">
        <f t="shared" si="1"/>
        <v>0</v>
      </c>
      <c r="D685" s="740" t="str">
        <f>'Semana 5'!DD34</f>
        <v/>
      </c>
      <c r="E685" s="775"/>
      <c r="F685" s="774" t="str">
        <f>'Semana 5'!DL34</f>
        <v/>
      </c>
      <c r="G685" s="774" t="str">
        <f>'Semana 5'!DH34</f>
        <v/>
      </c>
      <c r="H685" s="776"/>
      <c r="K685" s="776"/>
    </row>
    <row r="686">
      <c r="A686" s="774" t="str">
        <f>'Semana 5'!DK36</f>
        <v/>
      </c>
      <c r="B686" s="201">
        <f t="shared" si="1"/>
        <v>0</v>
      </c>
      <c r="D686" s="740" t="str">
        <f>'Semana 5'!DD36</f>
        <v/>
      </c>
      <c r="E686" s="775"/>
      <c r="F686" s="774" t="str">
        <f>'Semana 5'!DL36</f>
        <v/>
      </c>
      <c r="G686" s="774" t="str">
        <f>'Semana 5'!DH36</f>
        <v/>
      </c>
      <c r="H686" s="776"/>
      <c r="K686" s="776"/>
    </row>
    <row r="687">
      <c r="A687" s="774" t="str">
        <f>'Semana 5'!DK38</f>
        <v/>
      </c>
      <c r="B687" s="201">
        <f t="shared" si="1"/>
        <v>0</v>
      </c>
      <c r="D687" s="740" t="str">
        <f>'Semana 5'!DD38</f>
        <v/>
      </c>
      <c r="E687" s="775"/>
      <c r="F687" s="774" t="str">
        <f>'Semana 5'!DL38</f>
        <v/>
      </c>
      <c r="G687" s="774" t="str">
        <f>'Semana 5'!DH38</f>
        <v/>
      </c>
      <c r="H687" s="776"/>
      <c r="K687" s="776"/>
    </row>
    <row r="688">
      <c r="A688" s="774" t="str">
        <f>'Semana 5'!DK40</f>
        <v/>
      </c>
      <c r="B688" s="201">
        <f t="shared" si="1"/>
        <v>0</v>
      </c>
      <c r="D688" s="740" t="str">
        <f>'Semana 5'!DD40</f>
        <v/>
      </c>
      <c r="E688" s="775"/>
      <c r="F688" s="774" t="str">
        <f>'Semana 5'!DL40</f>
        <v/>
      </c>
      <c r="G688" s="774" t="str">
        <f>'Semana 5'!DH40</f>
        <v/>
      </c>
      <c r="H688" s="776"/>
      <c r="K688" s="776"/>
    </row>
    <row r="689">
      <c r="A689" s="774" t="str">
        <f>'Semana 5'!DK42</f>
        <v/>
      </c>
      <c r="B689" s="201">
        <f t="shared" si="1"/>
        <v>0</v>
      </c>
      <c r="D689" s="740" t="str">
        <f>'Semana 5'!DD42</f>
        <v/>
      </c>
      <c r="E689" s="775"/>
      <c r="F689" s="774" t="str">
        <f>'Semana 5'!DL42</f>
        <v/>
      </c>
      <c r="G689" s="774" t="str">
        <f>'Semana 5'!DH42</f>
        <v/>
      </c>
      <c r="H689" s="776"/>
      <c r="K689" s="776"/>
    </row>
    <row r="690">
      <c r="A690" s="774" t="str">
        <f>'Semana 5'!DK44</f>
        <v/>
      </c>
      <c r="B690" s="201">
        <f t="shared" si="1"/>
        <v>0</v>
      </c>
      <c r="D690" s="740" t="str">
        <f>'Semana 5'!DD44</f>
        <v/>
      </c>
      <c r="E690" s="775"/>
      <c r="F690" s="774" t="str">
        <f>'Semana 5'!DL44</f>
        <v/>
      </c>
      <c r="G690" s="774" t="str">
        <f>'Semana 5'!DH44</f>
        <v/>
      </c>
      <c r="H690" s="776"/>
      <c r="K690" s="776"/>
    </row>
    <row r="691">
      <c r="A691" s="774" t="str">
        <f>'Semana 5'!DK46</f>
        <v/>
      </c>
      <c r="B691" s="201">
        <f t="shared" si="1"/>
        <v>0</v>
      </c>
      <c r="D691" s="740" t="str">
        <f>'Semana 5'!DD46</f>
        <v/>
      </c>
      <c r="E691" s="775"/>
      <c r="F691" s="774" t="str">
        <f>'Semana 5'!DL46</f>
        <v/>
      </c>
      <c r="G691" s="774" t="str">
        <f>'Semana 5'!DH46</f>
        <v/>
      </c>
      <c r="H691" s="776"/>
      <c r="K691" s="776"/>
    </row>
    <row r="692">
      <c r="A692" s="774" t="str">
        <f>'Semana 5'!DK48</f>
        <v/>
      </c>
      <c r="B692" s="201">
        <f t="shared" si="1"/>
        <v>0</v>
      </c>
      <c r="D692" s="740" t="str">
        <f>'Semana 5'!DD48</f>
        <v/>
      </c>
      <c r="E692" s="775"/>
      <c r="F692" s="774" t="str">
        <f>'Semana 5'!DL48</f>
        <v/>
      </c>
      <c r="G692" s="774" t="str">
        <f>'Semana 5'!DH48</f>
        <v/>
      </c>
      <c r="H692" s="776"/>
      <c r="K692" s="776"/>
    </row>
    <row r="693">
      <c r="A693" s="774" t="str">
        <f>'Semana 5'!DK50</f>
        <v/>
      </c>
      <c r="B693" s="201">
        <f t="shared" si="1"/>
        <v>0</v>
      </c>
      <c r="D693" s="740" t="str">
        <f>'Semana 5'!DD50</f>
        <v/>
      </c>
      <c r="E693" s="775"/>
      <c r="F693" s="774" t="str">
        <f>'Semana 5'!DL50</f>
        <v/>
      </c>
      <c r="G693" s="774" t="str">
        <f>'Semana 5'!DH50</f>
        <v/>
      </c>
      <c r="H693" s="776"/>
      <c r="K693" s="776"/>
    </row>
    <row r="694">
      <c r="A694" s="774" t="str">
        <f>'Semana 5'!DK52</f>
        <v/>
      </c>
      <c r="B694" s="201">
        <f t="shared" si="1"/>
        <v>0</v>
      </c>
      <c r="D694" s="740" t="str">
        <f>'Semana 5'!DD52</f>
        <v/>
      </c>
      <c r="E694" s="775"/>
      <c r="F694" s="774" t="str">
        <f>'Semana 5'!DL52</f>
        <v/>
      </c>
      <c r="G694" s="774" t="str">
        <f>'Semana 5'!DH52</f>
        <v/>
      </c>
      <c r="H694" s="776"/>
      <c r="K694" s="776"/>
    </row>
    <row r="695">
      <c r="A695" s="774" t="str">
        <f>'Semana 5'!DK54</f>
        <v/>
      </c>
      <c r="B695" s="201">
        <f t="shared" si="1"/>
        <v>0</v>
      </c>
      <c r="D695" s="740" t="str">
        <f>'Semana 5'!DD54</f>
        <v/>
      </c>
      <c r="E695" s="775"/>
      <c r="F695" s="774" t="str">
        <f>'Semana 5'!DL54</f>
        <v/>
      </c>
      <c r="G695" s="774" t="str">
        <f>'Semana 5'!DH54</f>
        <v/>
      </c>
      <c r="H695" s="776"/>
      <c r="K695" s="776"/>
    </row>
    <row r="696">
      <c r="A696" s="774" t="str">
        <f>'Semana 5'!DK56</f>
        <v/>
      </c>
      <c r="B696" s="201">
        <f t="shared" si="1"/>
        <v>0</v>
      </c>
      <c r="D696" s="740" t="str">
        <f>'Semana 5'!DD56</f>
        <v/>
      </c>
      <c r="E696" s="775"/>
      <c r="F696" s="774" t="str">
        <f>'Semana 5'!DL56</f>
        <v/>
      </c>
      <c r="G696" s="774" t="str">
        <f>'Semana 5'!DH56</f>
        <v/>
      </c>
      <c r="H696" s="776"/>
      <c r="K696" s="776"/>
    </row>
    <row r="697">
      <c r="A697" s="774" t="str">
        <f>'Semana 5'!DK58</f>
        <v/>
      </c>
      <c r="B697" s="201">
        <f t="shared" si="1"/>
        <v>0</v>
      </c>
      <c r="D697" s="740" t="str">
        <f>'Semana 5'!DD58</f>
        <v/>
      </c>
      <c r="E697" s="775"/>
      <c r="F697" s="774" t="str">
        <f>'Semana 5'!DL58</f>
        <v/>
      </c>
      <c r="G697" s="774" t="str">
        <f>'Semana 5'!DH58</f>
        <v/>
      </c>
      <c r="H697" s="776"/>
      <c r="K697" s="776"/>
    </row>
    <row r="698">
      <c r="A698" s="774" t="str">
        <f>'Semana 5'!DK60</f>
        <v/>
      </c>
      <c r="B698" s="201">
        <f t="shared" si="1"/>
        <v>0</v>
      </c>
      <c r="D698" s="740" t="str">
        <f>'Semana 5'!DD60</f>
        <v/>
      </c>
      <c r="E698" s="775"/>
      <c r="F698" s="774" t="str">
        <f>'Semana 5'!DL60</f>
        <v/>
      </c>
      <c r="G698" s="774" t="str">
        <f>'Semana 5'!DH60</f>
        <v/>
      </c>
      <c r="H698" s="776"/>
      <c r="K698" s="776"/>
    </row>
    <row r="699">
      <c r="A699" s="774" t="str">
        <f>'Semana 5'!DK62</f>
        <v/>
      </c>
      <c r="B699" s="201">
        <f t="shared" si="1"/>
        <v>0</v>
      </c>
      <c r="D699" s="740" t="str">
        <f>'Semana 5'!DD62</f>
        <v/>
      </c>
      <c r="E699" s="775"/>
      <c r="F699" s="774" t="str">
        <f>'Semana 5'!DL62</f>
        <v/>
      </c>
      <c r="G699" s="774" t="str">
        <f>'Semana 5'!DH62</f>
        <v/>
      </c>
      <c r="H699" s="776"/>
      <c r="K699" s="776"/>
    </row>
    <row r="700">
      <c r="A700" s="774" t="str">
        <f>'Semana 5'!DK64</f>
        <v/>
      </c>
      <c r="B700" s="201">
        <f t="shared" si="1"/>
        <v>0</v>
      </c>
      <c r="D700" s="740" t="str">
        <f>'Semana 5'!DD64</f>
        <v/>
      </c>
      <c r="E700" s="775"/>
      <c r="F700" s="774" t="str">
        <f>'Semana 5'!DL64</f>
        <v/>
      </c>
      <c r="G700" s="774" t="str">
        <f>'Semana 5'!DH64</f>
        <v/>
      </c>
      <c r="H700" s="776"/>
      <c r="K700" s="77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38.0"/>
    <col customWidth="1" min="3" max="7" width="12.29"/>
  </cols>
  <sheetData>
    <row r="1" ht="279.0" customHeight="1">
      <c r="A1" s="201"/>
      <c r="B1" s="201"/>
    </row>
    <row r="2" ht="73.5" customHeight="1">
      <c r="C2" s="486"/>
      <c r="D2" s="777"/>
      <c r="E2" s="486"/>
      <c r="F2" s="256"/>
      <c r="G2" s="486"/>
    </row>
  </sheetData>
  <drawing r:id="rId1"/>
</worksheet>
</file>